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2280" yWindow="140" windowWidth="25120" windowHeight="14920" tabRatio="923"/>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9" i="27" l="1"/>
  <c r="E38" i="27"/>
  <c r="H38" i="27"/>
  <c r="J38" i="27"/>
  <c r="L38" i="27"/>
  <c r="F38" i="27"/>
  <c r="I38" i="27"/>
  <c r="K38" i="27"/>
  <c r="M38" i="27"/>
  <c r="N38" i="27"/>
  <c r="O36" i="27"/>
  <c r="H35" i="27"/>
  <c r="J35" i="27"/>
  <c r="L35" i="27"/>
  <c r="I35" i="27"/>
  <c r="K35" i="27"/>
  <c r="M35" i="27"/>
  <c r="N35" i="27"/>
  <c r="O35" i="27"/>
  <c r="H34" i="27"/>
  <c r="J34" i="27"/>
  <c r="L34" i="27"/>
  <c r="K34" i="27"/>
  <c r="M34" i="27"/>
  <c r="N34" i="27"/>
  <c r="O34" i="27"/>
  <c r="H33" i="27"/>
  <c r="J33" i="27"/>
  <c r="L33" i="27"/>
  <c r="I33" i="27"/>
  <c r="K33" i="27"/>
  <c r="M33" i="27"/>
  <c r="N33" i="27"/>
  <c r="O33" i="27"/>
  <c r="O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H27" i="27"/>
  <c r="J27" i="27"/>
  <c r="L27" i="27"/>
  <c r="I27" i="27"/>
  <c r="K27" i="27"/>
  <c r="M27" i="27"/>
  <c r="N27" i="27"/>
  <c r="O27" i="27"/>
  <c r="H26" i="27"/>
  <c r="J26" i="27"/>
  <c r="L26" i="27"/>
  <c r="I26" i="27"/>
  <c r="K26" i="27"/>
  <c r="M26" i="27"/>
  <c r="N26" i="27"/>
  <c r="H25" i="27"/>
  <c r="J25" i="27"/>
  <c r="L25" i="27"/>
  <c r="I25" i="27"/>
  <c r="K25" i="27"/>
  <c r="M25" i="27"/>
  <c r="N25" i="27"/>
  <c r="E24" i="27"/>
  <c r="H24" i="27"/>
  <c r="J24" i="27"/>
  <c r="L24" i="27"/>
  <c r="I24" i="27"/>
  <c r="K24" i="27"/>
  <c r="M24" i="27"/>
  <c r="N24" i="27"/>
  <c r="O24" i="27"/>
  <c r="H23" i="27"/>
  <c r="J23" i="27"/>
  <c r="L23" i="27"/>
  <c r="I23" i="27"/>
  <c r="K23" i="27"/>
  <c r="M23" i="27"/>
  <c r="N23" i="27"/>
  <c r="H22" i="27"/>
  <c r="J22" i="27"/>
  <c r="L22" i="27"/>
  <c r="I22" i="27"/>
  <c r="K22" i="27"/>
  <c r="M22" i="27"/>
  <c r="N22" i="27"/>
  <c r="O21" i="27"/>
  <c r="H21" i="27"/>
  <c r="J21" i="27"/>
  <c r="L21" i="27"/>
  <c r="I21" i="27"/>
  <c r="K21" i="27"/>
  <c r="M21" i="27"/>
  <c r="N21" i="27"/>
  <c r="H20" i="27"/>
  <c r="J20" i="27"/>
  <c r="L20" i="27"/>
  <c r="I20" i="27"/>
  <c r="K20" i="27"/>
  <c r="M20" i="27"/>
  <c r="N20" i="27"/>
  <c r="O20" i="27"/>
  <c r="H19" i="27"/>
  <c r="J19" i="27"/>
  <c r="L19" i="27"/>
  <c r="I19" i="27"/>
  <c r="K19" i="27"/>
  <c r="M19" i="27"/>
  <c r="N19" i="27"/>
  <c r="H18" i="27"/>
  <c r="J18" i="27"/>
  <c r="L18" i="27"/>
  <c r="I18" i="27"/>
  <c r="K18" i="27"/>
  <c r="M18" i="27"/>
  <c r="N18" i="27"/>
  <c r="O18" i="27"/>
  <c r="H17" i="27"/>
  <c r="J17" i="27"/>
  <c r="L17" i="27"/>
  <c r="I17" i="27"/>
  <c r="K17" i="27"/>
  <c r="M17" i="27"/>
  <c r="N17" i="27"/>
  <c r="H16" i="27"/>
  <c r="J16" i="27"/>
  <c r="L16" i="27"/>
  <c r="I16" i="27"/>
  <c r="K16" i="27"/>
  <c r="M16" i="27"/>
  <c r="N16" i="27"/>
  <c r="E15" i="27"/>
  <c r="H15" i="27"/>
  <c r="J15" i="27"/>
  <c r="L15" i="27"/>
  <c r="F15" i="27"/>
  <c r="I15" i="27"/>
  <c r="K15" i="27"/>
  <c r="M15" i="27"/>
  <c r="N15" i="27"/>
  <c r="O15" i="27"/>
  <c r="H14" i="27"/>
  <c r="J14" i="27"/>
  <c r="L14" i="27"/>
  <c r="I14" i="27"/>
  <c r="K14" i="27"/>
  <c r="M14" i="27"/>
  <c r="N14" i="27"/>
  <c r="H13" i="27"/>
  <c r="J13" i="27"/>
  <c r="L13" i="27"/>
  <c r="I13" i="27"/>
  <c r="K13" i="27"/>
  <c r="M13" i="27"/>
  <c r="N13" i="27"/>
  <c r="O13" i="27"/>
  <c r="H108" i="15"/>
  <c r="H113" i="15"/>
  <c r="H118" i="15"/>
  <c r="H135" i="15"/>
  <c r="H140" i="15"/>
  <c r="H145" i="15"/>
  <c r="H179" i="15"/>
  <c r="H47" i="9"/>
  <c r="H52" i="9"/>
  <c r="H55" i="9"/>
  <c r="H65" i="9"/>
  <c r="H70" i="9"/>
  <c r="H73" i="9"/>
  <c r="H176" i="15"/>
  <c r="H182" i="15"/>
  <c r="H185" i="15"/>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AJ58" i="11"/>
  <c r="AJ54" i="8"/>
  <c r="AH13" i="9"/>
  <c r="C54" i="8"/>
  <c r="D54" i="8"/>
  <c r="E54" i="8"/>
  <c r="F54" i="8"/>
  <c r="G58" i="11"/>
  <c r="G54" i="8"/>
  <c r="H58" i="11"/>
  <c r="H54" i="8"/>
  <c r="I58" i="11"/>
  <c r="I54" i="8"/>
  <c r="J58" i="11"/>
  <c r="J54" i="8"/>
  <c r="K58" i="11"/>
  <c r="K54" i="8"/>
  <c r="L58" i="11"/>
  <c r="L54" i="8"/>
  <c r="M58" i="11"/>
  <c r="M54" i="8"/>
  <c r="N58" i="11"/>
  <c r="N54" i="8"/>
  <c r="O58" i="11"/>
  <c r="O54" i="8"/>
  <c r="P58" i="11"/>
  <c r="P54" i="8"/>
  <c r="Q58" i="11"/>
  <c r="Q54" i="8"/>
  <c r="R58" i="11"/>
  <c r="R54" i="8"/>
  <c r="S58" i="11"/>
  <c r="S54" i="8"/>
  <c r="T58" i="11"/>
  <c r="T54" i="8"/>
  <c r="U58" i="11"/>
  <c r="U54" i="8"/>
  <c r="V58" i="11"/>
  <c r="V54" i="8"/>
  <c r="W58" i="11"/>
  <c r="W54" i="8"/>
  <c r="X58" i="11"/>
  <c r="X54" i="8"/>
  <c r="Y58" i="11"/>
  <c r="Y54" i="8"/>
  <c r="Z58" i="11"/>
  <c r="Z54" i="8"/>
  <c r="AA58" i="11"/>
  <c r="AA54" i="8"/>
  <c r="AB58" i="11"/>
  <c r="AB54" i="8"/>
  <c r="AC58" i="11"/>
  <c r="AC54" i="8"/>
  <c r="AD58" i="11"/>
  <c r="AD54" i="8"/>
  <c r="AE58" i="11"/>
  <c r="AE54" i="8"/>
  <c r="AF58" i="11"/>
  <c r="AF54" i="8"/>
  <c r="AG58" i="11"/>
  <c r="AG54" i="8"/>
  <c r="AH58" i="11"/>
  <c r="AH54" i="8"/>
  <c r="AI58" i="11"/>
  <c r="AI54" i="8"/>
  <c r="B54" i="8"/>
  <c r="AH13" i="15"/>
  <c r="AH14" i="15"/>
  <c r="D30" i="5"/>
  <c r="C30" i="5"/>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G56" i="11"/>
  <c r="G80"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G79" i="8"/>
  <c r="H79" i="8"/>
  <c r="I79" i="8"/>
  <c r="J79" i="8"/>
  <c r="K79" i="8"/>
  <c r="L79" i="8"/>
  <c r="M79" i="8"/>
  <c r="N79" i="8"/>
  <c r="O79" i="8"/>
  <c r="P79" i="8"/>
  <c r="Q79" i="8"/>
  <c r="R79" i="8"/>
  <c r="S79" i="8"/>
  <c r="T79" i="8"/>
  <c r="U79" i="8"/>
  <c r="V79" i="8"/>
  <c r="W79" i="8"/>
  <c r="X79" i="8"/>
  <c r="Y79" i="8"/>
  <c r="Z79" i="8"/>
  <c r="AA79" i="8"/>
  <c r="AB79" i="8"/>
  <c r="AC79" i="8"/>
  <c r="AD79" i="8"/>
  <c r="AE79" i="8"/>
  <c r="AF79" i="8"/>
  <c r="AG79" i="8"/>
  <c r="AH79" i="8"/>
  <c r="AI79" i="8"/>
  <c r="AJ79" i="8"/>
  <c r="N13" i="15"/>
  <c r="N14" i="15"/>
  <c r="D23" i="5"/>
  <c r="N13" i="9"/>
  <c r="N18" i="9"/>
  <c r="D11" i="5"/>
  <c r="C23" i="5"/>
  <c r="F23" i="5"/>
  <c r="I23" i="5"/>
  <c r="AH42" i="15"/>
  <c r="D17"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35" i="5"/>
  <c r="C35" i="5"/>
  <c r="X13" i="15"/>
  <c r="X14" i="15"/>
  <c r="D29" i="5"/>
  <c r="C29" i="5"/>
  <c r="D28" i="5"/>
  <c r="C28" i="5"/>
  <c r="F35" i="5"/>
  <c r="H35" i="5"/>
  <c r="AH26" i="15"/>
  <c r="AH31" i="15"/>
  <c r="D36" i="5"/>
  <c r="C36" i="5"/>
  <c r="F36" i="5"/>
  <c r="H36" i="5"/>
  <c r="AH18" i="15"/>
  <c r="AH32" i="15"/>
  <c r="AH43" i="15"/>
  <c r="F34" i="5"/>
  <c r="H34" i="5"/>
  <c r="AH24" i="15"/>
  <c r="AH30" i="15"/>
  <c r="AH46" i="15"/>
  <c r="AH47" i="15"/>
  <c r="AH48" i="15"/>
  <c r="AH49" i="15"/>
  <c r="AH94" i="15"/>
  <c r="X42" i="15"/>
  <c r="X34" i="15"/>
  <c r="X35" i="15"/>
  <c r="X37" i="15"/>
  <c r="X38" i="15"/>
  <c r="X39" i="15"/>
  <c r="X40" i="15"/>
  <c r="X26" i="15"/>
  <c r="X31" i="15"/>
  <c r="X18" i="15"/>
  <c r="X32" i="15"/>
  <c r="X43" i="15"/>
  <c r="X24" i="15"/>
  <c r="X30" i="15"/>
  <c r="X46" i="15"/>
  <c r="X47" i="15"/>
  <c r="X48" i="15"/>
  <c r="X49" i="15"/>
  <c r="X94" i="15"/>
  <c r="AH79" i="15"/>
  <c r="C24" i="5"/>
  <c r="E23" i="5"/>
  <c r="N16" i="15"/>
  <c r="N19" i="15"/>
  <c r="N20" i="15"/>
  <c r="N21" i="15"/>
  <c r="N42" i="15"/>
  <c r="E17" i="5"/>
  <c r="N34" i="15"/>
  <c r="E19" i="5"/>
  <c r="N35" i="15"/>
  <c r="E20" i="5"/>
  <c r="N37" i="15"/>
  <c r="E21" i="5"/>
  <c r="N38" i="15"/>
  <c r="E22" i="5"/>
  <c r="N39" i="15"/>
  <c r="E18" i="5"/>
  <c r="N40" i="15"/>
  <c r="N26" i="15"/>
  <c r="N31" i="15"/>
  <c r="N18" i="15"/>
  <c r="N32" i="15"/>
  <c r="N43" i="15"/>
  <c r="N30" i="15"/>
  <c r="N46" i="15"/>
  <c r="N47" i="15"/>
  <c r="N48" i="15"/>
  <c r="N49" i="15"/>
  <c r="N94" i="15"/>
  <c r="X79" i="15"/>
  <c r="P74" i="8"/>
  <c r="N11" i="9"/>
  <c r="J74" i="8"/>
  <c r="H11" i="9"/>
  <c r="H35" i="15"/>
  <c r="H13" i="9"/>
  <c r="H38" i="15"/>
  <c r="H43" i="15"/>
  <c r="H14" i="15"/>
  <c r="H30" i="15"/>
  <c r="H46" i="15"/>
  <c r="H47" i="15"/>
  <c r="H48" i="15"/>
  <c r="H49" i="15"/>
  <c r="H94" i="15"/>
  <c r="N79" i="15"/>
  <c r="AH87" i="15"/>
  <c r="X87" i="15"/>
  <c r="AH72" i="15"/>
  <c r="N87" i="15"/>
  <c r="X72" i="15"/>
  <c r="H87" i="15"/>
  <c r="N72" i="15"/>
  <c r="B56" i="11"/>
  <c r="C56" i="11"/>
  <c r="D56" i="11"/>
  <c r="E56" i="11"/>
  <c r="F56" i="11"/>
  <c r="C55" i="11"/>
  <c r="D55" i="11"/>
  <c r="E55" i="11"/>
  <c r="F55" i="11"/>
  <c r="B55"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6" i="8"/>
  <c r="D76" i="8"/>
  <c r="E76" i="8"/>
  <c r="F76" i="8"/>
  <c r="B76" i="8"/>
  <c r="C75" i="8"/>
  <c r="D75" i="8"/>
  <c r="E75" i="8"/>
  <c r="F75" i="8"/>
  <c r="B75" i="8"/>
  <c r="C74" i="8"/>
  <c r="D74" i="8"/>
  <c r="E74" i="8"/>
  <c r="F74" i="8"/>
  <c r="B74" i="8"/>
  <c r="C73" i="8"/>
  <c r="D73" i="8"/>
  <c r="E73" i="8"/>
  <c r="F73" i="8"/>
  <c r="B73" i="8"/>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49" i="11"/>
  <c r="H50" i="11"/>
  <c r="H51" i="11"/>
  <c r="I49" i="11"/>
  <c r="I50" i="11"/>
  <c r="I51" i="11"/>
  <c r="J49" i="11"/>
  <c r="J50" i="11"/>
  <c r="J51" i="11"/>
  <c r="K49" i="11"/>
  <c r="K50" i="11"/>
  <c r="K51" i="11"/>
  <c r="L49" i="11"/>
  <c r="L50" i="11"/>
  <c r="L51" i="11"/>
  <c r="M49" i="11"/>
  <c r="M50" i="11"/>
  <c r="M51" i="11"/>
  <c r="N49" i="11"/>
  <c r="N50" i="11"/>
  <c r="N51" i="11"/>
  <c r="O49" i="11"/>
  <c r="O50" i="11"/>
  <c r="O51" i="11"/>
  <c r="P49" i="11"/>
  <c r="P50" i="11"/>
  <c r="P51" i="11"/>
  <c r="Q49" i="11"/>
  <c r="Q50" i="11"/>
  <c r="Q51" i="11"/>
  <c r="R49" i="11"/>
  <c r="R50" i="11"/>
  <c r="R51" i="11"/>
  <c r="S49" i="11"/>
  <c r="S50" i="11"/>
  <c r="S51" i="11"/>
  <c r="T49" i="11"/>
  <c r="T50" i="11"/>
  <c r="T51" i="11"/>
  <c r="U49" i="11"/>
  <c r="U50" i="11"/>
  <c r="U51" i="11"/>
  <c r="V49" i="11"/>
  <c r="V50" i="11"/>
  <c r="V51" i="11"/>
  <c r="W49" i="11"/>
  <c r="W50" i="11"/>
  <c r="W51" i="11"/>
  <c r="X49" i="11"/>
  <c r="X50" i="11"/>
  <c r="X51" i="11"/>
  <c r="Y49" i="11"/>
  <c r="Y50" i="11"/>
  <c r="Y51" i="11"/>
  <c r="Z49" i="11"/>
  <c r="Z50" i="11"/>
  <c r="Z51" i="11"/>
  <c r="AA49" i="11"/>
  <c r="AA50" i="11"/>
  <c r="AA51" i="11"/>
  <c r="AB49" i="11"/>
  <c r="AB50" i="11"/>
  <c r="AB51" i="11"/>
  <c r="AC49" i="11"/>
  <c r="AC50" i="11"/>
  <c r="AC51" i="11"/>
  <c r="AD49" i="11"/>
  <c r="AD50" i="11"/>
  <c r="AD51" i="11"/>
  <c r="AE49" i="11"/>
  <c r="AE50" i="11"/>
  <c r="AE51" i="11"/>
  <c r="AF49" i="11"/>
  <c r="AF50" i="11"/>
  <c r="AF51" i="11"/>
  <c r="AG49" i="11"/>
  <c r="AG50" i="11"/>
  <c r="AG51" i="11"/>
  <c r="AH49" i="11"/>
  <c r="AH50" i="11"/>
  <c r="AH51" i="11"/>
  <c r="AI49" i="11"/>
  <c r="AI50" i="11"/>
  <c r="AI51" i="11"/>
  <c r="AJ49" i="11"/>
  <c r="AJ50" i="11"/>
  <c r="AJ51" i="11"/>
  <c r="AH16" i="15"/>
  <c r="Z13" i="15"/>
  <c r="Z14" i="15"/>
  <c r="P76" i="8"/>
  <c r="N10" i="9"/>
  <c r="N8" i="9"/>
  <c r="P73" i="8"/>
  <c r="N7" i="9"/>
  <c r="P75" i="8"/>
  <c r="N12" i="9"/>
  <c r="P78" i="8"/>
  <c r="N16" i="9"/>
  <c r="N14" i="9"/>
  <c r="X8" i="9"/>
  <c r="Z73" i="8"/>
  <c r="X7" i="9"/>
  <c r="Z60" i="11"/>
  <c r="X58" i="15"/>
  <c r="AJ60" i="11"/>
  <c r="AH86" i="15"/>
  <c r="X86" i="15"/>
  <c r="AH71" i="15"/>
  <c r="Y58" i="15"/>
  <c r="Z58" i="15"/>
  <c r="AB76" i="8"/>
  <c r="Z10" i="9"/>
  <c r="Z34" i="15"/>
  <c r="Y26" i="15"/>
  <c r="Z26" i="15"/>
  <c r="Z31" i="15"/>
  <c r="Y18" i="15"/>
  <c r="Z18" i="15"/>
  <c r="Z32" i="15"/>
  <c r="X59" i="15"/>
  <c r="Y59" i="15"/>
  <c r="Z59" i="15"/>
  <c r="AB74" i="8"/>
  <c r="Z11" i="9"/>
  <c r="Z35" i="15"/>
  <c r="X61" i="15"/>
  <c r="AH89" i="15"/>
  <c r="X89" i="15"/>
  <c r="AH74" i="15"/>
  <c r="Y61" i="15"/>
  <c r="Z61" i="15"/>
  <c r="AB75" i="8"/>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AB78" i="8"/>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C76" i="8"/>
  <c r="AA10" i="9"/>
  <c r="AA34" i="15"/>
  <c r="AA26" i="15"/>
  <c r="AA31" i="15"/>
  <c r="AA18" i="15"/>
  <c r="AA32" i="15"/>
  <c r="AA59" i="15"/>
  <c r="AC74" i="8"/>
  <c r="AA11" i="9"/>
  <c r="AA35" i="15"/>
  <c r="AA61" i="15"/>
  <c r="AC75" i="8"/>
  <c r="AA12" i="9"/>
  <c r="AA37" i="15"/>
  <c r="AA62" i="15"/>
  <c r="AA13" i="9"/>
  <c r="AA38" i="15"/>
  <c r="AA63" i="15"/>
  <c r="AA14" i="9"/>
  <c r="AA39" i="15"/>
  <c r="AA64" i="15"/>
  <c r="AA40" i="15"/>
  <c r="AA66" i="15"/>
  <c r="AC78" i="8"/>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D76" i="8"/>
  <c r="AB10" i="9"/>
  <c r="AB34" i="15"/>
  <c r="AB26" i="15"/>
  <c r="AB31" i="15"/>
  <c r="AB18" i="15"/>
  <c r="AB32" i="15"/>
  <c r="AB59" i="15"/>
  <c r="AD74" i="8"/>
  <c r="AB11" i="9"/>
  <c r="AB35" i="15"/>
  <c r="AB61" i="15"/>
  <c r="AD75" i="8"/>
  <c r="AB12" i="9"/>
  <c r="AB37" i="15"/>
  <c r="AB62" i="15"/>
  <c r="AB13" i="9"/>
  <c r="AB38" i="15"/>
  <c r="AB63" i="15"/>
  <c r="AB14" i="9"/>
  <c r="AB39" i="15"/>
  <c r="AB64" i="15"/>
  <c r="AB40" i="15"/>
  <c r="AB66" i="15"/>
  <c r="AD78" i="8"/>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E76" i="8"/>
  <c r="AC10" i="9"/>
  <c r="AC34" i="15"/>
  <c r="AC26" i="15"/>
  <c r="AC31" i="15"/>
  <c r="AC18" i="15"/>
  <c r="AC32" i="15"/>
  <c r="AC59" i="15"/>
  <c r="AE74" i="8"/>
  <c r="AC11" i="9"/>
  <c r="AC35" i="15"/>
  <c r="AC61" i="15"/>
  <c r="AE75" i="8"/>
  <c r="AC12" i="9"/>
  <c r="AC37" i="15"/>
  <c r="AC62" i="15"/>
  <c r="AC13" i="9"/>
  <c r="AC38" i="15"/>
  <c r="AC63" i="15"/>
  <c r="AC14" i="9"/>
  <c r="AC39" i="15"/>
  <c r="AC64" i="15"/>
  <c r="AC40" i="15"/>
  <c r="AC66" i="15"/>
  <c r="AE78" i="8"/>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F76" i="8"/>
  <c r="AD10" i="9"/>
  <c r="AD34" i="15"/>
  <c r="AD26" i="15"/>
  <c r="AD31" i="15"/>
  <c r="AD18" i="15"/>
  <c r="AD32" i="15"/>
  <c r="AD59" i="15"/>
  <c r="AF74" i="8"/>
  <c r="AD11" i="9"/>
  <c r="AD35" i="15"/>
  <c r="AD61" i="15"/>
  <c r="AF75" i="8"/>
  <c r="AD12" i="9"/>
  <c r="AD37" i="15"/>
  <c r="AD62" i="15"/>
  <c r="AD13" i="9"/>
  <c r="AD38" i="15"/>
  <c r="AD63" i="15"/>
  <c r="AD14" i="9"/>
  <c r="AD39" i="15"/>
  <c r="AD64" i="15"/>
  <c r="AD40" i="15"/>
  <c r="AD66" i="15"/>
  <c r="AF78" i="8"/>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G76" i="8"/>
  <c r="AE10" i="9"/>
  <c r="AE34" i="15"/>
  <c r="AE26" i="15"/>
  <c r="AE31" i="15"/>
  <c r="AE18" i="15"/>
  <c r="AE32" i="15"/>
  <c r="AE59" i="15"/>
  <c r="AG74" i="8"/>
  <c r="AE11" i="9"/>
  <c r="AE35" i="15"/>
  <c r="AE61" i="15"/>
  <c r="AG75" i="8"/>
  <c r="AE12" i="9"/>
  <c r="AE37" i="15"/>
  <c r="AE62" i="15"/>
  <c r="AE13" i="9"/>
  <c r="AE38" i="15"/>
  <c r="AE63" i="15"/>
  <c r="AE14" i="9"/>
  <c r="AE39" i="15"/>
  <c r="AE64" i="15"/>
  <c r="AE40" i="15"/>
  <c r="AE66" i="15"/>
  <c r="AG78" i="8"/>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H76" i="8"/>
  <c r="AF10" i="9"/>
  <c r="AF34" i="15"/>
  <c r="AF26" i="15"/>
  <c r="AF31" i="15"/>
  <c r="AF18" i="15"/>
  <c r="AF32" i="15"/>
  <c r="AF59" i="15"/>
  <c r="AH74" i="8"/>
  <c r="AF11" i="9"/>
  <c r="AF35" i="15"/>
  <c r="AF61" i="15"/>
  <c r="AH75" i="8"/>
  <c r="AF12" i="9"/>
  <c r="AF37" i="15"/>
  <c r="AF62" i="15"/>
  <c r="AF13" i="9"/>
  <c r="AF38" i="15"/>
  <c r="AF63" i="15"/>
  <c r="AF14" i="9"/>
  <c r="AF39" i="15"/>
  <c r="AF64" i="15"/>
  <c r="AF40" i="15"/>
  <c r="AF66" i="15"/>
  <c r="AH78" i="8"/>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I76" i="8"/>
  <c r="AG10" i="9"/>
  <c r="AG34" i="15"/>
  <c r="AG26" i="15"/>
  <c r="AG31" i="15"/>
  <c r="AG18" i="15"/>
  <c r="AG32" i="15"/>
  <c r="AG59" i="15"/>
  <c r="AI74" i="8"/>
  <c r="AG11" i="9"/>
  <c r="AG35" i="15"/>
  <c r="AG61" i="15"/>
  <c r="AI75" i="8"/>
  <c r="AG12" i="9"/>
  <c r="AG37" i="15"/>
  <c r="AG62" i="15"/>
  <c r="AG13" i="9"/>
  <c r="AG38" i="15"/>
  <c r="AG63" i="15"/>
  <c r="AG14" i="9"/>
  <c r="AG39" i="15"/>
  <c r="AG64" i="15"/>
  <c r="AG40" i="15"/>
  <c r="AG66" i="15"/>
  <c r="AI78" i="8"/>
  <c r="AG16" i="9"/>
  <c r="AG42" i="15"/>
  <c r="AG43" i="15"/>
  <c r="AG24" i="15"/>
  <c r="AG30" i="15"/>
  <c r="AG46" i="15"/>
  <c r="AI60" i="11"/>
  <c r="AG47" i="15"/>
  <c r="AG48" i="15"/>
  <c r="AG49" i="15"/>
  <c r="AG86" i="15"/>
  <c r="AG87" i="15"/>
  <c r="AG88" i="15"/>
  <c r="AG89" i="15"/>
  <c r="AG90" i="15"/>
  <c r="AG91" i="15"/>
  <c r="AG92" i="15"/>
  <c r="AG93" i="15"/>
  <c r="AG94" i="15"/>
  <c r="AG95" i="15"/>
  <c r="AG16" i="15"/>
  <c r="Y13" i="15"/>
  <c r="Y14" i="15"/>
  <c r="AA76" i="8"/>
  <c r="Y10" i="9"/>
  <c r="Y34" i="15"/>
  <c r="Y31" i="15"/>
  <c r="Y32" i="15"/>
  <c r="AA74" i="8"/>
  <c r="Y11" i="9"/>
  <c r="Y35" i="15"/>
  <c r="AA75" i="8"/>
  <c r="Y12" i="9"/>
  <c r="Y37" i="15"/>
  <c r="Y13" i="9"/>
  <c r="Y38" i="15"/>
  <c r="Y14" i="9"/>
  <c r="Y39" i="15"/>
  <c r="Y40" i="15"/>
  <c r="AA78" i="8"/>
  <c r="Y16" i="9"/>
  <c r="Y42" i="15"/>
  <c r="Y43" i="15"/>
  <c r="Y30" i="15"/>
  <c r="Y46" i="15"/>
  <c r="AA60" i="11"/>
  <c r="Y47" i="15"/>
  <c r="Y48" i="15"/>
  <c r="Y49" i="15"/>
  <c r="Y86" i="15"/>
  <c r="Y87" i="15"/>
  <c r="Y88" i="15"/>
  <c r="Y89" i="15"/>
  <c r="Y90" i="15"/>
  <c r="Y91" i="15"/>
  <c r="Y92" i="15"/>
  <c r="Y93" i="15"/>
  <c r="Y94" i="15"/>
  <c r="Y95" i="15"/>
  <c r="Y16" i="15"/>
  <c r="H78" i="8"/>
  <c r="I78" i="8"/>
  <c r="J78" i="8"/>
  <c r="K78" i="8"/>
  <c r="L78" i="8"/>
  <c r="M78" i="8"/>
  <c r="N78" i="8"/>
  <c r="O78" i="8"/>
  <c r="Q78" i="8"/>
  <c r="R78" i="8"/>
  <c r="S78" i="8"/>
  <c r="T78" i="8"/>
  <c r="U78" i="8"/>
  <c r="V78" i="8"/>
  <c r="W78" i="8"/>
  <c r="X78" i="8"/>
  <c r="Y78" i="8"/>
  <c r="Z78" i="8"/>
  <c r="AJ78" i="8"/>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8" i="8"/>
  <c r="G77" i="8"/>
  <c r="H76" i="8"/>
  <c r="I76" i="8"/>
  <c r="J76" i="8"/>
  <c r="K76" i="8"/>
  <c r="L76" i="8"/>
  <c r="M76" i="8"/>
  <c r="N76" i="8"/>
  <c r="O76" i="8"/>
  <c r="Q76" i="8"/>
  <c r="R76" i="8"/>
  <c r="S76" i="8"/>
  <c r="T76" i="8"/>
  <c r="U76" i="8"/>
  <c r="V76" i="8"/>
  <c r="W76" i="8"/>
  <c r="X76" i="8"/>
  <c r="Y76" i="8"/>
  <c r="Z76" i="8"/>
  <c r="AJ76" i="8"/>
  <c r="G76" i="8"/>
  <c r="H75" i="8"/>
  <c r="I75" i="8"/>
  <c r="J75" i="8"/>
  <c r="K75" i="8"/>
  <c r="L75" i="8"/>
  <c r="M75" i="8"/>
  <c r="N75" i="8"/>
  <c r="O75" i="8"/>
  <c r="Q75" i="8"/>
  <c r="R75" i="8"/>
  <c r="S75" i="8"/>
  <c r="T75" i="8"/>
  <c r="U75" i="8"/>
  <c r="V75" i="8"/>
  <c r="W75" i="8"/>
  <c r="X75" i="8"/>
  <c r="Y75" i="8"/>
  <c r="Z75" i="8"/>
  <c r="AJ75" i="8"/>
  <c r="G75" i="8"/>
  <c r="H74" i="8"/>
  <c r="I74" i="8"/>
  <c r="K74" i="8"/>
  <c r="L74" i="8"/>
  <c r="M74" i="8"/>
  <c r="N74" i="8"/>
  <c r="O74" i="8"/>
  <c r="Q74" i="8"/>
  <c r="R74" i="8"/>
  <c r="S74" i="8"/>
  <c r="T74" i="8"/>
  <c r="U74" i="8"/>
  <c r="V74" i="8"/>
  <c r="W74" i="8"/>
  <c r="X74" i="8"/>
  <c r="Y74" i="8"/>
  <c r="Z74" i="8"/>
  <c r="AJ74" i="8"/>
  <c r="G74" i="8"/>
  <c r="H73" i="8"/>
  <c r="I73" i="8"/>
  <c r="J73" i="8"/>
  <c r="K73" i="8"/>
  <c r="L73" i="8"/>
  <c r="M73" i="8"/>
  <c r="N73" i="8"/>
  <c r="O73" i="8"/>
  <c r="Q73" i="8"/>
  <c r="R73" i="8"/>
  <c r="S73" i="8"/>
  <c r="T73" i="8"/>
  <c r="U73" i="8"/>
  <c r="V73" i="8"/>
  <c r="W73" i="8"/>
  <c r="X73" i="8"/>
  <c r="Y73" i="8"/>
  <c r="AA73" i="8"/>
  <c r="AB73" i="8"/>
  <c r="AC73" i="8"/>
  <c r="AD73" i="8"/>
  <c r="AE73" i="8"/>
  <c r="AF73" i="8"/>
  <c r="AG73" i="8"/>
  <c r="AH73" i="8"/>
  <c r="AI73" i="8"/>
  <c r="AJ73" i="8"/>
  <c r="G73" i="8"/>
  <c r="G50" i="11"/>
  <c r="G51" i="11"/>
  <c r="G49" i="11"/>
  <c r="B58" i="11"/>
  <c r="C58" i="11"/>
  <c r="D58" i="11"/>
  <c r="E58" i="11"/>
  <c r="F58" i="11"/>
  <c r="X10" i="9"/>
  <c r="X11" i="9"/>
  <c r="X12" i="9"/>
  <c r="X13" i="9"/>
  <c r="X14" i="9"/>
  <c r="X16" i="9"/>
  <c r="X18" i="9"/>
  <c r="D12" i="5"/>
  <c r="E12" i="5"/>
  <c r="AH8" i="9"/>
  <c r="AH7" i="9"/>
  <c r="AH10" i="9"/>
  <c r="AH11" i="9"/>
  <c r="AH12" i="9"/>
  <c r="AH14" i="9"/>
  <c r="AH16" i="9"/>
  <c r="AH18" i="9"/>
  <c r="D13" i="5"/>
  <c r="E13" i="5"/>
  <c r="G13" i="5"/>
  <c r="G12" i="5"/>
  <c r="E60" i="11"/>
  <c r="F60" i="11"/>
  <c r="G60" i="11"/>
  <c r="H60" i="11"/>
  <c r="I60" i="11"/>
  <c r="J60" i="11"/>
  <c r="K60" i="11"/>
  <c r="L60" i="11"/>
  <c r="M60" i="11"/>
  <c r="N60" i="11"/>
  <c r="O60" i="11"/>
  <c r="P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32" i="15"/>
  <c r="H14" i="9"/>
  <c r="H39" i="15"/>
  <c r="H7" i="9"/>
  <c r="H31" i="15"/>
  <c r="H10" i="9"/>
  <c r="H34" i="15"/>
  <c r="H12" i="9"/>
  <c r="H37" i="15"/>
  <c r="H16" i="9"/>
  <c r="H42"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H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29"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49" i="15"/>
  <c r="H252" i="15"/>
  <c r="H250" i="15"/>
  <c r="H251" i="15"/>
  <c r="H253" i="15"/>
  <c r="H254" i="15"/>
  <c r="H100"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127"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93" i="15"/>
  <c r="AH59" i="15"/>
  <c r="AH61" i="15"/>
  <c r="AH65" i="15"/>
  <c r="AH50" i="15"/>
  <c r="AH66" i="15"/>
  <c r="AH58" i="15"/>
  <c r="AH85" i="15"/>
  <c r="AH57" i="15"/>
  <c r="Z141" i="15"/>
  <c r="Z218" i="15"/>
  <c r="Z239" i="15"/>
  <c r="X241" i="15"/>
  <c r="X84" i="15"/>
  <c r="X50" i="15"/>
  <c r="X56" i="15"/>
  <c r="X88" i="15"/>
  <c r="X65" i="15"/>
  <c r="X93"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01" i="15"/>
  <c r="H128"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93"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6" i="15"/>
  <c r="H117" i="15"/>
  <c r="H144" i="15"/>
  <c r="H115" i="15"/>
  <c r="H214" i="15"/>
  <c r="H131" i="15"/>
  <c r="H143" i="15"/>
  <c r="H221" i="15"/>
  <c r="H242" i="15"/>
  <c r="H93"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3" authorId="0">
      <text>
        <r>
          <rPr>
            <b/>
            <sz val="9"/>
            <color indexed="81"/>
            <rFont val="Tahoma"/>
            <family val="2"/>
          </rPr>
          <t>Max:</t>
        </r>
        <r>
          <rPr>
            <sz val="9"/>
            <color indexed="81"/>
            <rFont val="Tahoma"/>
            <family val="2"/>
          </rPr>
          <t xml:space="preserve">
Kammen04 and 08</t>
        </r>
      </text>
    </comment>
    <comment ref="G13" authorId="0">
      <text>
        <r>
          <rPr>
            <b/>
            <sz val="9"/>
            <color indexed="81"/>
            <rFont val="Tahoma"/>
            <family val="2"/>
          </rPr>
          <t>Max:</t>
        </r>
        <r>
          <rPr>
            <sz val="9"/>
            <color indexed="81"/>
            <rFont val="Tahoma"/>
            <family val="2"/>
          </rPr>
          <t xml:space="preserve">
not specified
</t>
        </r>
      </text>
    </comment>
    <comment ref="F14"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5" authorId="0">
      <text>
        <r>
          <rPr>
            <b/>
            <sz val="9"/>
            <color indexed="81"/>
            <rFont val="Tahoma"/>
            <family val="2"/>
          </rPr>
          <t>Max:</t>
        </r>
        <r>
          <rPr>
            <sz val="9"/>
            <color indexed="81"/>
            <rFont val="Tahoma"/>
            <family val="2"/>
          </rPr>
          <t xml:space="preserve">
not sure about this, conservative assumption for jobs
</t>
        </r>
      </text>
    </comment>
    <comment ref="C17" authorId="0">
      <text>
        <r>
          <rPr>
            <b/>
            <sz val="9"/>
            <color indexed="81"/>
            <rFont val="Tahoma"/>
            <family val="2"/>
          </rPr>
          <t>Max:</t>
        </r>
        <r>
          <rPr>
            <sz val="9"/>
            <color indexed="81"/>
            <rFont val="Tahoma"/>
            <family val="2"/>
          </rPr>
          <t xml:space="preserve">
EPRI 01 capacity 90%
</t>
        </r>
      </text>
    </comment>
    <comment ref="C18" authorId="0">
      <text>
        <r>
          <rPr>
            <b/>
            <sz val="9"/>
            <color indexed="81"/>
            <rFont val="Tahoma"/>
            <family val="2"/>
          </rPr>
          <t>Max:</t>
        </r>
        <r>
          <rPr>
            <sz val="9"/>
            <color indexed="81"/>
            <rFont val="Tahoma"/>
            <family val="2"/>
          </rPr>
          <t xml:space="preserve">
Kammen 08 presentation</t>
        </r>
      </text>
    </comment>
    <comment ref="C20" authorId="0">
      <text>
        <r>
          <rPr>
            <b/>
            <sz val="9"/>
            <color indexed="81"/>
            <rFont val="Tahoma"/>
            <family val="2"/>
          </rPr>
          <t>Max:</t>
        </r>
        <r>
          <rPr>
            <sz val="9"/>
            <color indexed="81"/>
            <rFont val="Tahoma"/>
            <family val="2"/>
          </rPr>
          <t xml:space="preserve">
EPRI 01 cap 55%
</t>
        </r>
      </text>
    </comment>
    <comment ref="O21" authorId="0">
      <text>
        <r>
          <rPr>
            <sz val="9"/>
            <color indexed="81"/>
            <rFont val="Tahoma"/>
            <family val="2"/>
          </rPr>
          <t xml:space="preserve">Karim:
New update from the solar foundation assuming that all other jobs are O&amp;M
</t>
        </r>
      </text>
    </comment>
    <comment ref="C22" authorId="0">
      <text>
        <r>
          <rPr>
            <b/>
            <sz val="9"/>
            <color indexed="81"/>
            <rFont val="Tahoma"/>
            <family val="2"/>
          </rPr>
          <t>Max:</t>
        </r>
        <r>
          <rPr>
            <sz val="9"/>
            <color indexed="81"/>
            <rFont val="Tahoma"/>
            <family val="2"/>
          </rPr>
          <t xml:space="preserve">
Kammen 08 presentation</t>
        </r>
      </text>
    </comment>
    <comment ref="C24" authorId="0">
      <text>
        <r>
          <rPr>
            <b/>
            <sz val="9"/>
            <color indexed="81"/>
            <rFont val="Tahoma"/>
            <family val="2"/>
          </rPr>
          <t>Max:</t>
        </r>
        <r>
          <rPr>
            <sz val="9"/>
            <color indexed="81"/>
            <rFont val="Tahoma"/>
            <family val="2"/>
          </rPr>
          <t xml:space="preserve">
NREL08 cap 40%</t>
        </r>
      </text>
    </comment>
    <comment ref="A25" authorId="0">
      <text>
        <r>
          <rPr>
            <b/>
            <sz val="9"/>
            <color indexed="81"/>
            <rFont val="Tahoma"/>
            <family val="2"/>
          </rPr>
          <t>Max:</t>
        </r>
        <r>
          <rPr>
            <sz val="9"/>
            <color indexed="81"/>
            <rFont val="Tahoma"/>
            <family val="2"/>
          </rPr>
          <t xml:space="preserve">
100 MW parabolic trough plant with 6 hours of storage</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E27" authorId="0">
      <text>
        <r>
          <rPr>
            <b/>
            <sz val="9"/>
            <color indexed="81"/>
            <rFont val="Tahoma"/>
            <family val="2"/>
          </rPr>
          <t>Max:</t>
        </r>
        <r>
          <rPr>
            <sz val="9"/>
            <color indexed="81"/>
            <rFont val="Tahoma"/>
            <family val="2"/>
          </rPr>
          <t xml:space="preserve">
direct CIM; Another 5 is indirect manufacturing
</t>
        </r>
      </text>
    </comment>
    <comment ref="F27" authorId="0">
      <text>
        <r>
          <rPr>
            <b/>
            <sz val="9"/>
            <color indexed="81"/>
            <rFont val="Tahoma"/>
            <family val="2"/>
          </rPr>
          <t>Max:</t>
        </r>
        <r>
          <rPr>
            <sz val="9"/>
            <color indexed="81"/>
            <rFont val="Tahoma"/>
            <family val="2"/>
          </rPr>
          <t xml:space="preserve">
includes 0.07 jobs/MWp for consultants, researchers, financial services</t>
        </r>
      </text>
    </comment>
    <comment ref="E28" authorId="0">
      <text>
        <r>
          <rPr>
            <b/>
            <sz val="9"/>
            <color indexed="81"/>
            <rFont val="Tahoma"/>
            <family val="2"/>
          </rPr>
          <t>Max:</t>
        </r>
        <r>
          <rPr>
            <sz val="9"/>
            <color indexed="81"/>
            <rFont val="Tahoma"/>
            <family val="2"/>
          </rPr>
          <t xml:space="preserve">
direct CIM; Another 5 is indirect manufacturing
</t>
        </r>
      </text>
    </comment>
    <comment ref="C32" authorId="0">
      <text>
        <r>
          <rPr>
            <b/>
            <sz val="9"/>
            <color indexed="81"/>
            <rFont val="Tahoma"/>
            <family val="2"/>
          </rPr>
          <t>Max:</t>
        </r>
        <r>
          <rPr>
            <sz val="9"/>
            <color indexed="81"/>
            <rFont val="Tahoma"/>
            <family val="2"/>
          </rPr>
          <t xml:space="preserve">
take same as Coal</t>
        </r>
      </text>
    </comment>
    <comment ref="C34" authorId="0">
      <text>
        <r>
          <rPr>
            <b/>
            <sz val="9"/>
            <color indexed="81"/>
            <rFont val="Tahoma"/>
            <family val="2"/>
          </rPr>
          <t>Max:</t>
        </r>
        <r>
          <rPr>
            <sz val="9"/>
            <color indexed="81"/>
            <rFont val="Tahoma"/>
            <family val="2"/>
          </rPr>
          <t xml:space="preserve">
kammen 08
</t>
        </r>
      </text>
    </comment>
    <comment ref="C35" authorId="0">
      <text>
        <r>
          <rPr>
            <b/>
            <sz val="9"/>
            <color indexed="81"/>
            <rFont val="Tahoma"/>
            <family val="2"/>
          </rPr>
          <t>Max:</t>
        </r>
        <r>
          <rPr>
            <sz val="9"/>
            <color indexed="81"/>
            <rFont val="Tahoma"/>
            <family val="2"/>
          </rPr>
          <t xml:space="preserve">
page 15
Also Kammen08 ref</t>
        </r>
      </text>
    </comment>
    <comment ref="F35" authorId="0">
      <text>
        <r>
          <rPr>
            <b/>
            <sz val="9"/>
            <color indexed="81"/>
            <rFont val="Tahoma"/>
            <family val="2"/>
          </rPr>
          <t>Max:</t>
        </r>
        <r>
          <rPr>
            <sz val="9"/>
            <color indexed="81"/>
            <rFont val="Tahoma"/>
            <family val="2"/>
          </rPr>
          <t xml:space="preserve">
Non-Fuel O&amp;M only
</t>
        </r>
      </text>
    </comment>
    <comment ref="C36"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<sst xmlns="http://schemas.openxmlformats.org/spreadsheetml/2006/main" count="1328" uniqueCount="754">
  <si>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</si>
  <si>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</si>
  <si>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</si>
  <si>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</si>
  <si>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</si>
  <si>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</si>
  <si>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</si>
  <si>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</si>
  <si>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</si>
  <si>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</si>
  <si>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</si>
  <si>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</si>
  <si>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</si>
  <si>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</si>
  <si>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</si>
  <si>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</si>
  <si>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</si>
  <si>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</si>
  <si>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</si>
  <si>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</si>
  <si>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</si>
  <si>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</si>
  <si>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</si>
  <si>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</si>
  <si>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</si>
  <si>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</si>
  <si>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</si>
  <si>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</si>
  <si>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</si>
  <si>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</si>
  <si>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</si>
  <si>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</si>
  <si>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</si>
  <si>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</si>
  <si>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</si>
  <si>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</si>
  <si>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</si>
  <si>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</si>
  <si>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</si>
  <si>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</si>
  <si>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</si>
  <si>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</si>
  <si>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</si>
  <si>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</si>
  <si>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</si>
  <si>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</si>
  <si>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</si>
  <si>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</si>
  <si>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</si>
  <si>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</si>
  <si>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</si>
  <si>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</si>
  <si>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</si>
  <si>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</si>
  <si>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</si>
  <si>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</si>
  <si>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</si>
  <si>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</si>
  <si>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</si>
  <si>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</si>
  <si>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</si>
  <si>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</si>
  <si>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</si>
  <si>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</si>
  <si>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</si>
  <si>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</si>
  <si>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</si>
  <si>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</si>
  <si>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</si>
  <si>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</si>
  <si>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</si>
  <si>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</si>
  <si>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</si>
  <si>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</si>
  <si>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</si>
  <si>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</si>
  <si>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</si>
  <si>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</si>
  <si>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</si>
  <si>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</si>
  <si>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</si>
  <si>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</si>
  <si>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</si>
  <si>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</si>
  <si>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</si>
  <si>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</si>
  <si>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</si>
  <si>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</si>
  <si>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</si>
  <si>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</si>
  <si>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</si>
  <si>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</si>
  <si>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</si>
  <si>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</si>
  <si>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</si>
  <si>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</si>
  <si>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</si>
  <si>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</si>
  <si>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</si>
  <si>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</si>
  <si>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</si>
  <si>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</si>
  <si>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</si>
  <si>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</si>
  <si>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</si>
  <si>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</si>
  <si>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</si>
  <si>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</si>
  <si>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</si>
  <si>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</si>
  <si>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</si>
  <si>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</si>
  <si>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</si>
  <si>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</si>
  <si>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</si>
  <si>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</si>
  <si>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</si>
  <si>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</si>
  <si>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</si>
  <si>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</si>
  <si>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</si>
  <si>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</si>
  <si>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</si>
  <si>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</si>
  <si>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</si>
  <si>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</si>
  <si>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</si>
  <si>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</si>
  <si>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</si>
  <si>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</si>
  <si>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</si>
  <si>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</si>
  <si>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</si>
  <si>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</si>
  <si>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</si>
  <si>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</si>
  <si>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</si>
  <si>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</si>
  <si>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</si>
  <si>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</si>
  <si>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</si>
  <si>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</si>
  <si>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</si>
  <si>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</si>
  <si>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</si>
  <si>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</si>
  <si>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</si>
  <si>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</si>
  <si>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</si>
  <si>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</si>
  <si>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</si>
  <si>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</si>
  <si>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</si>
  <si>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</si>
  <si>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</si>
  <si>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</si>
  <si>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</si>
  <si>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</si>
  <si>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</si>
  <si>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</si>
  <si>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</si>
  <si>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</si>
  <si>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</si>
  <si>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</si>
  <si>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</si>
  <si>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</si>
  <si>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</si>
  <si>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</si>
  <si>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</si>
  <si>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</si>
  <si>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</si>
  <si>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</si>
  <si>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</si>
  <si>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</si>
  <si>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</si>
  <si>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</si>
  <si>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</si>
  <si>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</si>
  <si>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</si>
  <si>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</si>
  <si>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</si>
  <si>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</si>
  <si>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</si>
  <si>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</si>
  <si>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</si>
  <si>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</si>
  <si>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</si>
  <si>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</si>
  <si>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</si>
  <si>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</si>
  <si>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</si>
  <si>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</si>
  <si>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</si>
  <si>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</si>
  <si>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</si>
  <si>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</si>
  <si>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</si>
  <si>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</si>
  <si>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</si>
  <si>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</si>
  <si>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</si>
  <si>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</si>
  <si>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</si>
  <si>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</si>
  <si>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</si>
  <si>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</si>
  <si>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</si>
  <si>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</si>
  <si>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</si>
  <si>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</si>
  <si>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</si>
  <si>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</si>
  <si>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</si>
  <si>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</si>
  <si>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</si>
  <si>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</si>
  <si>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</si>
  <si>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</si>
  <si>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</si>
  <si>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</si>
  <si>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</si>
  <si>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</si>
  <si>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</si>
  <si>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</si>
  <si>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</si>
  <si>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</si>
  <si>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</si>
  <si>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</si>
  <si>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</si>
  <si>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</si>
  <si>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</si>
  <si>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</si>
  <si>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</si>
  <si>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</si>
  <si>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</si>
  <si>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</si>
  <si>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</si>
  <si>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</si>
  <si>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</si>
  <si>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</si>
  <si>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</si>
  <si>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</si>
  <si>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</si>
  <si>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</si>
  <si>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</si>
  <si>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</si>
  <si>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</si>
  <si>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</si>
  <si>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</si>
  <si>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</si>
  <si>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</si>
  <si>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</si>
  <si>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</si>
  <si>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</si>
  <si>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</si>
  <si>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</si>
  <si>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</si>
  <si>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</si>
  <si>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</si>
  <si>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</si>
  <si>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</si>
  <si>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</si>
  <si>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</si>
  <si>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</si>
  <si>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</si>
  <si>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</si>
  <si>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</si>
  <si>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</si>
  <si>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</si>
  <si>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</si>
  <si>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</si>
  <si>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</si>
  <si>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</si>
  <si>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</si>
  <si>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</si>
  <si>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</si>
  <si>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</si>
  <si>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</si>
  <si>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</si>
  <si>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</si>
  <si>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</si>
  <si>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</si>
  <si>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</si>
  <si>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</si>
  <si>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</si>
  <si>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</si>
  <si>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</si>
  <si>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</si>
  <si>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</si>
  <si>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</si>
  <si>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</si>
  <si>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</si>
  <si>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</si>
  <si>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</si>
  <si>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</si>
  <si>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</si>
  <si>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</si>
  <si>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</si>
  <si>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</si>
  <si>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</si>
  <si>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</si>
  <si>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</si>
  <si>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</si>
  <si>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</si>
  <si>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</si>
  <si>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</si>
  <si>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</si>
  <si>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</si>
  <si>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</si>
  <si>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</si>
  <si>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</si>
  <si>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</si>
  <si>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</si>
  <si>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</si>
  <si>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</si>
  <si>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</si>
  <si>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</si>
  <si>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</si>
  <si>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</si>
  <si>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</si>
  <si>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</si>
  <si>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</si>
  <si>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</si>
  <si>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</si>
  <si>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</si>
  <si>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</si>
  <si>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</si>
  <si>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</si>
  <si>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</si>
  <si>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</si>
  <si>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</si>
  <si>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</si>
  <si>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</si>
  <si>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</si>
  <si>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</si>
  <si>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</si>
  <si>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</si>
  <si>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</si>
  <si>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</si>
  <si>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</si>
  <si>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</si>
  <si>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</si>
  <si>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</si>
  <si>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</si>
  <si>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</si>
  <si>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</si>
  <si>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</si>
  <si>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</si>
  <si>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</si>
  <si>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</si>
  <si>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</si>
  <si>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</si>
  <si>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</si>
  <si>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</si>
  <si>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</si>
  <si>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</si>
  <si>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</si>
  <si>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</si>
  <si>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</si>
  <si>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</si>
  <si>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</si>
  <si>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</si>
  <si>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</si>
  <si>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</si>
  <si>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</si>
  <si>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</si>
  <si>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</si>
  <si>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</si>
  <si>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</si>
  <si>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</si>
  <si>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</si>
  <si>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</si>
  <si>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</si>
  <si>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</si>
  <si>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</si>
  <si>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</si>
  <si>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</si>
  <si>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</si>
  <si>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</si>
  <si>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</si>
  <si>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</si>
  <si>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</si>
  <si>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</si>
  <si>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</si>
  <si>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</si>
  <si>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</si>
  <si>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</si>
  <si>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</si>
  <si>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</si>
  <si>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</si>
  <si>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</si>
  <si>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</si>
  <si>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</si>
  <si>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</si>
  <si>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</si>
  <si>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</si>
  <si>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</si>
  <si>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</si>
  <si>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</si>
  <si>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</si>
  <si>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</si>
  <si>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</si>
  <si>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</si>
  <si>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</si>
  <si>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</si>
  <si>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</si>
  <si>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</si>
  <si>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</si>
  <si>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</si>
  <si>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</si>
  <si>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</si>
  <si>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</si>
  <si>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</si>
  <si>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</si>
  <si>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</si>
  <si>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</si>
  <si>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</si>
  <si>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</si>
  <si>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</si>
  <si>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</si>
  <si>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</si>
  <si>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</si>
  <si>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</si>
  <si>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</si>
  <si>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</si>
  <si>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</si>
  <si>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</si>
  <si>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</si>
  <si>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</si>
  <si>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</si>
  <si>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</si>
  <si>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</si>
  <si>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</si>
  <si>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</si>
  <si>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</si>
  <si>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</si>
  <si>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</si>
  <si>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</si>
  <si>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</si>
  <si>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</si>
  <si>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</si>
  <si>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</si>
  <si>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</si>
  <si>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</si>
  <si>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</si>
  <si>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</si>
  <si>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</si>
  <si>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</si>
  <si>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</si>
  <si>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</si>
  <si>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</si>
  <si>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</si>
  <si>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</si>
  <si>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</si>
  <si>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</si>
  <si>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</si>
  <si>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</si>
  <si>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</si>
  <si>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</si>
  <si>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</si>
  <si>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</si>
  <si>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</si>
  <si>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</si>
  <si>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</si>
  <si>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</si>
  <si>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</si>
  <si>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</si>
  <si>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</si>
  <si>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</si>
  <si>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</si>
  <si>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</si>
  <si>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</si>
  <si>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</si>
  <si>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</si>
  <si>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</si>
  <si>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</si>
  <si>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</si>
  <si>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</si>
  <si>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</si>
  <si>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</si>
  <si>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</si>
  <si>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</si>
  <si>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</si>
  <si>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</si>
  <si>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</si>
  <si>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</si>
  <si>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</si>
  <si>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</si>
  <si>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</si>
  <si>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</si>
  <si>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</si>
  <si>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</si>
  <si>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</si>
  <si>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</si>
  <si>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</si>
  <si>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</si>
  <si>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</si>
  <si>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</si>
  <si>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</si>
  <si>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</si>
  <si>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</si>
  <si>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</si>
  <si>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</si>
  <si>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</si>
  <si>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</si>
  <si>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</si>
  <si>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</si>
  <si>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</si>
  <si>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</si>
  <si>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</si>
  <si>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</si>
  <si>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</si>
  <si>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</si>
  <si>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</si>
  <si>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</si>
  <si>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</si>
  <si>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</si>
  <si>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</si>
  <si>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</si>
  <si>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</si>
  <si>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</si>
  <si>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</si>
  <si>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</si>
  <si>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</si>
  <si>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</si>
  <si>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</si>
  <si>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</si>
  <si>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</si>
  <si>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</si>
  <si>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</si>
  <si>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</si>
  <si>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</si>
  <si>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</si>
  <si>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</si>
  <si>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</si>
  <si>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</si>
  <si>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</si>
  <si>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</si>
  <si>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</si>
  <si>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</si>
  <si>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</si>
  <si>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</si>
  <si>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</si>
  <si>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</si>
  <si>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</si>
  <si>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</si>
  <si>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</si>
  <si>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</si>
  <si>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</si>
  <si>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</si>
  <si>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</si>
  <si>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</si>
  <si>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</si>
  <si>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</si>
  <si>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</si>
  <si>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</si>
  <si>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</si>
  <si>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</si>
  <si>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</si>
  <si>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</si>
  <si>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</si>
  <si>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</si>
  <si>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</si>
  <si>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</si>
  <si>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</si>
  <si>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</si>
  <si>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</si>
  <si>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</si>
  <si>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</si>
  <si>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</si>
  <si>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</si>
  <si>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</si>
  <si>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</si>
  <si>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</si>
  <si>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</si>
  <si>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</si>
  <si>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</si>
  <si>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</si>
  <si>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</si>
  <si>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</si>
  <si>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</si>
  <si>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</si>
  <si>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</si>
  <si>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</si>
  <si>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</si>
  <si>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</si>
  <si>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</si>
  <si>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</si>
  <si>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</si>
  <si>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</si>
  <si>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</si>
  <si>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</si>
  <si>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</si>
  <si>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</si>
  <si>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</si>
  <si>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</si>
  <si>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</si>
  <si>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</si>
  <si>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</si>
  <si>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</si>
  <si>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</si>
  <si>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</si>
  <si>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</si>
  <si>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</si>
  <si>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</si>
  <si>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</si>
  <si>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</si>
  <si>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</si>
  <si>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</si>
  <si>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</si>
  <si>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</si>
  <si>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</si>
  <si>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</si>
  <si>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</si>
  <si>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</si>
  <si>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</si>
  <si>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</si>
  <si>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</si>
  <si>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</si>
  <si>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</si>
  <si>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</si>
  <si>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</si>
  <si>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</si>
  <si>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</si>
  <si>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</si>
  <si>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</si>
  <si>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</si>
  <si>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</si>
  <si>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</si>
  <si>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</si>
  <si>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</si>
  <si>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</si>
  <si>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</si>
  <si>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</si>
  <si>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</si>
  <si>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</si>
  <si>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</si>
  <si>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</si>
  <si>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</si>
  <si>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</si>
  <si>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</si>
  <si>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</si>
  <si>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</si>
  <si>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</si>
  <si>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</si>
  <si>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</si>
  <si>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</si>
  <si>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</si>
  <si>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</si>
  <si>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</si>
  <si>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</si>
  <si>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</si>
  <si>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</si>
  <si>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</si>
  <si>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</si>
  <si>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</si>
  <si>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</si>
  <si>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</si>
  <si>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</si>
  <si>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</si>
  <si>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</si>
  <si>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</si>
  <si>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</si>
  <si>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</si>
  <si>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</si>
  <si>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</si>
  <si>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</si>
  <si>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</si>
  <si>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</si>
  <si>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</si>
  <si>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</si>
  <si>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</si>
  <si>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</si>
  <si>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</si>
  <si>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</si>
  <si>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</si>
  <si>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</si>
  <si>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</si>
  <si>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</si>
  <si>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</si>
  <si>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</si>
  <si>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</si>
  <si>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</si>
  <si>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</si>
  <si>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</si>
  <si>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</si>
  <si>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</si>
  <si>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</si>
  <si>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</si>
  <si>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</si>
  <si>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</si>
  <si>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</si>
  <si>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</si>
  <si>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</si>
  <si>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</si>
  <si>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</si>
  <si>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</si>
  <si>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</si>
  <si>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</si>
  <si>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</si>
  <si>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</si>
  <si>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</si>
  <si>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</si>
  <si>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</si>
  <si>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</si>
  <si>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</si>
  <si>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</si>
  <si>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</si>
  <si>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</si>
  <si>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</si>
  <si>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</si>
  <si>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</si>
  <si>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</si>
  <si>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</si>
  <si>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</si>
  <si>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</si>
  <si>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</si>
  <si>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</si>
  <si>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</si>
  <si>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</si>
  <si>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</si>
  <si>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</si>
  <si>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</si>
  <si>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</si>
  <si>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</si>
  <si>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</si>
  <si>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</si>
  <si>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</si>
  <si>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</si>
  <si>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</si>
  <si>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</si>
  <si>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</si>
  <si>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</si>
  <si>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</si>
  <si>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</si>
  <si>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</si>
  <si>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</si>
  <si>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</si>
  <si>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</si>
  <si>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</si>
  <si>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Total Electricity Generation by Fuel from EIA for Northeastern</t>
  </si>
  <si>
    <t xml:space="preserve">    Other Gases</t>
  </si>
  <si>
    <t>Pumped Storage</t>
  </si>
  <si>
    <t>Other</t>
  </si>
  <si>
    <t>Generation from EIA North Eastern region from EIA</t>
  </si>
  <si>
    <t>Energy Source</t>
  </si>
  <si>
    <t>Total Electricity Generation by Fuel by computation for Maine</t>
  </si>
  <si>
    <t>Contribution of Maine</t>
  </si>
  <si>
    <t>Proportion for Maine</t>
  </si>
  <si>
    <t>Fossil</t>
  </si>
  <si>
    <t xml:space="preserve">   Renewable sources 5,9/</t>
  </si>
  <si>
    <t>Solar percentage</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</si>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</sst>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0_);\(#,##0.000\)"/>
    <numFmt numFmtId="177" formatCode="#,##0.0000_);\(#,##0.0000\)"/>
  </numFmts>
  <fonts count="52"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
      <sz val="10"/>
      <name val="Verdana"/>
    </font>
  </fonts>
  <fills count="12">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8000"/>
        <bgColor indexed="64"/>
      </patternFill>
    </fill>
    <fill>
      <patternFill patternType="solid">
        <fgColor rgb="FFFFFFFF"/>
        <bgColor rgb="FF000000"/>
      </patternFill>
    </fill>
  </fills>
  <borders count="5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
      <left style="thin">
        <color auto="1"/>
      </left>
      <right/>
      <top/>
      <bottom/>
      <diagonal/>
    </border>
  </borders>
  <cellStyleXfs count="28">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77">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67" fontId="21" fillId="2" borderId="1" xfId="10" applyNumberFormat="1" applyFont="1" applyFill="1" applyBorder="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0" fontId="8" fillId="10" borderId="0" xfId="4" applyFont="1" applyFill="1" applyAlignment="1" applyProtection="1">
      <alignment horizontal="left"/>
    </xf>
    <xf numFmtId="0" fontId="8" fillId="10" borderId="0" xfId="4" applyFont="1" applyFill="1" applyAlignment="1" applyProtection="1">
      <alignment horizontal="center"/>
    </xf>
    <xf numFmtId="167" fontId="21" fillId="10" borderId="0" xfId="10" applyNumberFormat="1" applyFont="1" applyFill="1" applyAlignment="1">
      <alignment horizontal="center"/>
    </xf>
    <xf numFmtId="10" fontId="22" fillId="10" borderId="5" xfId="10" applyNumberFormat="1" applyFont="1" applyFill="1" applyBorder="1" applyAlignment="1">
      <alignment horizontal="center"/>
    </xf>
    <xf numFmtId="167" fontId="21" fillId="10" borderId="5" xfId="10" applyNumberFormat="1" applyFont="1" applyFill="1" applyBorder="1" applyAlignment="1">
      <alignment horizontal="center"/>
    </xf>
    <xf numFmtId="0" fontId="0" fillId="10" borderId="0" xfId="0" applyFill="1"/>
    <xf numFmtId="168" fontId="28" fillId="2" borderId="53" xfId="0" applyNumberFormat="1" applyFont="1" applyFill="1" applyBorder="1" applyAlignment="1">
      <alignment wrapText="1"/>
    </xf>
    <xf numFmtId="0" fontId="51" fillId="11" borderId="16" xfId="0" applyFont="1" applyFill="1" applyBorder="1"/>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0" fontId="1" fillId="0" borderId="0" xfId="0" applyFont="1"/>
    <xf numFmtId="9" fontId="1" fillId="0" borderId="0" xfId="6" applyNumberFormat="1" applyFont="1"/>
    <xf numFmtId="2" fontId="1" fillId="0" borderId="0" xfId="0" applyNumberFormat="1" applyFont="1"/>
    <xf numFmtId="0" fontId="0" fillId="0" borderId="0" xfId="0" applyAlignment="1">
      <alignment horizontal="center"/>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0" fontId="1" fillId="0" borderId="0" xfId="0"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0" fontId="1" fillId="0" borderId="57" xfId="0" applyFont="1" applyBorder="1"/>
    <xf numFmtId="2" fontId="14" fillId="0" borderId="15" xfId="6" applyNumberFormat="1" applyFont="1" applyFill="1" applyBorder="1" applyAlignment="1">
      <alignment horizontal="center" vertical="center" wrapText="1"/>
    </xf>
    <xf numFmtId="0" fontId="28" fillId="0" borderId="0" xfId="0" applyFont="1" applyAlignment="1">
      <alignment horizontal="center" vertical="top"/>
    </xf>
    <xf numFmtId="0" fontId="0" fillId="0" borderId="31" xfId="0" applyBorder="1" applyAlignment="1">
      <alignment wrapText="1"/>
    </xf>
    <xf numFmtId="0" fontId="0" fillId="0" borderId="0" xfId="0" applyAlignment="1">
      <alignment wrapText="1"/>
    </xf>
  </cellXfs>
  <cellStyles count="28">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110682888"/>
        <c:axId val="2110685944"/>
      </c:lineChart>
      <c:catAx>
        <c:axId val="211068288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0685944"/>
        <c:crosses val="autoZero"/>
        <c:auto val="1"/>
        <c:lblAlgn val="ctr"/>
        <c:lblOffset val="100"/>
        <c:noMultiLvlLbl val="0"/>
      </c:catAx>
      <c:valAx>
        <c:axId val="2110685944"/>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0682888"/>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77775048"/>
        <c:axId val="2111573240"/>
      </c:lineChart>
      <c:catAx>
        <c:axId val="207777504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1573240"/>
        <c:crosses val="autoZero"/>
        <c:auto val="1"/>
        <c:lblAlgn val="ctr"/>
        <c:lblOffset val="100"/>
        <c:noMultiLvlLbl val="0"/>
      </c:catAx>
      <c:valAx>
        <c:axId val="2111573240"/>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7775048"/>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381000</xdr:colOff>
      <xdr:row>7</xdr:row>
      <xdr:rowOff>12700</xdr:rowOff>
    </xdr:to>
    <xdr:sp macro="" textlink="">
      <xdr:nvSpPr>
        <xdr:cNvPr id="4" name="AutoShape 406"/>
        <xdr:cNvSpPr>
          <a:spLocks noChangeAspect="1" noChangeArrowheads="1"/>
        </xdr:cNvSpPr>
      </xdr:nvSpPr>
      <xdr:spPr bwMode="auto">
        <a:xfrm>
          <a:off x="0" y="0"/>
          <a:ext cx="4686300" cy="10795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abSelected="1" topLeftCell="B6" zoomScale="80" zoomScaleNormal="80" zoomScalePageLayoutView="80" workbookViewId="0">
      <selection activeCell="C13" sqref="C13"/>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42"/>
      <c r="B1" s="542"/>
      <c r="C1" s="542"/>
      <c r="D1" s="542"/>
      <c r="E1" s="542"/>
      <c r="F1" s="542"/>
      <c r="G1" s="542"/>
      <c r="H1" s="542"/>
      <c r="I1" s="542"/>
      <c r="J1" s="542"/>
      <c r="K1" s="542"/>
      <c r="L1" s="542"/>
      <c r="M1" s="542"/>
      <c r="N1" s="542"/>
      <c r="O1" s="542"/>
      <c r="P1" s="542"/>
      <c r="Q1" s="542"/>
      <c r="R1" s="542"/>
      <c r="S1" s="542"/>
      <c r="T1" s="542"/>
    </row>
    <row r="2" spans="1:20" ht="113.25" customHeight="1">
      <c r="A2" s="542"/>
      <c r="B2" s="542"/>
      <c r="C2" s="542"/>
      <c r="D2" s="542"/>
      <c r="E2" s="542"/>
      <c r="F2" s="542"/>
      <c r="G2" s="542"/>
      <c r="H2" s="542"/>
      <c r="I2" s="542"/>
      <c r="J2" s="542"/>
      <c r="K2" s="542"/>
      <c r="L2" s="542"/>
      <c r="M2" s="542"/>
      <c r="N2" s="542"/>
      <c r="O2" s="542"/>
      <c r="P2" s="119"/>
      <c r="Q2" s="119"/>
      <c r="R2" s="119"/>
      <c r="S2" s="119"/>
      <c r="T2" s="119"/>
    </row>
    <row r="3" spans="1:20" ht="15" thickBot="1">
      <c r="C3" s="110"/>
      <c r="D3"/>
      <c r="E3" s="110"/>
      <c r="F3" s="110"/>
      <c r="G3" s="110"/>
      <c r="H3" s="110"/>
      <c r="I3" s="248"/>
      <c r="J3" s="248"/>
      <c r="K3" s="248"/>
      <c r="L3" s="172"/>
      <c r="M3" s="7" t="s">
        <v>0</v>
      </c>
    </row>
    <row r="4" spans="1:20" ht="15" thickBot="1">
      <c r="C4" s="117" t="s">
        <v>141</v>
      </c>
      <c r="D4" s="124"/>
      <c r="E4" s="119"/>
      <c r="F4" s="110"/>
      <c r="G4" s="110"/>
      <c r="H4" s="163" t="s">
        <v>0</v>
      </c>
      <c r="I4" s="248"/>
      <c r="J4" s="248"/>
      <c r="K4" s="248"/>
      <c r="L4" s="172"/>
      <c r="M4" t="s">
        <v>0</v>
      </c>
      <c r="Q4" t="s">
        <v>0</v>
      </c>
      <c r="R4" t="s">
        <v>0</v>
      </c>
    </row>
    <row r="5" spans="1:20">
      <c r="B5" s="1" t="s">
        <v>1</v>
      </c>
      <c r="C5" s="110" t="s">
        <v>706</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382</v>
      </c>
      <c r="C7" s="211" t="s">
        <v>554</v>
      </c>
      <c r="D7" s="114">
        <f>'Output - Jobs vs Yr (BAU)'!X4/'Output - Jobs vs Yr (BAU)'!C4-1</f>
        <v>0.33058598133433104</v>
      </c>
      <c r="E7" s="92" t="s">
        <v>518</v>
      </c>
      <c r="F7" s="109"/>
      <c r="G7" s="109"/>
      <c r="H7" s="29" t="s">
        <v>0</v>
      </c>
      <c r="I7" s="29"/>
      <c r="J7" s="29"/>
      <c r="K7" s="29"/>
      <c r="L7" s="29"/>
      <c r="M7" s="7" t="s">
        <v>0</v>
      </c>
      <c r="N7" t="s">
        <v>0</v>
      </c>
      <c r="O7" t="s">
        <v>0</v>
      </c>
      <c r="P7" t="s">
        <v>0</v>
      </c>
    </row>
    <row r="8" spans="1:20" ht="15" thickBot="1">
      <c r="B8" s="1" t="s">
        <v>367</v>
      </c>
      <c r="C8" s="109"/>
      <c r="D8" s="104" t="s">
        <v>342</v>
      </c>
      <c r="E8" s="498" t="s">
        <v>716</v>
      </c>
      <c r="F8" s="109"/>
      <c r="G8" s="498" t="s">
        <v>717</v>
      </c>
      <c r="H8"/>
      <c r="I8"/>
      <c r="J8"/>
      <c r="K8"/>
      <c r="L8"/>
      <c r="M8" t="s">
        <v>0</v>
      </c>
      <c r="N8" t="s">
        <v>0</v>
      </c>
      <c r="O8" s="111" t="s">
        <v>0</v>
      </c>
      <c r="P8" s="31" t="s">
        <v>0</v>
      </c>
    </row>
    <row r="9" spans="1:20" ht="15.75" hidden="1" customHeight="1" thickBot="1">
      <c r="B9" s="43" t="s">
        <v>367</v>
      </c>
      <c r="C9" s="110"/>
      <c r="D9" s="114" t="e">
        <f>'Output - Jobs vs Yr (BAU)'!X6/'Output - Jobs vs Yr (BAU)'!C6-1</f>
        <v>#DIV/0!</v>
      </c>
      <c r="E9" s="109"/>
      <c r="F9" s="109"/>
      <c r="G9" s="109"/>
      <c r="H9"/>
      <c r="I9"/>
      <c r="J9"/>
      <c r="K9"/>
      <c r="L9"/>
      <c r="M9"/>
      <c r="O9" s="102"/>
    </row>
    <row r="10" spans="1:20" ht="15.75" hidden="1" customHeight="1" thickBot="1">
      <c r="B10" s="93" t="s">
        <v>351</v>
      </c>
      <c r="C10" s="110"/>
      <c r="D10" s="43"/>
      <c r="E10" s="109"/>
      <c r="F10" s="109"/>
      <c r="G10" s="109"/>
      <c r="H10"/>
      <c r="I10"/>
      <c r="J10"/>
      <c r="K10"/>
      <c r="L10"/>
      <c r="M10"/>
      <c r="O10" s="102"/>
    </row>
    <row r="11" spans="1:20" ht="15" thickBot="1">
      <c r="B11" t="s">
        <v>379</v>
      </c>
      <c r="C11" s="126">
        <v>0.62</v>
      </c>
      <c r="D11" s="125">
        <f>'Output - Jobs vs Yr (BAU)'!N18/'Output -Jobs vs Yr'!N14</f>
        <v>0.48291422474434997</v>
      </c>
      <c r="E11"/>
      <c r="F11" s="109"/>
      <c r="G11"/>
      <c r="H11"/>
      <c r="I11"/>
      <c r="J11"/>
      <c r="K11"/>
      <c r="L11"/>
      <c r="M11" t="s">
        <v>0</v>
      </c>
      <c r="N11" t="s">
        <v>0</v>
      </c>
      <c r="O11" s="111" t="s">
        <v>0</v>
      </c>
      <c r="P11" s="31" t="s">
        <v>0</v>
      </c>
    </row>
    <row r="12" spans="1:20" ht="15" thickBot="1">
      <c r="B12" t="s">
        <v>380</v>
      </c>
      <c r="C12" s="210">
        <v>0.67</v>
      </c>
      <c r="D12" s="125">
        <f>'Output - Jobs vs Yr (BAU)'!X18/'Output -Jobs vs Yr'!X14</f>
        <v>0.53649972148671998</v>
      </c>
      <c r="E12" s="497">
        <f>(D12/D11)^(1/10)</f>
        <v>1.0105782576623004</v>
      </c>
      <c r="F12" s="109"/>
      <c r="G12" s="495">
        <f>(C12/C11)^(1/10)</f>
        <v>1.0077859777399065</v>
      </c>
      <c r="H12"/>
      <c r="I12"/>
      <c r="J12"/>
      <c r="K12"/>
      <c r="L12"/>
      <c r="M12" t="s">
        <v>0</v>
      </c>
      <c r="N12" t="s">
        <v>0</v>
      </c>
      <c r="O12" s="111" t="s">
        <v>0</v>
      </c>
      <c r="P12" s="31" t="s">
        <v>0</v>
      </c>
    </row>
    <row r="13" spans="1:20" ht="15" thickBot="1">
      <c r="B13" t="s">
        <v>577</v>
      </c>
      <c r="C13" s="211">
        <v>0.7</v>
      </c>
      <c r="D13" s="173">
        <f>'Output - Jobs vs Yr (BAU)'!AH18/'Output -Jobs vs Yr'!AH14</f>
        <v>0.56152234086748309</v>
      </c>
      <c r="E13" s="497">
        <f>(D13/D12)^(1/10)</f>
        <v>1.0045689578312871</v>
      </c>
      <c r="F13" s="109"/>
      <c r="G13" s="496">
        <f>(C13/C12)^(1/10)</f>
        <v>1.0043898696370781</v>
      </c>
      <c r="H13"/>
      <c r="I13"/>
      <c r="J13"/>
      <c r="K13"/>
      <c r="L13"/>
      <c r="M13"/>
      <c r="O13" s="111"/>
      <c r="P13" s="31"/>
    </row>
    <row r="14" spans="1:20">
      <c r="B14" t="s">
        <v>578</v>
      </c>
      <c r="C14" s="247"/>
      <c r="D14" s="173"/>
      <c r="E14" s="109"/>
      <c r="F14" s="109"/>
      <c r="G14" s="109"/>
      <c r="H14"/>
      <c r="I14"/>
      <c r="J14"/>
      <c r="K14"/>
      <c r="L14"/>
      <c r="M14"/>
      <c r="O14" s="111"/>
      <c r="P14" s="31"/>
    </row>
    <row r="15" spans="1:20" ht="15" thickBot="1">
      <c r="C15" s="4" t="s">
        <v>0</v>
      </c>
      <c r="D15" s="32"/>
      <c r="E15" s="4"/>
      <c r="F15" s="95" t="s">
        <v>0</v>
      </c>
      <c r="G15" s="95"/>
      <c r="H15" s="4"/>
      <c r="I15" s="4"/>
      <c r="J15" s="4"/>
      <c r="K15" s="4"/>
      <c r="L15" s="4"/>
      <c r="N15" t="s">
        <v>711</v>
      </c>
      <c r="O15" s="31" t="s">
        <v>711</v>
      </c>
      <c r="P15" s="31" t="s">
        <v>712</v>
      </c>
      <c r="Q15" t="s">
        <v>709</v>
      </c>
    </row>
    <row r="16" spans="1:20" ht="15" thickBot="1">
      <c r="B16" s="32" t="s">
        <v>362</v>
      </c>
      <c r="C16" s="106" t="s">
        <v>365</v>
      </c>
      <c r="D16" s="104" t="s">
        <v>534</v>
      </c>
      <c r="E16" s="104" t="s">
        <v>363</v>
      </c>
      <c r="F16" s="104" t="s">
        <v>358</v>
      </c>
      <c r="G16" s="104" t="s">
        <v>544</v>
      </c>
      <c r="H16" s="104" t="s">
        <v>363</v>
      </c>
      <c r="I16" s="104" t="s">
        <v>705</v>
      </c>
      <c r="J16" s="104" t="s">
        <v>704</v>
      </c>
      <c r="K16" s="104" t="s">
        <v>363</v>
      </c>
      <c r="L16" s="104"/>
      <c r="M16" s="44" t="s">
        <v>257</v>
      </c>
      <c r="N16" s="292">
        <v>2020</v>
      </c>
      <c r="O16" s="292">
        <v>2030</v>
      </c>
      <c r="P16" s="292">
        <v>2040</v>
      </c>
      <c r="Q16" s="199">
        <v>2031</v>
      </c>
    </row>
    <row r="17" spans="2:17" ht="15" thickBot="1">
      <c r="B17" t="s">
        <v>352</v>
      </c>
      <c r="C17" s="196">
        <f>D17*$C$11/$D$11</f>
        <v>0.26682163239321433</v>
      </c>
      <c r="D17" s="127">
        <f>'Output - Jobs vs Yr (BAU)'!N10/'Output -Jobs vs Yr'!$N$14</f>
        <v>0.20782574476159849</v>
      </c>
      <c r="E17" s="105">
        <f t="shared" ref="E17:E23" si="0">IF($C$24&lt;&gt;0,C17/$C$24,0)</f>
        <v>0.43035747160195859</v>
      </c>
      <c r="F17" s="173">
        <f>C17*$C$12/$C$11</f>
        <v>0.28833950597331226</v>
      </c>
      <c r="G17" s="105">
        <f>'Output - Jobs vs Yr (BAU)'!X10/'Output - Jobs vs Yr (BAU)'!X24</f>
        <v>0.23191436586881189</v>
      </c>
      <c r="H17" s="105">
        <f t="shared" ref="H17:H23" si="1">G17/$G$24</f>
        <v>0.46352294306430414</v>
      </c>
      <c r="I17" s="173">
        <f>F17*$C$13/$C$12</f>
        <v>0.30125023012137098</v>
      </c>
      <c r="J17" s="105">
        <f>'Output - Jobs vs Yr (BAU)'!AH10/'Output - Jobs vs Yr (BAU)'!AH24</f>
        <v>0.23220450561880174</v>
      </c>
      <c r="K17" s="105">
        <f>J17/$J$24</f>
        <v>0.44117778949426506</v>
      </c>
      <c r="L17" s="105"/>
      <c r="M17" s="45" t="s">
        <v>259</v>
      </c>
      <c r="N17" s="86">
        <f>HLOOKUP(N16,'Output -Jobs vs Yr'!$H$175:$AH$184,9)</f>
        <v>178.8140232450337</v>
      </c>
      <c r="O17" s="86">
        <f>HLOOKUP(O16,'Output -Jobs vs Yr'!$H$175:$AH$184,9)</f>
        <v>188.66709499224635</v>
      </c>
      <c r="P17" s="86">
        <f>HLOOKUP(P16,'Output -Jobs vs Yr'!$H$175:$AH$184,9)</f>
        <v>259.89726578701993</v>
      </c>
      <c r="Q17" s="86">
        <f>HLOOKUP(Q16,'Output -Jobs vs Yr'!$H$175:$AH$184,9)</f>
        <v>203.04797348446755</v>
      </c>
    </row>
    <row r="18" spans="2:17" ht="15" thickBot="1">
      <c r="B18" s="4" t="s">
        <v>353</v>
      </c>
      <c r="C18" s="196">
        <f>D18*$C$11/$D$11</f>
        <v>5.8839600176518442E-7</v>
      </c>
      <c r="D18" s="127">
        <f>'Output - Jobs vs Yr (BAU)'!N15/'Output -Jobs vs Yr'!$N$14</f>
        <v>4.5829806295985353E-7</v>
      </c>
      <c r="E18" s="105">
        <f t="shared" si="0"/>
        <v>9.4902580929868453E-7</v>
      </c>
      <c r="F18" s="173">
        <f t="shared" ref="F18:F23" si="2">C18*$C$12/$C$11</f>
        <v>6.3584729223011867E-7</v>
      </c>
      <c r="G18" s="105">
        <f>'Output - Jobs vs Yr (BAU)'!X15/'Output - Jobs vs Yr (BAU)'!X24</f>
        <v>4.2869930373194926E-7</v>
      </c>
      <c r="H18" s="105">
        <f t="shared" si="1"/>
        <v>8.5683334971951452E-7</v>
      </c>
      <c r="I18" s="173">
        <f t="shared" ref="I18:I24" si="3">F18*$C$13/$C$12</f>
        <v>6.6431806650907912E-7</v>
      </c>
      <c r="J18" s="105">
        <f>'Output - Jobs vs Yr (BAU)'!AH15/'Output - Jobs vs Yr (BAU)'!AH24</f>
        <v>4.0416561134090499E-7</v>
      </c>
      <c r="K18" s="105">
        <f t="shared" ref="K18:K24" si="4">J18/$J$24</f>
        <v>7.678959136723183E-7</v>
      </c>
      <c r="L18" s="105"/>
      <c r="M18" s="46" t="s">
        <v>260</v>
      </c>
      <c r="N18" s="87">
        <f>HLOOKUP(N16,'Output -Jobs vs Yr'!$H$175:$AH$184,10)</f>
        <v>160.93227427511965</v>
      </c>
      <c r="O18" s="87">
        <f>HLOOKUP(O16,'Output -Jobs vs Yr'!$H$175:$AH$184,10)</f>
        <v>169.80001202731546</v>
      </c>
      <c r="P18" s="87">
        <f>HLOOKUP(P16,'Output -Jobs vs Yr'!$H$175:$AH$184,10)</f>
        <v>233.90712323025173</v>
      </c>
      <c r="Q18" s="87">
        <f>HLOOKUP(Q16,'Output -Jobs vs Yr'!$H$175:$AH$184,10)</f>
        <v>182.74279762177594</v>
      </c>
    </row>
    <row r="19" spans="2:17" ht="15" thickBot="1">
      <c r="B19" s="4" t="s">
        <v>354</v>
      </c>
      <c r="C19" s="196">
        <f>D19*$C$11/$D$11</f>
        <v>5.8839600176518442E-10</v>
      </c>
      <c r="D19" s="127">
        <f>'Output - Jobs vs Yr (BAU)'!N11/'Output -Jobs vs Yr'!$N$14</f>
        <v>4.5829806295985355E-10</v>
      </c>
      <c r="E19" s="105">
        <f t="shared" si="0"/>
        <v>9.4902580929868456E-10</v>
      </c>
      <c r="F19" s="173">
        <f t="shared" si="2"/>
        <v>6.3584729223011869E-10</v>
      </c>
      <c r="G19" s="105">
        <f>'Output - Jobs vs Yr (BAU)'!X11/'Output - Jobs vs Yr (BAU)'!X24</f>
        <v>4.2869930373194927E-10</v>
      </c>
      <c r="H19" s="105">
        <f t="shared" si="1"/>
        <v>8.5683334971951449E-10</v>
      </c>
      <c r="I19" s="173">
        <f t="shared" si="3"/>
        <v>6.6431806650907915E-10</v>
      </c>
      <c r="J19" s="105">
        <f>'Output - Jobs vs Yr (BAU)'!AH11/'Output - Jobs vs Yr (BAU)'!AH24</f>
        <v>4.0416561134090506E-10</v>
      </c>
      <c r="K19" s="105">
        <f t="shared" si="4"/>
        <v>7.6789591367231836E-10</v>
      </c>
      <c r="L19" s="105"/>
      <c r="M19" s="46" t="s">
        <v>261</v>
      </c>
      <c r="N19" s="87">
        <f>HLOOKUP(N16,'Output -Jobs vs Yr'!$H$175:$AH$184,8)</f>
        <v>339.74629752015335</v>
      </c>
      <c r="O19" s="87">
        <f>HLOOKUP(O16,'Output -Jobs vs Yr'!$H$175:$AH$184,8)</f>
        <v>358.46710701956181</v>
      </c>
      <c r="P19" s="87">
        <f>HLOOKUP(P16,'Output -Jobs vs Yr'!$H$175:$AH$184,8)</f>
        <v>493.80438901727211</v>
      </c>
      <c r="Q19" s="87">
        <f>HLOOKUP(Q16,'Output -Jobs vs Yr'!$H$175:$AH$184,8)</f>
        <v>385.79077110624348</v>
      </c>
    </row>
    <row r="20" spans="2:17" ht="15" thickBot="1">
      <c r="B20" s="4" t="s">
        <v>51</v>
      </c>
      <c r="C20" s="196">
        <f>D20*$C$11/$D$11</f>
        <v>1.5444852165105485E-2</v>
      </c>
      <c r="D20" s="127">
        <f>'Output - Jobs vs Yr (BAU)'!N12/'Output -Jobs vs Yr'!$N$14</f>
        <v>1.2029901305811308E-2</v>
      </c>
      <c r="E20" s="105">
        <f t="shared" si="0"/>
        <v>2.4911051879202395E-2</v>
      </c>
      <c r="F20" s="173">
        <f t="shared" si="2"/>
        <v>1.6690404759065604E-2</v>
      </c>
      <c r="G20" s="105">
        <f>'Output - Jobs vs Yr (BAU)'!X12/'Output - Jobs vs Yr (BAU)'!X24</f>
        <v>1.1252010411486104E-2</v>
      </c>
      <c r="H20" s="105">
        <f t="shared" si="1"/>
        <v>2.2489184582349435E-2</v>
      </c>
      <c r="I20" s="173">
        <f t="shared" si="3"/>
        <v>1.7437736315441675E-2</v>
      </c>
      <c r="J20" s="105">
        <f>'Output - Jobs vs Yr (BAU)'!AH12/'Output - Jobs vs Yr (BAU)'!AH24</f>
        <v>1.060636095024951E-2</v>
      </c>
      <c r="K20" s="105">
        <f t="shared" si="4"/>
        <v>2.0151593812271343E-2</v>
      </c>
      <c r="L20" s="105"/>
      <c r="M20" s="47" t="s">
        <v>458</v>
      </c>
      <c r="N20" s="88">
        <f>HLOOKUP(N16,'Output -Jobs vs Yr'!$H$175:$AH$188,11)-HLOOKUP(N16,'Output -Jobs vs Yr'!$H$175:$AH$188,14)</f>
        <v>222.18071902034353</v>
      </c>
      <c r="O20" s="88">
        <f>HLOOKUP(O16,'Output -Jobs vs Yr'!$H$175:$AH$188,11)-HLOOKUP(O16,'Output -Jobs vs Yr'!$H$175:$AH$188,14)</f>
        <v>3419.4685421524</v>
      </c>
      <c r="P20" s="88">
        <f>HLOOKUP(P16,'Output -Jobs vs Yr'!$H$175:$AH$188,11)-HLOOKUP(P16,'Output -Jobs vs Yr'!$H$175:$AH$188,14)</f>
        <v>8204.7183759493819</v>
      </c>
      <c r="Q20" s="88">
        <f>HLOOKUP(Q16,'Output -Jobs vs Yr'!$H$175:$AH$188,11)-HLOOKUP(Q16,'Output -Jobs vs Yr'!$H$175:$AH$188,14)</f>
        <v>3805.2593132586435</v>
      </c>
    </row>
    <row r="21" spans="2:17" ht="15" thickBot="1">
      <c r="B21" t="s">
        <v>355</v>
      </c>
      <c r="C21" s="196">
        <f t="shared" ref="C21:C23" si="5">D21*$C$11/$D$11</f>
        <v>3.8522040757524814E-2</v>
      </c>
      <c r="D21" s="127">
        <f>'Output - Jobs vs Yr (BAU)'!N13/'Output -Jobs vs Yr'!$N$14</f>
        <v>3.0004582980629593E-2</v>
      </c>
      <c r="E21" s="105">
        <f t="shared" si="0"/>
        <v>6.213232380245938E-2</v>
      </c>
      <c r="F21" s="173">
        <f t="shared" si="2"/>
        <v>4.1628656947647787E-2</v>
      </c>
      <c r="G21" s="105">
        <f>'Output - Jobs vs Yr (BAU)'!X13/'Output - Jobs vs Yr (BAU)'!X24</f>
        <v>2.7981739697296223E-2</v>
      </c>
      <c r="H21" s="105">
        <f t="shared" si="1"/>
        <v>5.5926584314690185E-2</v>
      </c>
      <c r="I21" s="173">
        <f t="shared" si="3"/>
        <v>4.3492626661721559E-2</v>
      </c>
      <c r="J21" s="105">
        <f>'Output - Jobs vs Yr (BAU)'!AH13/'Output - Jobs vs Yr (BAU)'!AH24</f>
        <v>2.8123776221936809E-2</v>
      </c>
      <c r="K21" s="105">
        <f t="shared" si="4"/>
        <v>5.343387025484489E-2</v>
      </c>
      <c r="L21" s="105"/>
      <c r="N21" s="161"/>
    </row>
    <row r="22" spans="2:17" ht="15" thickBot="1">
      <c r="B22" s="4" t="s">
        <v>356</v>
      </c>
      <c r="C22" s="196">
        <f t="shared" si="5"/>
        <v>5.8839600176518436E-6</v>
      </c>
      <c r="D22" s="127">
        <f>'Output - Jobs vs Yr (BAU)'!N14/'Output -Jobs vs Yr'!$N$14</f>
        <v>4.5829806295985354E-6</v>
      </c>
      <c r="E22" s="105">
        <f t="shared" si="0"/>
        <v>9.4902580929868447E-6</v>
      </c>
      <c r="F22" s="173">
        <f t="shared" si="2"/>
        <v>6.3584729223011863E-6</v>
      </c>
      <c r="G22" s="105">
        <f>'Output - Jobs vs Yr (BAU)'!X14/'Output - Jobs vs Yr (BAU)'!X24</f>
        <v>4.286993037319493E-6</v>
      </c>
      <c r="H22" s="105">
        <f t="shared" si="1"/>
        <v>8.5683334971951459E-6</v>
      </c>
      <c r="I22" s="173">
        <f t="shared" si="3"/>
        <v>6.6431806650907908E-6</v>
      </c>
      <c r="J22" s="105">
        <f>'Output - Jobs vs Yr (BAU)'!AH14/'Output - Jobs vs Yr (BAU)'!AH24</f>
        <v>4.0416561134090501E-6</v>
      </c>
      <c r="K22" s="105">
        <f t="shared" si="4"/>
        <v>7.6789591367231828E-6</v>
      </c>
      <c r="L22" s="105"/>
      <c r="O22" t="s">
        <v>0</v>
      </c>
    </row>
    <row r="23" spans="2:17" ht="15" thickBot="1">
      <c r="B23" t="s">
        <v>357</v>
      </c>
      <c r="C23" s="196">
        <f t="shared" si="5"/>
        <v>0.29920500173973996</v>
      </c>
      <c r="D23" s="127">
        <f>'Output - Jobs vs Yr (BAU)'!N16/'Output -Jobs vs Yr'!$N$14</f>
        <v>0.23304895395932002</v>
      </c>
      <c r="E23" s="105">
        <f t="shared" si="0"/>
        <v>0.48258871248345153</v>
      </c>
      <c r="F23" s="173">
        <f t="shared" si="2"/>
        <v>0.32333443736391254</v>
      </c>
      <c r="G23" s="105">
        <f>'Output - Jobs vs Yr (BAU)'!X16/'Output - Jobs vs Yr (BAU)'!X24</f>
        <v>0.22917702069279158</v>
      </c>
      <c r="H23" s="105">
        <f t="shared" si="1"/>
        <v>0.458051862014976</v>
      </c>
      <c r="I23" s="173">
        <f t="shared" si="3"/>
        <v>0.33781209873841606</v>
      </c>
      <c r="J23" s="105">
        <f>'Output - Jobs vs Yr (BAU)'!AH16/'Output - Jobs vs Yr (BAU)'!AH24</f>
        <v>0.25538955024890264</v>
      </c>
      <c r="K23" s="105">
        <f t="shared" si="4"/>
        <v>0.48522829881567231</v>
      </c>
      <c r="L23" s="105"/>
      <c r="M23" s="44"/>
      <c r="N23" s="198"/>
      <c r="O23" t="s">
        <v>0</v>
      </c>
    </row>
    <row r="24" spans="2:17">
      <c r="B24" s="108" t="s">
        <v>369</v>
      </c>
      <c r="C24" s="138">
        <f t="shared" ref="C24:H24" si="6">SUM(C17:C23)</f>
        <v>0.62</v>
      </c>
      <c r="D24" s="206">
        <f t="shared" si="6"/>
        <v>0.48291422474435003</v>
      </c>
      <c r="E24" s="201">
        <f t="shared" si="6"/>
        <v>1</v>
      </c>
      <c r="F24" s="201">
        <f t="shared" si="6"/>
        <v>0.66999999999999993</v>
      </c>
      <c r="G24" s="201">
        <f t="shared" si="6"/>
        <v>0.50032985279142617</v>
      </c>
      <c r="H24" s="105">
        <f t="shared" si="6"/>
        <v>1</v>
      </c>
      <c r="I24" s="173">
        <f t="shared" si="3"/>
        <v>0.69999999999999984</v>
      </c>
      <c r="J24" s="105">
        <f>SUM(J17:J23)</f>
        <v>0.52632863926578111</v>
      </c>
      <c r="K24" s="105">
        <f t="shared" si="4"/>
        <v>1</v>
      </c>
      <c r="L24" s="105"/>
      <c r="M24" s="44"/>
      <c r="N24" s="44"/>
      <c r="O24" t="s">
        <v>0</v>
      </c>
    </row>
    <row r="25" spans="2:17">
      <c r="B25" s="108"/>
      <c r="C25" s="138" t="str">
        <f>IF(ROUND(C24,3)=ROUND(C11,3),"Great, "&amp;ROUND(C24,3)*100&amp;"% agrees with 2020 RPS % entered above","Please re-adust RPS portfolio to total "&amp;ROUND(C11,3)*100&amp;"% or change 2020 RPS % entered above")</f>
        <v>Great, 62%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372</v>
      </c>
      <c r="C27" s="107"/>
      <c r="D27" s="201" t="s">
        <v>342</v>
      </c>
      <c r="E27" s="107"/>
      <c r="F27" s="98"/>
      <c r="G27" s="135" t="s">
        <v>0</v>
      </c>
      <c r="H27" s="136" t="s">
        <v>0</v>
      </c>
      <c r="I27" s="136"/>
      <c r="J27" s="136"/>
      <c r="K27" s="136"/>
      <c r="L27" s="136"/>
      <c r="M27"/>
    </row>
    <row r="28" spans="2:17" ht="15" thickBot="1">
      <c r="B28" t="s">
        <v>370</v>
      </c>
      <c r="C28" s="209">
        <f>D28</f>
        <v>0.1693144112969642</v>
      </c>
      <c r="D28" s="105">
        <f>('Output - Jobs vs Yr (BAU)'!N8+'Output - Jobs vs Yr (BAU)'!N7)/'Output -Jobs vs Yr'!N14</f>
        <v>0.1693144112969642</v>
      </c>
      <c r="E28" s="137" t="s">
        <v>0</v>
      </c>
      <c r="F28" s="98"/>
      <c r="G28" s="98" t="s">
        <v>0</v>
      </c>
      <c r="H28" s="136" t="s">
        <v>0</v>
      </c>
      <c r="I28" s="136"/>
      <c r="J28" s="136"/>
      <c r="K28" s="136"/>
      <c r="L28" s="136"/>
      <c r="M28"/>
    </row>
    <row r="29" spans="2:17" ht="15" thickBot="1">
      <c r="B29" t="s">
        <v>371</v>
      </c>
      <c r="C29" s="279">
        <f>D29</f>
        <v>0.18072446682736915</v>
      </c>
      <c r="D29" s="105">
        <f>('Output - Jobs vs Yr (BAU)'!X8+'Output - Jobs vs Yr (BAU)'!X7)/'Output -Jobs vs Yr'!X14</f>
        <v>0.18072446682736915</v>
      </c>
      <c r="E29" s="107"/>
      <c r="F29" s="98"/>
      <c r="G29" s="96"/>
      <c r="H29"/>
      <c r="I29"/>
      <c r="J29"/>
      <c r="K29"/>
      <c r="L29"/>
    </row>
    <row r="30" spans="2:17" ht="15" thickBot="1">
      <c r="B30" t="s">
        <v>579</v>
      </c>
      <c r="C30" s="211">
        <f>D30</f>
        <v>0.17036456729504776</v>
      </c>
      <c r="D30" s="105">
        <f>('Output - Jobs vs Yr (BAU)'!AH8+'Output - Jobs vs Yr (BAU)'!AH7)/'Output -Jobs vs Yr'!AH14</f>
        <v>0.17036456729504776</v>
      </c>
      <c r="E30" s="107"/>
      <c r="F30" s="98"/>
      <c r="G30" s="96"/>
      <c r="H30"/>
      <c r="I30"/>
      <c r="J30"/>
      <c r="K30"/>
      <c r="L30"/>
    </row>
    <row r="31" spans="2:17">
      <c r="B31" t="s">
        <v>580</v>
      </c>
      <c r="C31" s="247"/>
      <c r="D31" s="105"/>
      <c r="E31" s="107"/>
      <c r="F31" s="98"/>
      <c r="G31" s="96"/>
      <c r="H31"/>
      <c r="I31"/>
      <c r="J31"/>
      <c r="K31"/>
      <c r="L31"/>
    </row>
    <row r="32" spans="2:17">
      <c r="B32" s="108"/>
      <c r="C32" s="107" t="s">
        <v>0</v>
      </c>
      <c r="D32" s="107"/>
      <c r="E32" s="107"/>
      <c r="F32" s="98"/>
      <c r="G32" s="96"/>
      <c r="H32"/>
      <c r="I32"/>
      <c r="J32"/>
      <c r="K32"/>
      <c r="L32"/>
    </row>
    <row r="33" spans="1:18" ht="15" thickBot="1">
      <c r="B33" s="108" t="s">
        <v>373</v>
      </c>
      <c r="C33" s="107"/>
      <c r="D33" s="201" t="s">
        <v>342</v>
      </c>
      <c r="E33" s="201" t="s">
        <v>536</v>
      </c>
      <c r="F33" s="202" t="s">
        <v>358</v>
      </c>
      <c r="G33" s="203" t="s">
        <v>342</v>
      </c>
      <c r="H33" s="202" t="s">
        <v>705</v>
      </c>
      <c r="I33" s="203" t="s">
        <v>342</v>
      </c>
      <c r="J33" s="164"/>
      <c r="K33" s="164"/>
      <c r="L33" s="164"/>
      <c r="M33" s="7" t="s">
        <v>0</v>
      </c>
    </row>
    <row r="34" spans="1:18" ht="15" thickBot="1">
      <c r="B34" s="4" t="s">
        <v>366</v>
      </c>
      <c r="C34" s="210">
        <f>D34</f>
        <v>0</v>
      </c>
      <c r="D34" s="105">
        <v>0</v>
      </c>
      <c r="E34" s="204">
        <f>'Output -Jobs vs Yr'!N30/'Output -Jobs vs Yr'!N49</f>
        <v>0</v>
      </c>
      <c r="F34" s="201">
        <f>C34*$C$29/$C$28</f>
        <v>0</v>
      </c>
      <c r="G34" s="205">
        <v>0</v>
      </c>
      <c r="H34" s="201">
        <f>F34*$C$30/$C$29</f>
        <v>0</v>
      </c>
      <c r="I34" s="205">
        <v>0</v>
      </c>
      <c r="J34" s="139"/>
      <c r="K34" s="139"/>
      <c r="L34" s="139"/>
    </row>
    <row r="35" spans="1:18" ht="15" thickBot="1">
      <c r="B35" s="4" t="s">
        <v>49</v>
      </c>
      <c r="C35" s="210">
        <f>D35</f>
        <v>0.1693144112969642</v>
      </c>
      <c r="D35" s="105">
        <f>'Output - Jobs vs Yr (BAU)'!N7/'Output -Jobs vs Yr'!N14</f>
        <v>0.1693144112969642</v>
      </c>
      <c r="E35" s="204">
        <f>C35</f>
        <v>0.1693144112969642</v>
      </c>
      <c r="F35" s="201">
        <f>C35*$C$29/$C$28</f>
        <v>0.18072446682736915</v>
      </c>
      <c r="G35" s="205">
        <f>'Output - Jobs vs Yr (BAU)'!X7/'Output - Jobs vs Yr (BAU)'!X24</f>
        <v>0.16854034077217092</v>
      </c>
      <c r="H35" s="201">
        <f>F35*$C$30/$C$29</f>
        <v>0.17036456729504776</v>
      </c>
      <c r="I35" s="205">
        <f>'Output - Jobs vs Yr (BAU)'!AH7/'Output - Jobs vs Yr (BAU)'!AH24</f>
        <v>0.15968688039193674</v>
      </c>
      <c r="J35"/>
      <c r="K35"/>
      <c r="L35"/>
    </row>
    <row r="36" spans="1:18" ht="15" thickBot="1">
      <c r="B36" s="4" t="s">
        <v>364</v>
      </c>
      <c r="C36" s="210">
        <f>D36</f>
        <v>0</v>
      </c>
      <c r="D36" s="105">
        <f>'Output - Jobs vs Yr (BAU)'!N8/'Output -Jobs vs Yr'!N14</f>
        <v>0</v>
      </c>
      <c r="E36" s="204">
        <f>C36</f>
        <v>0</v>
      </c>
      <c r="F36" s="201">
        <f>C36*$C$29/$C$28</f>
        <v>0</v>
      </c>
      <c r="G36" s="205">
        <f>'Output - Jobs vs Yr (BAU)'!X8/'Output - Jobs vs Yr (BAU)'!X24</f>
        <v>0</v>
      </c>
      <c r="H36" s="201">
        <f>F36*$C$30/$C$29</f>
        <v>0</v>
      </c>
      <c r="I36" s="205">
        <f>'Output - Jobs vs Yr (BAU)'!AH8/'Output - Jobs vs Yr (BAU)'!AH24</f>
        <v>0</v>
      </c>
      <c r="J36"/>
      <c r="K36"/>
      <c r="L36"/>
    </row>
    <row r="37" spans="1:18">
      <c r="B37" s="4" t="s">
        <v>368</v>
      </c>
      <c r="C37" s="139">
        <f>SUM(C35:C36)+'Output -Jobs vs Yr'!N30/'Output -Jobs vs Yr'!N49</f>
        <v>0.1693144112969642</v>
      </c>
      <c r="D37" s="105">
        <f>SUM(D34:D36)</f>
        <v>0.1693144112969642</v>
      </c>
      <c r="E37" s="204">
        <f>SUM(E34:E36)</f>
        <v>0.1693144112969642</v>
      </c>
      <c r="F37" s="204">
        <f>SUM(F34:F36)</f>
        <v>0.18072446682736915</v>
      </c>
      <c r="G37" s="204">
        <f>SUM(G34:G36)</f>
        <v>0.16854034077217092</v>
      </c>
      <c r="H37" s="201">
        <f>C37*$C$30/$C$28</f>
        <v>0.17036456729504776</v>
      </c>
      <c r="I37" s="204">
        <f>SUM(I34:I36)</f>
        <v>0.15968688039193674</v>
      </c>
      <c r="J37" s="139"/>
      <c r="K37" s="139"/>
      <c r="L37" s="139"/>
    </row>
    <row r="38" spans="1:18">
      <c r="B38" s="4"/>
      <c r="C38" s="138" t="str">
        <f>IF(ROUND(C37,3)=ROUND(C28,3), "Great, " &amp; ROUND(C37,3)*100 &amp; "% agrees with 2020 Low Carbon % entered above", "Please re-adust Low Carbon portfolio to " &amp; ROUND(C28,3)*100 &amp; "% or change 2020 Low Carbon % above" )</f>
        <v>Great, 16,9%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375</v>
      </c>
      <c r="C40" s="105">
        <f>C24</f>
        <v>0.62</v>
      </c>
      <c r="D40" s="105" t="s">
        <v>0</v>
      </c>
      <c r="E40" s="105" t="s">
        <v>0</v>
      </c>
      <c r="F40" s="105" t="s">
        <v>0</v>
      </c>
      <c r="G40" s="103" t="s">
        <v>0</v>
      </c>
      <c r="H40"/>
      <c r="I40"/>
      <c r="J40"/>
      <c r="K40"/>
      <c r="L40"/>
    </row>
    <row r="41" spans="1:18">
      <c r="B41" s="4" t="s">
        <v>374</v>
      </c>
      <c r="C41" s="105">
        <f>C24+C37</f>
        <v>0.78931441129696422</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522</v>
      </c>
      <c r="F44" s="28"/>
      <c r="G44" s="1"/>
      <c r="H44" s="49">
        <v>9</v>
      </c>
      <c r="I44" s="278"/>
      <c r="J44" s="278"/>
      <c r="K44" s="278"/>
      <c r="L44"/>
      <c r="M44" s="12">
        <f t="shared" ref="M44:M61" si="7">C44+H44*C44</f>
        <v>0.37999999999999995</v>
      </c>
      <c r="N44" s="28" t="s">
        <v>522</v>
      </c>
    </row>
    <row r="45" spans="1:18" ht="15.75" hidden="1" customHeight="1" thickBot="1">
      <c r="B45" s="4" t="s">
        <v>210</v>
      </c>
      <c r="C45" s="41" t="e">
        <f>0.1*#REF!</f>
        <v>#REF!</v>
      </c>
      <c r="D45" s="4"/>
      <c r="E45" s="28" t="s">
        <v>206</v>
      </c>
      <c r="F45" s="28"/>
      <c r="G45" s="110"/>
      <c r="H45" s="49">
        <v>9</v>
      </c>
      <c r="I45" s="278"/>
      <c r="J45" s="278"/>
      <c r="K45" s="278"/>
      <c r="L45"/>
      <c r="M45" s="12" t="e">
        <f t="shared" si="7"/>
        <v>#REF!</v>
      </c>
      <c r="N45" s="28" t="s">
        <v>522</v>
      </c>
    </row>
    <row r="46" spans="1:18" s="1" customFormat="1" ht="15" thickBot="1">
      <c r="A46"/>
      <c r="B46" s="4" t="s">
        <v>121</v>
      </c>
      <c r="C46" s="84">
        <v>0.21</v>
      </c>
      <c r="D46" s="4" t="s">
        <v>0</v>
      </c>
      <c r="E46" s="28" t="s">
        <v>523</v>
      </c>
      <c r="F46" s="28"/>
      <c r="H46" s="49">
        <v>0.9</v>
      </c>
      <c r="I46" s="278"/>
      <c r="J46" s="278"/>
      <c r="K46" s="278"/>
      <c r="L46"/>
      <c r="M46" s="12">
        <f t="shared" si="7"/>
        <v>0.39900000000000002</v>
      </c>
      <c r="N46" s="28" t="s">
        <v>523</v>
      </c>
      <c r="O46"/>
      <c r="P46"/>
      <c r="Q46"/>
      <c r="R46"/>
    </row>
    <row r="47" spans="1:18" s="1" customFormat="1" ht="15" thickBot="1">
      <c r="A47"/>
      <c r="B47" s="4" t="s">
        <v>118</v>
      </c>
      <c r="C47" s="42">
        <v>0.18</v>
      </c>
      <c r="D47" s="4"/>
      <c r="E47" s="28" t="s">
        <v>523</v>
      </c>
      <c r="F47" s="28"/>
      <c r="H47" s="49">
        <v>0.9</v>
      </c>
      <c r="I47" s="278"/>
      <c r="J47" s="278"/>
      <c r="K47" s="278"/>
      <c r="L47"/>
      <c r="M47" s="12">
        <f t="shared" si="7"/>
        <v>0.34199999999999997</v>
      </c>
      <c r="N47" s="28" t="s">
        <v>523</v>
      </c>
      <c r="O47"/>
      <c r="P47"/>
      <c r="Q47"/>
    </row>
    <row r="48" spans="1:18" ht="15" thickBot="1">
      <c r="B48" s="4" t="s">
        <v>49</v>
      </c>
      <c r="C48" s="42">
        <v>0.15</v>
      </c>
      <c r="D48" s="4"/>
      <c r="E48" s="28" t="s">
        <v>523</v>
      </c>
      <c r="F48" s="28"/>
      <c r="G48" s="1"/>
      <c r="H48" s="49">
        <v>0.9</v>
      </c>
      <c r="I48" s="278"/>
      <c r="J48" s="278"/>
      <c r="K48" s="278"/>
      <c r="L48"/>
      <c r="M48" s="12">
        <f t="shared" si="7"/>
        <v>0.28500000000000003</v>
      </c>
      <c r="N48" s="28" t="s">
        <v>523</v>
      </c>
    </row>
    <row r="49" spans="1:17" s="1" customFormat="1" ht="15" thickBot="1">
      <c r="A49"/>
      <c r="B49" s="4" t="s">
        <v>50</v>
      </c>
      <c r="C49" s="42">
        <v>0.25</v>
      </c>
      <c r="D49" s="4" t="s">
        <v>0</v>
      </c>
      <c r="E49" s="28" t="s">
        <v>523</v>
      </c>
      <c r="F49" s="28"/>
      <c r="H49" s="49">
        <v>0.9</v>
      </c>
      <c r="I49" s="278"/>
      <c r="J49" s="278"/>
      <c r="K49" s="278"/>
      <c r="L49"/>
      <c r="M49" s="12">
        <f t="shared" si="7"/>
        <v>0.47499999999999998</v>
      </c>
      <c r="N49" s="28" t="s">
        <v>523</v>
      </c>
      <c r="O49" t="s">
        <v>0</v>
      </c>
      <c r="P49"/>
      <c r="Q49"/>
    </row>
    <row r="50" spans="1:17" s="1" customFormat="1" ht="15.75" hidden="1" customHeight="1" thickBot="1">
      <c r="A50"/>
      <c r="B50" s="4" t="s">
        <v>119</v>
      </c>
      <c r="C50" s="42">
        <v>0.11</v>
      </c>
      <c r="D50" s="4"/>
      <c r="E50" s="28" t="s">
        <v>523</v>
      </c>
      <c r="F50" s="28"/>
      <c r="G50" s="110"/>
      <c r="H50" s="49">
        <v>0.8</v>
      </c>
      <c r="I50" s="278"/>
      <c r="J50" s="278"/>
      <c r="K50" s="278"/>
      <c r="L50"/>
      <c r="M50" s="12">
        <f t="shared" si="7"/>
        <v>0.19800000000000001</v>
      </c>
      <c r="N50" s="28" t="s">
        <v>523</v>
      </c>
      <c r="O50" t="s">
        <v>0</v>
      </c>
      <c r="P50"/>
      <c r="Q50"/>
    </row>
    <row r="51" spans="1:17" s="1" customFormat="1" ht="15" thickBot="1">
      <c r="A51"/>
      <c r="B51" s="4" t="s">
        <v>343</v>
      </c>
      <c r="C51" s="42">
        <v>0.27</v>
      </c>
      <c r="D51" s="4"/>
      <c r="E51" s="28" t="s">
        <v>523</v>
      </c>
      <c r="F51" s="28"/>
      <c r="G51" s="110"/>
      <c r="H51" s="49">
        <v>0.9</v>
      </c>
      <c r="I51" s="278"/>
      <c r="J51" s="278"/>
      <c r="K51" s="278"/>
      <c r="L51"/>
      <c r="M51" s="12">
        <f t="shared" si="7"/>
        <v>0.51300000000000001</v>
      </c>
      <c r="N51" s="28" t="s">
        <v>523</v>
      </c>
      <c r="O51" t="s">
        <v>0</v>
      </c>
      <c r="P51"/>
      <c r="Q51"/>
    </row>
    <row r="52" spans="1:17" s="1" customFormat="1" ht="15" thickBot="1">
      <c r="A52"/>
      <c r="B52" s="4" t="s">
        <v>51</v>
      </c>
      <c r="C52" s="42">
        <v>0.15</v>
      </c>
      <c r="D52" s="4"/>
      <c r="E52" s="28" t="s">
        <v>523</v>
      </c>
      <c r="F52" s="28"/>
      <c r="G52" s="110"/>
      <c r="H52" s="49">
        <v>0.9</v>
      </c>
      <c r="I52" s="278"/>
      <c r="J52" s="278"/>
      <c r="K52" s="278"/>
      <c r="L52"/>
      <c r="M52" s="12">
        <f t="shared" si="7"/>
        <v>0.28500000000000003</v>
      </c>
      <c r="N52" s="28" t="s">
        <v>523</v>
      </c>
      <c r="O52" t="s">
        <v>0</v>
      </c>
      <c r="P52"/>
      <c r="Q52"/>
    </row>
    <row r="53" spans="1:17" ht="15" thickBot="1">
      <c r="B53" s="4" t="s">
        <v>59</v>
      </c>
      <c r="C53" s="42">
        <v>0.14000000000000001</v>
      </c>
      <c r="D53" s="4"/>
      <c r="E53" s="28" t="s">
        <v>523</v>
      </c>
      <c r="F53" s="28"/>
      <c r="G53" s="110"/>
      <c r="H53" s="49">
        <v>0.9</v>
      </c>
      <c r="I53" s="278"/>
      <c r="J53" s="278"/>
      <c r="K53" s="278"/>
      <c r="L53"/>
      <c r="M53" s="162">
        <f t="shared" si="7"/>
        <v>0.26600000000000001</v>
      </c>
      <c r="N53" s="28" t="s">
        <v>523</v>
      </c>
    </row>
    <row r="54" spans="1:17" ht="15" thickBot="1">
      <c r="B54" s="4" t="s">
        <v>347</v>
      </c>
      <c r="C54" s="84">
        <v>0.79</v>
      </c>
      <c r="D54" s="4" t="s">
        <v>0</v>
      </c>
      <c r="E54" s="28" t="s">
        <v>523</v>
      </c>
      <c r="F54" s="28"/>
      <c r="G54" s="110"/>
      <c r="H54" s="49">
        <v>0.9</v>
      </c>
      <c r="I54" s="278"/>
      <c r="J54" s="278"/>
      <c r="K54" s="278"/>
      <c r="L54"/>
      <c r="M54" s="12">
        <f t="shared" si="7"/>
        <v>1.5010000000000001</v>
      </c>
      <c r="N54" s="28" t="s">
        <v>523</v>
      </c>
    </row>
    <row r="55" spans="1:17" ht="15" thickBot="1">
      <c r="B55" s="4" t="s">
        <v>348</v>
      </c>
      <c r="C55" s="84">
        <v>0.23</v>
      </c>
      <c r="D55" s="4"/>
      <c r="E55" s="28" t="s">
        <v>523</v>
      </c>
      <c r="F55" s="28"/>
      <c r="G55" s="110"/>
      <c r="H55" s="49">
        <v>0.9</v>
      </c>
      <c r="I55" s="278"/>
      <c r="J55" s="278"/>
      <c r="K55" s="278"/>
      <c r="L55"/>
      <c r="M55" s="12">
        <f t="shared" si="7"/>
        <v>0.43700000000000006</v>
      </c>
      <c r="N55" s="28" t="s">
        <v>523</v>
      </c>
    </row>
    <row r="56" spans="1:17" ht="15.75" hidden="1" customHeight="1" thickBot="1">
      <c r="B56" s="4" t="s">
        <v>120</v>
      </c>
      <c r="C56" s="42">
        <v>0.11</v>
      </c>
      <c r="D56" s="4"/>
      <c r="E56" s="28" t="s">
        <v>523</v>
      </c>
      <c r="F56" s="28"/>
      <c r="G56" s="110"/>
      <c r="H56" s="49">
        <v>0.8</v>
      </c>
      <c r="I56" s="278"/>
      <c r="J56" s="278"/>
      <c r="K56" s="278"/>
      <c r="L56"/>
      <c r="M56" s="12">
        <f t="shared" si="7"/>
        <v>0.19800000000000001</v>
      </c>
      <c r="N56" s="28"/>
    </row>
    <row r="57" spans="1:17" ht="15" thickBot="1">
      <c r="B57" s="4" t="s">
        <v>53</v>
      </c>
      <c r="C57" s="84">
        <v>0.17</v>
      </c>
      <c r="D57" s="4" t="s">
        <v>0</v>
      </c>
      <c r="E57" s="28" t="s">
        <v>523</v>
      </c>
      <c r="F57" s="28"/>
      <c r="G57" s="110"/>
      <c r="H57" s="49">
        <v>0.9</v>
      </c>
      <c r="I57" s="278"/>
      <c r="J57" s="278"/>
      <c r="K57" s="278"/>
      <c r="L57"/>
      <c r="M57" s="12">
        <f t="shared" si="7"/>
        <v>0.32300000000000006</v>
      </c>
      <c r="N57" s="28" t="s">
        <v>523</v>
      </c>
    </row>
    <row r="58" spans="1:17" ht="15.75" hidden="1" customHeight="1" thickBot="1">
      <c r="B58" s="4" t="s">
        <v>191</v>
      </c>
      <c r="C58" s="41" t="e">
        <f xml:space="preserve"> 0.693 *#REF!</f>
        <v>#REF!</v>
      </c>
      <c r="D58" s="4"/>
      <c r="E58" s="28" t="s">
        <v>206</v>
      </c>
      <c r="F58" s="28"/>
      <c r="G58" s="110"/>
      <c r="H58" s="49">
        <v>0.8</v>
      </c>
      <c r="I58" s="278"/>
      <c r="J58" s="278"/>
      <c r="K58" s="278"/>
      <c r="L58"/>
      <c r="M58" s="12" t="e">
        <f t="shared" si="7"/>
        <v>#REF!</v>
      </c>
      <c r="N58" s="28" t="s">
        <v>523</v>
      </c>
    </row>
    <row r="59" spans="1:17" ht="15.75" hidden="1" customHeight="1" thickBot="1">
      <c r="B59" s="4" t="s">
        <v>246</v>
      </c>
      <c r="C59" s="49" t="e">
        <f xml:space="preserve"> (1/6) *#REF!</f>
        <v>#REF!</v>
      </c>
      <c r="D59" s="4"/>
      <c r="E59" s="28" t="s">
        <v>247</v>
      </c>
      <c r="F59" s="28"/>
      <c r="G59" s="110"/>
      <c r="H59" s="49">
        <v>0.8</v>
      </c>
      <c r="I59" s="278"/>
      <c r="J59" s="278"/>
      <c r="K59" s="278"/>
      <c r="L59"/>
      <c r="M59" s="12" t="e">
        <f t="shared" si="7"/>
        <v>#REF!</v>
      </c>
      <c r="N59" s="28" t="s">
        <v>206</v>
      </c>
    </row>
    <row r="60" spans="1:17" ht="15" thickBot="1">
      <c r="B60" s="4" t="s">
        <v>68</v>
      </c>
      <c r="C60" s="42">
        <v>0.11</v>
      </c>
      <c r="D60" s="4"/>
      <c r="E60" s="28" t="s">
        <v>523</v>
      </c>
      <c r="F60" s="28"/>
      <c r="G60" s="110"/>
      <c r="H60" s="49">
        <v>0.9</v>
      </c>
      <c r="I60" s="278"/>
      <c r="J60" s="278"/>
      <c r="K60" s="278"/>
      <c r="L60"/>
      <c r="M60" s="162">
        <f t="shared" si="7"/>
        <v>0.20900000000000002</v>
      </c>
      <c r="N60" s="28" t="s">
        <v>523</v>
      </c>
    </row>
    <row r="61" spans="1:17" ht="15" thickBot="1">
      <c r="B61" s="4" t="s">
        <v>76</v>
      </c>
      <c r="C61" s="42">
        <v>0.11</v>
      </c>
      <c r="D61" s="4"/>
      <c r="E61" s="28" t="s">
        <v>523</v>
      </c>
      <c r="F61" s="28"/>
      <c r="G61" s="110"/>
      <c r="H61" s="49">
        <v>0.9</v>
      </c>
      <c r="I61" s="278"/>
      <c r="J61" s="278"/>
      <c r="K61" s="278"/>
      <c r="L61"/>
      <c r="M61" s="12">
        <f t="shared" si="7"/>
        <v>0.20900000000000002</v>
      </c>
      <c r="N61" s="28" t="s">
        <v>523</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5"/>
    <col min="6" max="6" width="12.5" style="346"/>
    <col min="7" max="37" width="12.5" style="300"/>
    <col min="38" max="16384" width="12.5" style="5"/>
  </cols>
  <sheetData>
    <row r="1" spans="1:37">
      <c r="A1" s="273" t="s">
        <v>703</v>
      </c>
    </row>
    <row r="2" spans="1:37">
      <c r="A2" s="273" t="s">
        <v>655</v>
      </c>
    </row>
    <row r="3" spans="1:37">
      <c r="A3" s="273" t="s">
        <v>656</v>
      </c>
    </row>
    <row r="5" spans="1:37">
      <c r="A5" s="6" t="s">
        <v>185</v>
      </c>
    </row>
    <row r="6" spans="1:37">
      <c r="A6" s="6" t="s">
        <v>184</v>
      </c>
    </row>
    <row r="9" spans="1:37">
      <c r="AK9" s="301" t="s">
        <v>713</v>
      </c>
    </row>
    <row r="10" spans="1:37">
      <c r="B10" s="347" t="s">
        <v>7</v>
      </c>
      <c r="C10" s="347" t="s">
        <v>8</v>
      </c>
      <c r="D10" s="347" t="s">
        <v>9</v>
      </c>
      <c r="E10" s="347" t="s">
        <v>10</v>
      </c>
      <c r="F10" s="348" t="s">
        <v>11</v>
      </c>
      <c r="G10" s="301" t="s">
        <v>12</v>
      </c>
      <c r="H10" s="301" t="s">
        <v>13</v>
      </c>
      <c r="I10" s="301" t="s">
        <v>14</v>
      </c>
      <c r="J10" s="301" t="s">
        <v>15</v>
      </c>
      <c r="K10" s="301" t="s">
        <v>16</v>
      </c>
      <c r="L10" s="301" t="s">
        <v>17</v>
      </c>
      <c r="M10" s="301" t="s">
        <v>18</v>
      </c>
      <c r="N10" s="301" t="s">
        <v>19</v>
      </c>
      <c r="O10" s="301" t="s">
        <v>20</v>
      </c>
      <c r="P10" s="301" t="s">
        <v>21</v>
      </c>
      <c r="Q10" s="301" t="s">
        <v>22</v>
      </c>
      <c r="R10" s="301" t="s">
        <v>23</v>
      </c>
      <c r="S10" s="301" t="s">
        <v>24</v>
      </c>
      <c r="T10" s="301" t="s">
        <v>25</v>
      </c>
      <c r="U10" s="301" t="s">
        <v>26</v>
      </c>
      <c r="V10" s="301" t="s">
        <v>27</v>
      </c>
      <c r="W10" s="301" t="s">
        <v>28</v>
      </c>
      <c r="X10" s="301" t="s">
        <v>29</v>
      </c>
      <c r="Y10" s="301" t="s">
        <v>30</v>
      </c>
      <c r="Z10" s="301" t="s">
        <v>31</v>
      </c>
      <c r="AA10" s="301" t="s">
        <v>581</v>
      </c>
      <c r="AB10" s="301" t="s">
        <v>582</v>
      </c>
      <c r="AC10" s="301" t="s">
        <v>583</v>
      </c>
      <c r="AD10" s="301" t="s">
        <v>584</v>
      </c>
      <c r="AE10" s="301" t="s">
        <v>585</v>
      </c>
      <c r="AF10" s="301" t="s">
        <v>586</v>
      </c>
      <c r="AG10" s="301" t="s">
        <v>587</v>
      </c>
      <c r="AH10" s="301" t="s">
        <v>588</v>
      </c>
      <c r="AI10" s="301" t="s">
        <v>589</v>
      </c>
      <c r="AJ10" s="301" t="s">
        <v>590</v>
      </c>
      <c r="AK10" s="301">
        <v>2040</v>
      </c>
    </row>
    <row r="13" spans="1:37">
      <c r="A13" s="6" t="s">
        <v>183</v>
      </c>
    </row>
    <row r="14" spans="1:37">
      <c r="A14" s="6" t="s">
        <v>182</v>
      </c>
      <c r="B14" s="349">
        <v>5.1020002365112296</v>
      </c>
      <c r="C14" s="349">
        <v>5.0669999122619602</v>
      </c>
      <c r="D14" s="349">
        <v>4.9539995193481401</v>
      </c>
      <c r="E14" s="349">
        <v>5.3799490928649902</v>
      </c>
      <c r="F14" s="350">
        <v>5.6095256805419904</v>
      </c>
      <c r="G14" s="294">
        <v>5.6580000000000004</v>
      </c>
      <c r="H14" s="294">
        <v>6.4939989999999996</v>
      </c>
      <c r="I14" s="294">
        <v>7.7220000000000004</v>
      </c>
      <c r="J14" s="294">
        <v>8.5288000000000004</v>
      </c>
      <c r="K14" s="294">
        <v>9.0378019999999992</v>
      </c>
      <c r="L14" s="294">
        <v>9.5417810000000003</v>
      </c>
      <c r="M14" s="294">
        <v>9.5568039999999996</v>
      </c>
      <c r="N14" s="294">
        <v>9.5754859999999997</v>
      </c>
      <c r="O14" s="294">
        <v>9.6082459999999994</v>
      </c>
      <c r="P14" s="294">
        <v>9.5525409999999997</v>
      </c>
      <c r="Q14" s="294">
        <v>9.4165030000000005</v>
      </c>
      <c r="R14" s="294">
        <v>9.2888249999999992</v>
      </c>
      <c r="S14" s="294">
        <v>9.1907350000000001</v>
      </c>
      <c r="T14" s="294">
        <v>9.0728480000000005</v>
      </c>
      <c r="U14" s="294">
        <v>9.0041829999999994</v>
      </c>
      <c r="V14" s="294">
        <v>8.8329439999999995</v>
      </c>
      <c r="W14" s="294">
        <v>8.6696600000000004</v>
      </c>
      <c r="X14" s="294">
        <v>8.5159219999999998</v>
      </c>
      <c r="Y14" s="294">
        <v>8.3804160000000003</v>
      </c>
      <c r="Z14" s="294">
        <v>8.3047140000000006</v>
      </c>
      <c r="AA14" s="294">
        <v>8.1595440000000004</v>
      </c>
      <c r="AB14" s="294">
        <v>8.0727349999999998</v>
      </c>
      <c r="AC14" s="294">
        <v>8.0446790000000004</v>
      </c>
      <c r="AD14" s="294">
        <v>7.984591</v>
      </c>
      <c r="AE14" s="294">
        <v>7.8722690000000002</v>
      </c>
      <c r="AF14" s="294">
        <v>7.7546290000000004</v>
      </c>
      <c r="AG14" s="294">
        <v>7.6994870000000004</v>
      </c>
      <c r="AH14" s="294">
        <v>7.5588430000000004</v>
      </c>
      <c r="AI14" s="294">
        <v>7.5302829999999998</v>
      </c>
      <c r="AJ14" s="294">
        <v>7.4801669999999998</v>
      </c>
      <c r="AK14" s="295">
        <v>5.0000000000000001E-3</v>
      </c>
    </row>
    <row r="15" spans="1:37">
      <c r="A15" s="6" t="s">
        <v>181</v>
      </c>
      <c r="B15" s="349">
        <v>0.74099999666214</v>
      </c>
      <c r="C15" s="349">
        <v>0.71899998188018799</v>
      </c>
      <c r="D15" s="349">
        <v>0.68000000715255704</v>
      </c>
      <c r="E15" s="349">
        <v>0.73478877544403098</v>
      </c>
      <c r="F15" s="350">
        <v>0.68565064668655396</v>
      </c>
      <c r="G15" s="294">
        <v>0.57199999999999995</v>
      </c>
      <c r="H15" s="294">
        <v>0.53</v>
      </c>
      <c r="I15" s="294">
        <v>0.51</v>
      </c>
      <c r="J15" s="294">
        <v>0.4738</v>
      </c>
      <c r="K15" s="294">
        <v>0.462835</v>
      </c>
      <c r="L15" s="294">
        <v>0.46215800000000001</v>
      </c>
      <c r="M15" s="294">
        <v>0.46993800000000002</v>
      </c>
      <c r="N15" s="294">
        <v>0.47195500000000001</v>
      </c>
      <c r="O15" s="294">
        <v>0.45399899999999999</v>
      </c>
      <c r="P15" s="294">
        <v>0.43714199999999998</v>
      </c>
      <c r="Q15" s="294">
        <v>0.41283700000000001</v>
      </c>
      <c r="R15" s="294">
        <v>0.388714</v>
      </c>
      <c r="S15" s="294">
        <v>0.36631000000000002</v>
      </c>
      <c r="T15" s="294">
        <v>0.34568500000000002</v>
      </c>
      <c r="U15" s="294">
        <v>0.32666899999999999</v>
      </c>
      <c r="V15" s="294">
        <v>0.30766500000000002</v>
      </c>
      <c r="W15" s="294">
        <v>0.28877399999999998</v>
      </c>
      <c r="X15" s="294">
        <v>0.27134900000000001</v>
      </c>
      <c r="Y15" s="294">
        <v>0.25525500000000001</v>
      </c>
      <c r="Z15" s="294">
        <v>0.240371</v>
      </c>
      <c r="AA15" s="294">
        <v>0.22658700000000001</v>
      </c>
      <c r="AB15" s="294">
        <v>0.273065</v>
      </c>
      <c r="AC15" s="294">
        <v>0.34021099999999999</v>
      </c>
      <c r="AD15" s="294">
        <v>0.38843800000000001</v>
      </c>
      <c r="AE15" s="294">
        <v>0.378168</v>
      </c>
      <c r="AF15" s="294">
        <v>0.36859700000000001</v>
      </c>
      <c r="AG15" s="294">
        <v>0.35966500000000001</v>
      </c>
      <c r="AH15" s="294">
        <v>0.321691</v>
      </c>
      <c r="AI15" s="294">
        <v>0.28870200000000001</v>
      </c>
      <c r="AJ15" s="294">
        <v>0.25998700000000002</v>
      </c>
      <c r="AK15" s="295">
        <v>-2.5000000000000001E-2</v>
      </c>
    </row>
    <row r="16" spans="1:37">
      <c r="A16" s="6" t="s">
        <v>180</v>
      </c>
      <c r="B16" s="349">
        <v>4.3610000610351598</v>
      </c>
      <c r="C16" s="349">
        <v>4.34800004959106</v>
      </c>
      <c r="D16" s="349">
        <v>4.2739996910095197</v>
      </c>
      <c r="E16" s="349">
        <v>4.6451601982116699</v>
      </c>
      <c r="F16" s="350">
        <v>4.9238753318786603</v>
      </c>
      <c r="G16" s="294">
        <v>5.0860000000000003</v>
      </c>
      <c r="H16" s="294">
        <v>5.9640000000000004</v>
      </c>
      <c r="I16" s="294">
        <v>7.2119999999999997</v>
      </c>
      <c r="J16" s="294">
        <v>8.0549999999999997</v>
      </c>
      <c r="K16" s="294">
        <v>8.5749659999999999</v>
      </c>
      <c r="L16" s="294">
        <v>9.0796240000000008</v>
      </c>
      <c r="M16" s="294">
        <v>9.0868660000000006</v>
      </c>
      <c r="N16" s="294">
        <v>9.1035310000000003</v>
      </c>
      <c r="O16" s="294">
        <v>9.1542469999999998</v>
      </c>
      <c r="P16" s="294">
        <v>9.1153980000000008</v>
      </c>
      <c r="Q16" s="294">
        <v>9.0036670000000001</v>
      </c>
      <c r="R16" s="294">
        <v>8.9001110000000008</v>
      </c>
      <c r="S16" s="294">
        <v>8.8244249999999997</v>
      </c>
      <c r="T16" s="294">
        <v>8.7271629999999991</v>
      </c>
      <c r="U16" s="294">
        <v>8.6775140000000004</v>
      </c>
      <c r="V16" s="294">
        <v>8.5252789999999994</v>
      </c>
      <c r="W16" s="294">
        <v>8.3808860000000003</v>
      </c>
      <c r="X16" s="294">
        <v>8.2445730000000008</v>
      </c>
      <c r="Y16" s="294">
        <v>8.1251610000000003</v>
      </c>
      <c r="Z16" s="294">
        <v>8.0643429999999992</v>
      </c>
      <c r="AA16" s="294">
        <v>7.932957</v>
      </c>
      <c r="AB16" s="294">
        <v>7.7996699999999999</v>
      </c>
      <c r="AC16" s="294">
        <v>7.7044680000000003</v>
      </c>
      <c r="AD16" s="294">
        <v>7.5961540000000003</v>
      </c>
      <c r="AE16" s="294">
        <v>7.4941009999999997</v>
      </c>
      <c r="AF16" s="294">
        <v>7.3860330000000003</v>
      </c>
      <c r="AG16" s="294">
        <v>7.3398209999999997</v>
      </c>
      <c r="AH16" s="294">
        <v>7.2371509999999999</v>
      </c>
      <c r="AI16" s="294">
        <v>7.241581</v>
      </c>
      <c r="AJ16" s="294">
        <v>7.2201810000000002</v>
      </c>
      <c r="AK16" s="295">
        <v>7.0000000000000001E-3</v>
      </c>
    </row>
    <row r="17" spans="1:38">
      <c r="A17" s="6" t="s">
        <v>179</v>
      </c>
      <c r="B17" s="349">
        <v>10.093000411987299</v>
      </c>
      <c r="C17" s="349">
        <v>10.003999710083001</v>
      </c>
      <c r="D17" s="349">
        <v>9.7010002136230504</v>
      </c>
      <c r="E17" s="349">
        <v>8.9919996261596697</v>
      </c>
      <c r="F17" s="350">
        <v>8.3191394805908203</v>
      </c>
      <c r="G17" s="294">
        <v>8.8879999999999999</v>
      </c>
      <c r="H17" s="294">
        <v>8.4319989999999994</v>
      </c>
      <c r="I17" s="294">
        <v>7.3609999999999998</v>
      </c>
      <c r="J17" s="294">
        <v>6.452</v>
      </c>
      <c r="K17" s="294">
        <v>6.1656769999999996</v>
      </c>
      <c r="L17" s="294">
        <v>5.7677230000000002</v>
      </c>
      <c r="M17" s="294">
        <v>5.8143669999999998</v>
      </c>
      <c r="N17" s="294">
        <v>5.8087150000000003</v>
      </c>
      <c r="O17" s="294">
        <v>5.7589199999999998</v>
      </c>
      <c r="P17" s="294">
        <v>5.7870730000000004</v>
      </c>
      <c r="Q17" s="294">
        <v>5.8889449999999997</v>
      </c>
      <c r="R17" s="294">
        <v>5.9421790000000003</v>
      </c>
      <c r="S17" s="294">
        <v>5.9748789999999996</v>
      </c>
      <c r="T17" s="294">
        <v>6.0359290000000003</v>
      </c>
      <c r="U17" s="294">
        <v>6.0526869999999997</v>
      </c>
      <c r="V17" s="294">
        <v>6.1879960000000001</v>
      </c>
      <c r="W17" s="294">
        <v>6.3329610000000001</v>
      </c>
      <c r="X17" s="294">
        <v>6.455387</v>
      </c>
      <c r="Y17" s="294">
        <v>6.5668860000000002</v>
      </c>
      <c r="Z17" s="294">
        <v>6.635491</v>
      </c>
      <c r="AA17" s="294">
        <v>6.7795449999999997</v>
      </c>
      <c r="AB17" s="294">
        <v>6.8623289999999999</v>
      </c>
      <c r="AC17" s="294">
        <v>6.8977040000000001</v>
      </c>
      <c r="AD17" s="294">
        <v>6.9983430000000002</v>
      </c>
      <c r="AE17" s="294">
        <v>7.1493440000000001</v>
      </c>
      <c r="AF17" s="294">
        <v>7.303795</v>
      </c>
      <c r="AG17" s="294">
        <v>7.4063970000000001</v>
      </c>
      <c r="AH17" s="294">
        <v>7.6181229999999998</v>
      </c>
      <c r="AI17" s="294">
        <v>7.6624980000000003</v>
      </c>
      <c r="AJ17" s="294">
        <v>7.742801</v>
      </c>
      <c r="AK17" s="295">
        <v>-3.0000000000000001E-3</v>
      </c>
    </row>
    <row r="18" spans="1:38">
      <c r="A18" s="6" t="s">
        <v>178</v>
      </c>
      <c r="B18" s="349">
        <v>10.118000030517599</v>
      </c>
      <c r="C18" s="349">
        <v>10.0310001373291</v>
      </c>
      <c r="D18" s="349">
        <v>9.7280006408691406</v>
      </c>
      <c r="E18" s="349">
        <v>9.0190000534057599</v>
      </c>
      <c r="F18" s="350">
        <v>8.3490304946899396</v>
      </c>
      <c r="G18" s="294">
        <v>8.9350000000000005</v>
      </c>
      <c r="H18" s="294">
        <v>8.4920000000000009</v>
      </c>
      <c r="I18" s="294">
        <v>7.4809999999999999</v>
      </c>
      <c r="J18" s="294">
        <v>6.585</v>
      </c>
      <c r="K18" s="294">
        <v>6.3116139999999996</v>
      </c>
      <c r="L18" s="294">
        <v>5.9214209999999996</v>
      </c>
      <c r="M18" s="294">
        <v>5.9680070000000001</v>
      </c>
      <c r="N18" s="294">
        <v>5.9630130000000001</v>
      </c>
      <c r="O18" s="294">
        <v>5.9123679999999998</v>
      </c>
      <c r="P18" s="294">
        <v>5.9393659999999997</v>
      </c>
      <c r="Q18" s="294">
        <v>6.0361729999999998</v>
      </c>
      <c r="R18" s="294">
        <v>6.0801559999999997</v>
      </c>
      <c r="S18" s="294">
        <v>6.1090929999999997</v>
      </c>
      <c r="T18" s="294">
        <v>6.1684799999999997</v>
      </c>
      <c r="U18" s="294">
        <v>6.1836919999999997</v>
      </c>
      <c r="V18" s="294">
        <v>6.31792</v>
      </c>
      <c r="W18" s="294">
        <v>6.4623739999999996</v>
      </c>
      <c r="X18" s="294">
        <v>6.5838710000000003</v>
      </c>
      <c r="Y18" s="294">
        <v>6.6953279999999999</v>
      </c>
      <c r="Z18" s="294">
        <v>6.7654339999999999</v>
      </c>
      <c r="AA18" s="294">
        <v>6.9090009999999999</v>
      </c>
      <c r="AB18" s="294">
        <v>6.9898129999999998</v>
      </c>
      <c r="AC18" s="294">
        <v>7.0234620000000003</v>
      </c>
      <c r="AD18" s="294">
        <v>7.1230440000000002</v>
      </c>
      <c r="AE18" s="294">
        <v>7.2727890000000004</v>
      </c>
      <c r="AF18" s="294">
        <v>7.4277439999999997</v>
      </c>
      <c r="AG18" s="294">
        <v>7.5305350000000004</v>
      </c>
      <c r="AH18" s="294">
        <v>7.7422449999999996</v>
      </c>
      <c r="AI18" s="294">
        <v>7.7863189999999998</v>
      </c>
      <c r="AJ18" s="294">
        <v>7.866511</v>
      </c>
      <c r="AK18" s="295">
        <v>-3.0000000000000001E-3</v>
      </c>
    </row>
    <row r="19" spans="1:38">
      <c r="A19" s="6" t="s">
        <v>169</v>
      </c>
      <c r="B19" s="349">
        <v>2.5000000372528999E-2</v>
      </c>
      <c r="C19" s="349">
        <v>2.70000007003546E-2</v>
      </c>
      <c r="D19" s="349">
        <v>2.70000007003546E-2</v>
      </c>
      <c r="E19" s="349">
        <v>2.70000007003546E-2</v>
      </c>
      <c r="F19" s="350">
        <v>2.9890902340412102E-2</v>
      </c>
      <c r="G19" s="294">
        <v>4.7E-2</v>
      </c>
      <c r="H19" s="294">
        <v>0.06</v>
      </c>
      <c r="I19" s="294">
        <v>0.12</v>
      </c>
      <c r="J19" s="294">
        <v>0.13300000000000001</v>
      </c>
      <c r="K19" s="294">
        <v>0.14593700000000001</v>
      </c>
      <c r="L19" s="294">
        <v>0.153697</v>
      </c>
      <c r="M19" s="294">
        <v>0.15364</v>
      </c>
      <c r="N19" s="294">
        <v>0.15429799999999999</v>
      </c>
      <c r="O19" s="294">
        <v>0.153447</v>
      </c>
      <c r="P19" s="294">
        <v>0.15229300000000001</v>
      </c>
      <c r="Q19" s="294">
        <v>0.147228</v>
      </c>
      <c r="R19" s="294">
        <v>0.13797699999999999</v>
      </c>
      <c r="S19" s="294">
        <v>0.134215</v>
      </c>
      <c r="T19" s="294">
        <v>0.132551</v>
      </c>
      <c r="U19" s="294">
        <v>0.13100500000000001</v>
      </c>
      <c r="V19" s="294">
        <v>0.12992400000000001</v>
      </c>
      <c r="W19" s="294">
        <v>0.129414</v>
      </c>
      <c r="X19" s="294">
        <v>0.12848499999999999</v>
      </c>
      <c r="Y19" s="294">
        <v>0.128441</v>
      </c>
      <c r="Z19" s="294">
        <v>0.129943</v>
      </c>
      <c r="AA19" s="294">
        <v>0.12945599999999999</v>
      </c>
      <c r="AB19" s="294">
        <v>0.12748399999999999</v>
      </c>
      <c r="AC19" s="294">
        <v>0.12575900000000001</v>
      </c>
      <c r="AD19" s="294">
        <v>0.12470100000000001</v>
      </c>
      <c r="AE19" s="294">
        <v>0.123445</v>
      </c>
      <c r="AF19" s="294">
        <v>0.123949</v>
      </c>
      <c r="AG19" s="294">
        <v>0.124137</v>
      </c>
      <c r="AH19" s="294">
        <v>0.124122</v>
      </c>
      <c r="AI19" s="294">
        <v>0.123821</v>
      </c>
      <c r="AJ19" s="294">
        <v>0.12371</v>
      </c>
      <c r="AK19" s="295">
        <v>2.5999999999999999E-2</v>
      </c>
    </row>
    <row r="20" spans="1:38">
      <c r="A20" s="6" t="s">
        <v>177</v>
      </c>
      <c r="B20" s="349">
        <v>4.80000004172325E-2</v>
      </c>
      <c r="C20" s="349">
        <v>8.79999995231628E-2</v>
      </c>
      <c r="D20" s="349">
        <v>-2.9999997466802601E-2</v>
      </c>
      <c r="E20" s="349">
        <v>1.9999999552965199E-2</v>
      </c>
      <c r="F20" s="350">
        <v>0</v>
      </c>
      <c r="G20" s="294">
        <v>0.26600000000000001</v>
      </c>
      <c r="H20" s="294">
        <v>8.6999999999999994E-2</v>
      </c>
      <c r="I20" s="294">
        <v>0.23400000000000001</v>
      </c>
      <c r="J20" s="294">
        <v>0.161</v>
      </c>
      <c r="K20" s="294">
        <v>0</v>
      </c>
      <c r="L20" s="294">
        <v>0</v>
      </c>
      <c r="M20" s="294">
        <v>0</v>
      </c>
      <c r="N20" s="294">
        <v>0</v>
      </c>
      <c r="O20" s="294">
        <v>0</v>
      </c>
      <c r="P20" s="294">
        <v>0</v>
      </c>
      <c r="Q20" s="294">
        <v>0</v>
      </c>
      <c r="R20" s="294">
        <v>0</v>
      </c>
      <c r="S20" s="294">
        <v>0</v>
      </c>
      <c r="T20" s="294">
        <v>0</v>
      </c>
      <c r="U20" s="294">
        <v>0</v>
      </c>
      <c r="V20" s="294">
        <v>0</v>
      </c>
      <c r="W20" s="294">
        <v>0</v>
      </c>
      <c r="X20" s="294">
        <v>0</v>
      </c>
      <c r="Y20" s="294">
        <v>0</v>
      </c>
      <c r="Z20" s="294">
        <v>0</v>
      </c>
      <c r="AA20" s="294">
        <v>0</v>
      </c>
      <c r="AB20" s="294">
        <v>0</v>
      </c>
      <c r="AC20" s="294">
        <v>0</v>
      </c>
      <c r="AD20" s="294">
        <v>0</v>
      </c>
      <c r="AE20" s="294">
        <v>0</v>
      </c>
      <c r="AF20" s="294">
        <v>0</v>
      </c>
      <c r="AG20" s="294">
        <v>0</v>
      </c>
      <c r="AH20" s="294">
        <v>0</v>
      </c>
      <c r="AI20" s="294">
        <v>0</v>
      </c>
      <c r="AJ20" s="294">
        <v>0</v>
      </c>
      <c r="AK20" s="294" t="s">
        <v>41</v>
      </c>
    </row>
    <row r="21" spans="1:38">
      <c r="A21" s="6" t="s">
        <v>176</v>
      </c>
      <c r="B21" s="349">
        <v>15.2430009841919</v>
      </c>
      <c r="C21" s="349">
        <v>15.158999443054199</v>
      </c>
      <c r="D21" s="349">
        <v>14.625</v>
      </c>
      <c r="E21" s="349">
        <v>14.3919486999512</v>
      </c>
      <c r="F21" s="350">
        <v>13.9286651611328</v>
      </c>
      <c r="G21" s="249">
        <v>14.811999999999999</v>
      </c>
      <c r="H21" s="249">
        <v>15.012999000000001</v>
      </c>
      <c r="I21" s="249">
        <v>15.317</v>
      </c>
      <c r="J21" s="249">
        <v>15.141800999999999</v>
      </c>
      <c r="K21" s="249">
        <v>15.203478</v>
      </c>
      <c r="L21" s="249">
        <v>15.309505</v>
      </c>
      <c r="M21" s="249">
        <v>15.371171</v>
      </c>
      <c r="N21" s="249">
        <v>15.384200999999999</v>
      </c>
      <c r="O21" s="249">
        <v>15.367167</v>
      </c>
      <c r="P21" s="249">
        <v>15.339613999999999</v>
      </c>
      <c r="Q21" s="249">
        <v>15.305448999999999</v>
      </c>
      <c r="R21" s="249">
        <v>15.231005</v>
      </c>
      <c r="S21" s="249">
        <v>15.165613</v>
      </c>
      <c r="T21" s="249">
        <v>15.108777</v>
      </c>
      <c r="U21" s="249">
        <v>15.05687</v>
      </c>
      <c r="V21" s="249">
        <v>15.020941000000001</v>
      </c>
      <c r="W21" s="249">
        <v>15.002621</v>
      </c>
      <c r="X21" s="249">
        <v>14.971308000000001</v>
      </c>
      <c r="Y21" s="249">
        <v>14.947302000000001</v>
      </c>
      <c r="Z21" s="249">
        <v>14.940206</v>
      </c>
      <c r="AA21" s="249">
        <v>14.939088999999999</v>
      </c>
      <c r="AB21" s="249">
        <v>14.935063</v>
      </c>
      <c r="AC21" s="249">
        <v>14.942383</v>
      </c>
      <c r="AD21" s="249">
        <v>14.982934999999999</v>
      </c>
      <c r="AE21" s="249">
        <v>15.021611999999999</v>
      </c>
      <c r="AF21" s="249">
        <v>15.058424</v>
      </c>
      <c r="AG21" s="249">
        <v>15.105885000000001</v>
      </c>
      <c r="AH21" s="249">
        <v>15.176966</v>
      </c>
      <c r="AI21" s="249">
        <v>15.192781</v>
      </c>
      <c r="AJ21" s="249">
        <v>15.222968</v>
      </c>
      <c r="AK21" s="250">
        <v>0</v>
      </c>
    </row>
    <row r="23" spans="1:38">
      <c r="A23" s="6" t="s">
        <v>175</v>
      </c>
    </row>
    <row r="24" spans="1:38" s="252" customFormat="1">
      <c r="A24" s="251" t="s">
        <v>174</v>
      </c>
      <c r="B24" s="349">
        <v>1.7380001544952399</v>
      </c>
      <c r="C24" s="349">
        <v>1.7829999923706099</v>
      </c>
      <c r="D24" s="349">
        <v>1.82499992847443</v>
      </c>
      <c r="E24" s="349">
        <v>1.81299996376038</v>
      </c>
      <c r="F24" s="350">
        <v>1.86609554290771</v>
      </c>
      <c r="G24" s="296">
        <v>2.2160000000000002</v>
      </c>
      <c r="H24" s="296">
        <v>2.4</v>
      </c>
      <c r="I24" s="296">
        <v>2.4900000000000002</v>
      </c>
      <c r="J24" s="296">
        <v>2.5089999999999999</v>
      </c>
      <c r="K24" s="296">
        <v>2.5561180000000001</v>
      </c>
      <c r="L24" s="296">
        <v>2.6337290000000002</v>
      </c>
      <c r="M24" s="296">
        <v>2.6633930000000001</v>
      </c>
      <c r="N24" s="296">
        <v>2.6705079999999999</v>
      </c>
      <c r="O24" s="296">
        <v>2.669905</v>
      </c>
      <c r="P24" s="296">
        <v>2.6458759999999999</v>
      </c>
      <c r="Q24" s="296">
        <v>2.60798</v>
      </c>
      <c r="R24" s="296">
        <v>2.7045080000000001</v>
      </c>
      <c r="S24" s="296">
        <v>2.7930269999999999</v>
      </c>
      <c r="T24" s="296">
        <v>2.8390249999999999</v>
      </c>
      <c r="U24" s="296">
        <v>2.8728980000000002</v>
      </c>
      <c r="V24" s="296">
        <v>2.9033150000000001</v>
      </c>
      <c r="W24" s="296">
        <v>2.9228930000000002</v>
      </c>
      <c r="X24" s="296">
        <v>2.9406509999999999</v>
      </c>
      <c r="Y24" s="296">
        <v>2.9505080000000001</v>
      </c>
      <c r="Z24" s="296">
        <v>2.978853</v>
      </c>
      <c r="AA24" s="296">
        <v>3.0103460000000002</v>
      </c>
      <c r="AB24" s="296">
        <v>3.0288490000000001</v>
      </c>
      <c r="AC24" s="296">
        <v>3.0383969999999998</v>
      </c>
      <c r="AD24" s="296">
        <v>3.0546120000000001</v>
      </c>
      <c r="AE24" s="296">
        <v>3.0492400000000002</v>
      </c>
      <c r="AF24" s="296">
        <v>3.0289980000000001</v>
      </c>
      <c r="AG24" s="296">
        <v>3.058621</v>
      </c>
      <c r="AH24" s="296">
        <v>3.037477</v>
      </c>
      <c r="AI24" s="296">
        <v>3.013617</v>
      </c>
      <c r="AJ24" s="296">
        <v>2.983552</v>
      </c>
      <c r="AK24" s="297">
        <v>8.0000000000000002E-3</v>
      </c>
    </row>
    <row r="25" spans="1:38">
      <c r="A25" s="6" t="s">
        <v>173</v>
      </c>
      <c r="B25" s="349">
        <v>2.3140001296997101</v>
      </c>
      <c r="C25" s="349">
        <v>2.0869998931884801</v>
      </c>
      <c r="D25" s="349">
        <v>1.29999995231628</v>
      </c>
      <c r="E25" s="349">
        <v>1.3280000686645499</v>
      </c>
      <c r="F25" s="350">
        <v>1.6039888858795199</v>
      </c>
      <c r="G25" s="294">
        <v>-0.252</v>
      </c>
      <c r="H25" s="294">
        <v>-0.91600000000000004</v>
      </c>
      <c r="I25" s="294">
        <v>-0.98799999999999999</v>
      </c>
      <c r="J25" s="294">
        <v>-1.0289999999999999</v>
      </c>
      <c r="K25" s="294">
        <v>-0.96462499999999995</v>
      </c>
      <c r="L25" s="294">
        <v>-0.94448699999999997</v>
      </c>
      <c r="M25" s="294">
        <v>-0.93183700000000003</v>
      </c>
      <c r="N25" s="294">
        <v>-0.91123600000000005</v>
      </c>
      <c r="O25" s="294">
        <v>-0.88706300000000005</v>
      </c>
      <c r="P25" s="294">
        <v>-0.85573100000000002</v>
      </c>
      <c r="Q25" s="294">
        <v>-0.83163799999999999</v>
      </c>
      <c r="R25" s="294">
        <v>-0.89107099999999995</v>
      </c>
      <c r="S25" s="294">
        <v>-0.94251600000000002</v>
      </c>
      <c r="T25" s="294">
        <v>-0.97565599999999997</v>
      </c>
      <c r="U25" s="294">
        <v>-1.0068220000000001</v>
      </c>
      <c r="V25" s="294">
        <v>-1.068271</v>
      </c>
      <c r="W25" s="294">
        <v>-1.122708</v>
      </c>
      <c r="X25" s="294">
        <v>-1.1588719999999999</v>
      </c>
      <c r="Y25" s="294">
        <v>-1.2142729999999999</v>
      </c>
      <c r="Z25" s="294">
        <v>-1.293569</v>
      </c>
      <c r="AA25" s="294">
        <v>-1.3683129999999999</v>
      </c>
      <c r="AB25" s="294">
        <v>-1.4270320000000001</v>
      </c>
      <c r="AC25" s="294">
        <v>-1.482378</v>
      </c>
      <c r="AD25" s="294">
        <v>-1.563064</v>
      </c>
      <c r="AE25" s="294">
        <v>-1.613156</v>
      </c>
      <c r="AF25" s="294">
        <v>-1.650264</v>
      </c>
      <c r="AG25" s="294">
        <v>-1.716191</v>
      </c>
      <c r="AH25" s="294">
        <v>-1.7615620000000001</v>
      </c>
      <c r="AI25" s="294">
        <v>-1.7771790000000001</v>
      </c>
      <c r="AJ25" s="294">
        <v>-1.816797</v>
      </c>
      <c r="AK25" s="295">
        <v>2.5000000000000001E-2</v>
      </c>
    </row>
    <row r="26" spans="1:38">
      <c r="A26" s="6" t="s">
        <v>172</v>
      </c>
      <c r="B26" s="349">
        <v>2.1710000038146999</v>
      </c>
      <c r="C26" s="349">
        <v>1.93800008296967</v>
      </c>
      <c r="D26" s="349">
        <v>1.0240000486373899</v>
      </c>
      <c r="E26" s="349">
        <v>1.06200003623962</v>
      </c>
      <c r="F26" s="350">
        <v>1.54514491558075</v>
      </c>
      <c r="G26" s="294">
        <v>1.151</v>
      </c>
      <c r="H26" s="294">
        <v>0.84799999999999998</v>
      </c>
      <c r="I26" s="294">
        <v>0.70899999999999996</v>
      </c>
      <c r="J26" s="294">
        <v>0.72</v>
      </c>
      <c r="K26" s="294">
        <v>0.81863200000000003</v>
      </c>
      <c r="L26" s="294">
        <v>0.88173000000000001</v>
      </c>
      <c r="M26" s="294">
        <v>0.906914</v>
      </c>
      <c r="N26" s="294">
        <v>0.93180099999999999</v>
      </c>
      <c r="O26" s="294">
        <v>0.95816500000000004</v>
      </c>
      <c r="P26" s="294">
        <v>0.97589599999999999</v>
      </c>
      <c r="Q26" s="294">
        <v>0.98990599999999995</v>
      </c>
      <c r="R26" s="294">
        <v>1.006778</v>
      </c>
      <c r="S26" s="294">
        <v>1.0199199999999999</v>
      </c>
      <c r="T26" s="294">
        <v>1.03091</v>
      </c>
      <c r="U26" s="294">
        <v>1.05515</v>
      </c>
      <c r="V26" s="294">
        <v>1.0587679999999999</v>
      </c>
      <c r="W26" s="294">
        <v>1.0657570000000001</v>
      </c>
      <c r="X26" s="294">
        <v>1.0659179999999999</v>
      </c>
      <c r="Y26" s="294">
        <v>1.061431</v>
      </c>
      <c r="Z26" s="294">
        <v>1.0560160000000001</v>
      </c>
      <c r="AA26" s="294">
        <v>1.05697</v>
      </c>
      <c r="AB26" s="294">
        <v>1.0702149999999999</v>
      </c>
      <c r="AC26" s="294">
        <v>1.072165</v>
      </c>
      <c r="AD26" s="294">
        <v>1.0766100000000001</v>
      </c>
      <c r="AE26" s="294">
        <v>1.0822270000000001</v>
      </c>
      <c r="AF26" s="294">
        <v>1.093154</v>
      </c>
      <c r="AG26" s="294">
        <v>1.095712</v>
      </c>
      <c r="AH26" s="294">
        <v>1.0972550000000001</v>
      </c>
      <c r="AI26" s="294">
        <v>1.1087450000000001</v>
      </c>
      <c r="AJ26" s="294">
        <v>1.0974060000000001</v>
      </c>
      <c r="AK26" s="295">
        <v>8.9999999999999993E-3</v>
      </c>
    </row>
    <row r="27" spans="1:38">
      <c r="A27" s="6" t="s">
        <v>171</v>
      </c>
      <c r="B27" s="349">
        <v>0.68900001049041704</v>
      </c>
      <c r="C27" s="349">
        <v>0.71700000762939498</v>
      </c>
      <c r="D27" s="349">
        <v>0.60663330554962203</v>
      </c>
      <c r="E27" s="349">
        <v>0.60996818542480502</v>
      </c>
      <c r="F27" s="350">
        <v>0.60277581214904796</v>
      </c>
      <c r="G27" s="294">
        <v>0.68700000000000006</v>
      </c>
      <c r="H27" s="294">
        <v>0.60299999999999998</v>
      </c>
      <c r="I27" s="294">
        <v>0.58599999999999997</v>
      </c>
      <c r="J27" s="294">
        <v>0.54400000000000004</v>
      </c>
      <c r="K27" s="294">
        <v>0.540385</v>
      </c>
      <c r="L27" s="294">
        <v>0.53676900000000005</v>
      </c>
      <c r="M27" s="294">
        <v>0.53315299999999999</v>
      </c>
      <c r="N27" s="294">
        <v>0.52953899999999998</v>
      </c>
      <c r="O27" s="294">
        <v>0.52592300000000003</v>
      </c>
      <c r="P27" s="294">
        <v>0.52230699999999997</v>
      </c>
      <c r="Q27" s="294">
        <v>0.51869299999999996</v>
      </c>
      <c r="R27" s="294">
        <v>0.51507700000000001</v>
      </c>
      <c r="S27" s="294">
        <v>0.51146100000000005</v>
      </c>
      <c r="T27" s="294">
        <v>0.50784600000000002</v>
      </c>
      <c r="U27" s="294">
        <v>0.50423099999999998</v>
      </c>
      <c r="V27" s="294">
        <v>0.50061500000000003</v>
      </c>
      <c r="W27" s="294">
        <v>0.497</v>
      </c>
      <c r="X27" s="294">
        <v>0.49338500000000002</v>
      </c>
      <c r="Y27" s="294">
        <v>0.48976900000000001</v>
      </c>
      <c r="Z27" s="294">
        <v>0.48615399999999998</v>
      </c>
      <c r="AA27" s="294">
        <v>0.48253800000000002</v>
      </c>
      <c r="AB27" s="294">
        <v>0.47892299999999999</v>
      </c>
      <c r="AC27" s="294">
        <v>0.47530800000000001</v>
      </c>
      <c r="AD27" s="294">
        <v>0.471692</v>
      </c>
      <c r="AE27" s="294">
        <v>0.46807700000000002</v>
      </c>
      <c r="AF27" s="294">
        <v>0.46446199999999999</v>
      </c>
      <c r="AG27" s="294">
        <v>0.46084599999999998</v>
      </c>
      <c r="AH27" s="294">
        <v>0.45723000000000003</v>
      </c>
      <c r="AI27" s="294">
        <v>0.45361600000000002</v>
      </c>
      <c r="AJ27" s="294">
        <v>0.45</v>
      </c>
      <c r="AK27" s="295">
        <v>-0.01</v>
      </c>
    </row>
    <row r="28" spans="1:38">
      <c r="A28" s="6" t="s">
        <v>170</v>
      </c>
      <c r="B28" s="349">
        <v>0.67700004577636697</v>
      </c>
      <c r="C28" s="349">
        <v>0.75300002098083496</v>
      </c>
      <c r="D28" s="349">
        <v>0.73199999332428001</v>
      </c>
      <c r="E28" s="349">
        <v>0.71799999475479104</v>
      </c>
      <c r="F28" s="350">
        <v>0.62520116567611705</v>
      </c>
      <c r="G28" s="294">
        <v>0.71799999999999997</v>
      </c>
      <c r="H28" s="294">
        <v>0.61599999999999999</v>
      </c>
      <c r="I28" s="294">
        <v>0.61</v>
      </c>
      <c r="J28" s="294">
        <v>0.6</v>
      </c>
      <c r="K28" s="294">
        <v>0.67105999999999999</v>
      </c>
      <c r="L28" s="294">
        <v>0.66229499999999997</v>
      </c>
      <c r="M28" s="294">
        <v>0.65169100000000002</v>
      </c>
      <c r="N28" s="294">
        <v>0.64020900000000003</v>
      </c>
      <c r="O28" s="294">
        <v>0.62541100000000005</v>
      </c>
      <c r="P28" s="294">
        <v>0.61513700000000004</v>
      </c>
      <c r="Q28" s="294">
        <v>0.606742</v>
      </c>
      <c r="R28" s="294">
        <v>0.595522</v>
      </c>
      <c r="S28" s="294">
        <v>0.58620099999999997</v>
      </c>
      <c r="T28" s="294">
        <v>0.57591400000000004</v>
      </c>
      <c r="U28" s="294">
        <v>0.55055799999999999</v>
      </c>
      <c r="V28" s="294">
        <v>0.53803599999999996</v>
      </c>
      <c r="W28" s="294">
        <v>0.524864</v>
      </c>
      <c r="X28" s="294">
        <v>0.51505000000000001</v>
      </c>
      <c r="Y28" s="294">
        <v>0.50508799999999998</v>
      </c>
      <c r="Z28" s="294">
        <v>0.49612200000000001</v>
      </c>
      <c r="AA28" s="294">
        <v>0.48664200000000002</v>
      </c>
      <c r="AB28" s="294">
        <v>0.47747699999999998</v>
      </c>
      <c r="AC28" s="294">
        <v>0.46830300000000002</v>
      </c>
      <c r="AD28" s="294">
        <v>0.45679599999999998</v>
      </c>
      <c r="AE28" s="294">
        <v>0.44836500000000001</v>
      </c>
      <c r="AF28" s="294">
        <v>0.43787900000000002</v>
      </c>
      <c r="AG28" s="294">
        <v>0.42837799999999998</v>
      </c>
      <c r="AH28" s="294">
        <v>0.41841600000000001</v>
      </c>
      <c r="AI28" s="294">
        <v>0.40845399999999998</v>
      </c>
      <c r="AJ28" s="294">
        <v>0.39849099999999998</v>
      </c>
      <c r="AK28" s="295">
        <v>-1.4999999999999999E-2</v>
      </c>
    </row>
    <row r="29" spans="1:38">
      <c r="A29" s="6" t="s">
        <v>169</v>
      </c>
      <c r="B29" s="349">
        <v>1.2150000333786</v>
      </c>
      <c r="C29" s="349">
        <v>1.32100009918213</v>
      </c>
      <c r="D29" s="349">
        <v>1.2150000333786</v>
      </c>
      <c r="E29" s="349">
        <v>1.2150000333786</v>
      </c>
      <c r="F29" s="350">
        <v>1.16913342475891</v>
      </c>
      <c r="G29" s="294">
        <v>2.8079999999999998</v>
      </c>
      <c r="H29" s="294">
        <v>2.9830000000000001</v>
      </c>
      <c r="I29" s="294">
        <v>2.8929999999999998</v>
      </c>
      <c r="J29" s="294">
        <v>2.8929999999999998</v>
      </c>
      <c r="K29" s="294">
        <v>2.9947010000000001</v>
      </c>
      <c r="L29" s="294">
        <v>3.0252810000000001</v>
      </c>
      <c r="M29" s="294">
        <v>3.023596</v>
      </c>
      <c r="N29" s="294">
        <v>3.0127839999999999</v>
      </c>
      <c r="O29" s="294">
        <v>2.9965619999999999</v>
      </c>
      <c r="P29" s="294">
        <v>2.9690720000000002</v>
      </c>
      <c r="Q29" s="294">
        <v>2.9469789999999998</v>
      </c>
      <c r="R29" s="294">
        <v>3.0084490000000002</v>
      </c>
      <c r="S29" s="294">
        <v>3.0600990000000001</v>
      </c>
      <c r="T29" s="294">
        <v>3.090325</v>
      </c>
      <c r="U29" s="294">
        <v>3.1167609999999999</v>
      </c>
      <c r="V29" s="294">
        <v>3.1656900000000001</v>
      </c>
      <c r="W29" s="294">
        <v>3.2103290000000002</v>
      </c>
      <c r="X29" s="294">
        <v>3.2332260000000002</v>
      </c>
      <c r="Y29" s="294">
        <v>3.2705609999999998</v>
      </c>
      <c r="Z29" s="294">
        <v>3.331861</v>
      </c>
      <c r="AA29" s="294">
        <v>3.3944640000000001</v>
      </c>
      <c r="AB29" s="294">
        <v>3.4536470000000001</v>
      </c>
      <c r="AC29" s="294">
        <v>3.498154</v>
      </c>
      <c r="AD29" s="294">
        <v>3.5681620000000001</v>
      </c>
      <c r="AE29" s="294">
        <v>3.6118250000000001</v>
      </c>
      <c r="AF29" s="294">
        <v>3.6457579999999998</v>
      </c>
      <c r="AG29" s="294">
        <v>3.7011270000000001</v>
      </c>
      <c r="AH29" s="294">
        <v>3.7344629999999999</v>
      </c>
      <c r="AI29" s="294">
        <v>3.7479930000000001</v>
      </c>
      <c r="AJ29" s="294">
        <v>3.7626949999999999</v>
      </c>
      <c r="AK29" s="295">
        <v>8.0000000000000002E-3</v>
      </c>
    </row>
    <row r="30" spans="1:38">
      <c r="A30" s="6" t="s">
        <v>168</v>
      </c>
      <c r="B30" s="349">
        <v>0.99400001764297496</v>
      </c>
      <c r="C30" s="349">
        <v>0.99599999189376798</v>
      </c>
      <c r="D30" s="349">
        <v>0.99699997901916504</v>
      </c>
      <c r="E30" s="349">
        <v>0.97899997234344505</v>
      </c>
      <c r="F30" s="350">
        <v>0.97222220897674605</v>
      </c>
      <c r="G30" s="294">
        <v>1.0760000000000001</v>
      </c>
      <c r="H30" s="294">
        <v>1.077</v>
      </c>
      <c r="I30" s="294">
        <v>1.0620000000000001</v>
      </c>
      <c r="J30" s="294">
        <v>1.0549999999999999</v>
      </c>
      <c r="K30" s="294">
        <v>1.1173770000000001</v>
      </c>
      <c r="L30" s="294">
        <v>1.107977</v>
      </c>
      <c r="M30" s="294">
        <v>1.1068800000000001</v>
      </c>
      <c r="N30" s="294">
        <v>1.1013949999999999</v>
      </c>
      <c r="O30" s="294">
        <v>1.0899559999999999</v>
      </c>
      <c r="P30" s="294">
        <v>1.0810919999999999</v>
      </c>
      <c r="Q30" s="294">
        <v>1.070587</v>
      </c>
      <c r="R30" s="294">
        <v>1.0513539999999999</v>
      </c>
      <c r="S30" s="294">
        <v>1.032008</v>
      </c>
      <c r="T30" s="294">
        <v>1.0139609999999999</v>
      </c>
      <c r="U30" s="294">
        <v>0.99733000000000005</v>
      </c>
      <c r="V30" s="294">
        <v>0.98163100000000003</v>
      </c>
      <c r="W30" s="294">
        <v>0.97328499999999996</v>
      </c>
      <c r="X30" s="294">
        <v>0.96382100000000004</v>
      </c>
      <c r="Y30" s="294">
        <v>0.95674199999999998</v>
      </c>
      <c r="Z30" s="294">
        <v>0.95704199999999995</v>
      </c>
      <c r="AA30" s="294">
        <v>0.95328999999999997</v>
      </c>
      <c r="AB30" s="294">
        <v>0.95369499999999996</v>
      </c>
      <c r="AC30" s="294">
        <v>0.949291</v>
      </c>
      <c r="AD30" s="294">
        <v>0.94474999999999998</v>
      </c>
      <c r="AE30" s="294">
        <v>0.94433999999999996</v>
      </c>
      <c r="AF30" s="294">
        <v>0.94618999999999998</v>
      </c>
      <c r="AG30" s="294">
        <v>0.94669300000000001</v>
      </c>
      <c r="AH30" s="294">
        <v>0.95018899999999995</v>
      </c>
      <c r="AI30" s="294">
        <v>0.95436399999999999</v>
      </c>
      <c r="AJ30" s="294">
        <v>0.95464199999999999</v>
      </c>
      <c r="AK30" s="295">
        <v>-4.0000000000000001E-3</v>
      </c>
    </row>
    <row r="31" spans="1:38">
      <c r="A31" s="6" t="s">
        <v>689</v>
      </c>
      <c r="B31" s="349">
        <v>0.40835106372833302</v>
      </c>
      <c r="C31" s="349">
        <v>0.74303030967712402</v>
      </c>
      <c r="D31" s="349">
        <v>0.90019965171813998</v>
      </c>
      <c r="E31" s="349">
        <v>0.90936332941055298</v>
      </c>
      <c r="F31" s="350">
        <v>1.2169610261917101</v>
      </c>
      <c r="G31" s="294">
        <v>0.87458199999999997</v>
      </c>
      <c r="H31" s="294">
        <v>0.88629000000000002</v>
      </c>
      <c r="I31" s="294">
        <v>0.91131799999999996</v>
      </c>
      <c r="J31" s="294">
        <v>0.94543999999999995</v>
      </c>
      <c r="K31" s="294">
        <v>0.95931299999999997</v>
      </c>
      <c r="L31" s="294">
        <v>0.96406000000000003</v>
      </c>
      <c r="M31" s="294">
        <v>0.97751200000000005</v>
      </c>
      <c r="N31" s="294">
        <v>0.98974300000000004</v>
      </c>
      <c r="O31" s="294">
        <v>1.0016430000000001</v>
      </c>
      <c r="P31" s="294">
        <v>1.014486</v>
      </c>
      <c r="Q31" s="294">
        <v>1.026421</v>
      </c>
      <c r="R31" s="294">
        <v>1.04257</v>
      </c>
      <c r="S31" s="294">
        <v>1.0409060000000001</v>
      </c>
      <c r="T31" s="294">
        <v>1.042815</v>
      </c>
      <c r="U31" s="294">
        <v>1.0410189999999999</v>
      </c>
      <c r="V31" s="294">
        <v>1.0405869999999999</v>
      </c>
      <c r="W31" s="294">
        <v>1.0406690000000001</v>
      </c>
      <c r="X31" s="294">
        <v>1.0407820000000001</v>
      </c>
      <c r="Y31" s="294">
        <v>1.0402199999999999</v>
      </c>
      <c r="Z31" s="294">
        <v>1.0406690000000001</v>
      </c>
      <c r="AA31" s="294">
        <v>1.0418559999999999</v>
      </c>
      <c r="AB31" s="294">
        <v>1.0410980000000001</v>
      </c>
      <c r="AC31" s="294">
        <v>1.041115</v>
      </c>
      <c r="AD31" s="294">
        <v>1.0421020000000001</v>
      </c>
      <c r="AE31" s="294">
        <v>1.0415099999999999</v>
      </c>
      <c r="AF31" s="294">
        <v>1.039404</v>
      </c>
      <c r="AG31" s="294">
        <v>1.038624</v>
      </c>
      <c r="AH31" s="294">
        <v>1.041671</v>
      </c>
      <c r="AI31" s="294">
        <v>1.0532999999999999</v>
      </c>
      <c r="AJ31" s="294">
        <v>1.0676890000000001</v>
      </c>
      <c r="AK31" s="295">
        <v>7.0000000000000001E-3</v>
      </c>
    </row>
    <row r="32" spans="1:38" s="18" customFormat="1">
      <c r="A32" s="17" t="s">
        <v>167</v>
      </c>
      <c r="B32" s="351">
        <v>0.31900000572204601</v>
      </c>
      <c r="C32" s="351">
        <v>0.42500001192092901</v>
      </c>
      <c r="D32" s="351">
        <v>0.60299998521804798</v>
      </c>
      <c r="E32" s="351">
        <v>0.68500006198883101</v>
      </c>
      <c r="F32" s="352">
        <v>0.84147453308105502</v>
      </c>
      <c r="G32" s="294">
        <v>0.81834200000000001</v>
      </c>
      <c r="H32" s="294">
        <v>0.82725800000000005</v>
      </c>
      <c r="I32" s="294">
        <v>0.825187</v>
      </c>
      <c r="J32" s="294">
        <v>0.85004199999999996</v>
      </c>
      <c r="K32" s="294">
        <v>0.865282</v>
      </c>
      <c r="L32" s="294">
        <v>0.869251</v>
      </c>
      <c r="M32" s="294">
        <v>0.88145200000000001</v>
      </c>
      <c r="N32" s="294">
        <v>0.88586200000000004</v>
      </c>
      <c r="O32" s="294">
        <v>0.88890000000000002</v>
      </c>
      <c r="P32" s="294">
        <v>0.89585899999999996</v>
      </c>
      <c r="Q32" s="294">
        <v>0.89987200000000001</v>
      </c>
      <c r="R32" s="294">
        <v>0.91550900000000002</v>
      </c>
      <c r="S32" s="294">
        <v>0.91492399999999996</v>
      </c>
      <c r="T32" s="294">
        <v>0.91555299999999995</v>
      </c>
      <c r="U32" s="294">
        <v>0.91523600000000005</v>
      </c>
      <c r="V32" s="294">
        <v>0.91508800000000001</v>
      </c>
      <c r="W32" s="294">
        <v>0.91518600000000006</v>
      </c>
      <c r="X32" s="294">
        <v>0.91533399999999998</v>
      </c>
      <c r="Y32" s="294">
        <v>0.91476000000000002</v>
      </c>
      <c r="Z32" s="294">
        <v>0.91483099999999995</v>
      </c>
      <c r="AA32" s="294">
        <v>0.91463499999999998</v>
      </c>
      <c r="AB32" s="294">
        <v>0.91389500000000001</v>
      </c>
      <c r="AC32" s="294">
        <v>0.91388999999999998</v>
      </c>
      <c r="AD32" s="294">
        <v>0.91484699999999997</v>
      </c>
      <c r="AE32" s="294">
        <v>0.91425800000000002</v>
      </c>
      <c r="AF32" s="294">
        <v>0.91217999999999999</v>
      </c>
      <c r="AG32" s="294">
        <v>0.91165499999999999</v>
      </c>
      <c r="AH32" s="294">
        <v>0.91445399999999999</v>
      </c>
      <c r="AI32" s="294">
        <v>0.92887299999999995</v>
      </c>
      <c r="AJ32" s="294">
        <v>0.94600499999999998</v>
      </c>
      <c r="AK32" s="295">
        <v>5.0000000000000001E-3</v>
      </c>
      <c r="AL32" s="51">
        <f>C32*(1+AK32)^23</f>
        <v>0.4766596202229666</v>
      </c>
    </row>
    <row r="33" spans="1:38" s="18" customFormat="1">
      <c r="A33" s="17" t="s">
        <v>165</v>
      </c>
      <c r="B33" s="351">
        <v>0.273288995027542</v>
      </c>
      <c r="C33" s="351">
        <v>0.40336400270461997</v>
      </c>
      <c r="D33" s="351">
        <v>0.58252400159835804</v>
      </c>
      <c r="E33" s="351">
        <v>0.68972003459930398</v>
      </c>
      <c r="F33" s="352">
        <v>0.84179353713989302</v>
      </c>
      <c r="G33" s="294">
        <v>0.88597599999999999</v>
      </c>
      <c r="H33" s="294">
        <v>0.84365599999999996</v>
      </c>
      <c r="I33" s="294">
        <v>0.83595299999999995</v>
      </c>
      <c r="J33" s="294">
        <v>0.86998399999999998</v>
      </c>
      <c r="K33" s="294">
        <v>0.82013999999999998</v>
      </c>
      <c r="L33" s="294">
        <v>0.82233599999999996</v>
      </c>
      <c r="M33" s="294">
        <v>0.83316999999999997</v>
      </c>
      <c r="N33" s="294">
        <v>0.834866</v>
      </c>
      <c r="O33" s="294">
        <v>0.83494199999999996</v>
      </c>
      <c r="P33" s="294">
        <v>0.84040599999999999</v>
      </c>
      <c r="Q33" s="294">
        <v>0.83868500000000001</v>
      </c>
      <c r="R33" s="294">
        <v>0.84875</v>
      </c>
      <c r="S33" s="294">
        <v>0.85439200000000004</v>
      </c>
      <c r="T33" s="294">
        <v>0.85437700000000005</v>
      </c>
      <c r="U33" s="294">
        <v>0.85438800000000004</v>
      </c>
      <c r="V33" s="294">
        <v>0.85439200000000004</v>
      </c>
      <c r="W33" s="294">
        <v>0.85523000000000005</v>
      </c>
      <c r="X33" s="294">
        <v>0.85584700000000002</v>
      </c>
      <c r="Y33" s="294">
        <v>0.85583500000000001</v>
      </c>
      <c r="Z33" s="294">
        <v>0.85584700000000002</v>
      </c>
      <c r="AA33" s="294">
        <v>0.85584700000000002</v>
      </c>
      <c r="AB33" s="294">
        <v>0.85583500000000001</v>
      </c>
      <c r="AC33" s="294">
        <v>0.85583500000000001</v>
      </c>
      <c r="AD33" s="294">
        <v>0.85583500000000001</v>
      </c>
      <c r="AE33" s="294">
        <v>0.85358400000000001</v>
      </c>
      <c r="AF33" s="294">
        <v>0.84983299999999995</v>
      </c>
      <c r="AG33" s="294">
        <v>0.84757499999999997</v>
      </c>
      <c r="AH33" s="294">
        <v>0.84855400000000003</v>
      </c>
      <c r="AI33" s="294">
        <v>0.85902400000000001</v>
      </c>
      <c r="AJ33" s="294">
        <v>0.86278500000000002</v>
      </c>
      <c r="AK33" s="295">
        <v>1E-3</v>
      </c>
      <c r="AL33" s="51" t="s">
        <v>0</v>
      </c>
    </row>
    <row r="34" spans="1:38">
      <c r="A34" s="6" t="s">
        <v>164</v>
      </c>
      <c r="B34" s="349">
        <v>4.5710995793342597E-2</v>
      </c>
      <c r="C34" s="349">
        <v>2.1635998040437698E-2</v>
      </c>
      <c r="D34" s="349">
        <v>2.0475998520851101E-2</v>
      </c>
      <c r="E34" s="349">
        <v>-4.7199996188283001E-3</v>
      </c>
      <c r="F34" s="350">
        <v>-3.1897879671305402E-4</v>
      </c>
      <c r="G34" s="294">
        <v>-6.6753999999999994E-2</v>
      </c>
      <c r="H34" s="294">
        <v>-1.6397999999999999E-2</v>
      </c>
      <c r="I34" s="294">
        <v>-1.0766E-2</v>
      </c>
      <c r="J34" s="294">
        <v>-1.9942000000000001E-2</v>
      </c>
      <c r="K34" s="294">
        <v>4.5142000000000002E-2</v>
      </c>
      <c r="L34" s="294">
        <v>4.6915999999999999E-2</v>
      </c>
      <c r="M34" s="294">
        <v>4.8281999999999999E-2</v>
      </c>
      <c r="N34" s="294">
        <v>5.0996E-2</v>
      </c>
      <c r="O34" s="294">
        <v>5.3957999999999999E-2</v>
      </c>
      <c r="P34" s="294">
        <v>5.5452000000000001E-2</v>
      </c>
      <c r="Q34" s="294">
        <v>6.1186999999999998E-2</v>
      </c>
      <c r="R34" s="294">
        <v>6.6758999999999999E-2</v>
      </c>
      <c r="S34" s="294">
        <v>6.0532000000000002E-2</v>
      </c>
      <c r="T34" s="294">
        <v>6.1176000000000001E-2</v>
      </c>
      <c r="U34" s="294">
        <v>6.0847999999999999E-2</v>
      </c>
      <c r="V34" s="294">
        <v>6.0696E-2</v>
      </c>
      <c r="W34" s="294">
        <v>5.9957000000000003E-2</v>
      </c>
      <c r="X34" s="294">
        <v>5.9486999999999998E-2</v>
      </c>
      <c r="Y34" s="294">
        <v>5.8924999999999998E-2</v>
      </c>
      <c r="Z34" s="294">
        <v>5.8984000000000002E-2</v>
      </c>
      <c r="AA34" s="294">
        <v>5.8788E-2</v>
      </c>
      <c r="AB34" s="294">
        <v>5.806E-2</v>
      </c>
      <c r="AC34" s="294">
        <v>5.8056000000000003E-2</v>
      </c>
      <c r="AD34" s="294">
        <v>5.9012000000000002E-2</v>
      </c>
      <c r="AE34" s="294">
        <v>6.0673999999999999E-2</v>
      </c>
      <c r="AF34" s="294">
        <v>6.2348000000000001E-2</v>
      </c>
      <c r="AG34" s="294">
        <v>6.4079999999999998E-2</v>
      </c>
      <c r="AH34" s="294">
        <v>6.59E-2</v>
      </c>
      <c r="AI34" s="294">
        <v>6.9848999999999994E-2</v>
      </c>
      <c r="AJ34" s="294">
        <v>8.3220000000000002E-2</v>
      </c>
      <c r="AK34" s="294" t="s">
        <v>41</v>
      </c>
    </row>
    <row r="35" spans="1:38" s="18" customFormat="1">
      <c r="A35" s="17" t="s">
        <v>166</v>
      </c>
      <c r="B35" s="351">
        <v>1.6338998451829002E-2</v>
      </c>
      <c r="C35" s="351">
        <v>3.2029997557401699E-2</v>
      </c>
      <c r="D35" s="351">
        <v>5.1199223846197101E-2</v>
      </c>
      <c r="E35" s="351">
        <v>6.0358572751283597E-2</v>
      </c>
      <c r="F35" s="352">
        <v>6.3932694494724301E-2</v>
      </c>
      <c r="G35" s="294">
        <v>5.6239999999999998E-2</v>
      </c>
      <c r="H35" s="294">
        <v>5.9032000000000001E-2</v>
      </c>
      <c r="I35" s="294">
        <v>8.6099999999999996E-2</v>
      </c>
      <c r="J35" s="294">
        <v>9.0199000000000001E-2</v>
      </c>
      <c r="K35" s="294">
        <v>9.0070999999999998E-2</v>
      </c>
      <c r="L35" s="294">
        <v>8.6830000000000004E-2</v>
      </c>
      <c r="M35" s="294">
        <v>8.6858000000000005E-2</v>
      </c>
      <c r="N35" s="294">
        <v>8.5750999999999994E-2</v>
      </c>
      <c r="O35" s="294">
        <v>8.7317000000000006E-2</v>
      </c>
      <c r="P35" s="294">
        <v>8.8449E-2</v>
      </c>
      <c r="Q35" s="294">
        <v>8.8486999999999996E-2</v>
      </c>
      <c r="R35" s="294">
        <v>8.8999999999999996E-2</v>
      </c>
      <c r="S35" s="294">
        <v>8.8025000000000006E-2</v>
      </c>
      <c r="T35" s="294">
        <v>8.9304999999999995E-2</v>
      </c>
      <c r="U35" s="294">
        <v>8.7721999999999994E-2</v>
      </c>
      <c r="V35" s="294">
        <v>8.7541999999999995E-2</v>
      </c>
      <c r="W35" s="294">
        <v>8.7525000000000006E-2</v>
      </c>
      <c r="X35" s="294">
        <v>8.7489999999999998E-2</v>
      </c>
      <c r="Y35" s="294">
        <v>8.7501999999999996E-2</v>
      </c>
      <c r="Z35" s="294">
        <v>8.788E-2</v>
      </c>
      <c r="AA35" s="294">
        <v>8.9262999999999995E-2</v>
      </c>
      <c r="AB35" s="294">
        <v>8.9245000000000005E-2</v>
      </c>
      <c r="AC35" s="294">
        <v>8.9370000000000005E-2</v>
      </c>
      <c r="AD35" s="294">
        <v>8.9401999999999995E-2</v>
      </c>
      <c r="AE35" s="294">
        <v>8.9397000000000004E-2</v>
      </c>
      <c r="AF35" s="294">
        <v>8.9370000000000005E-2</v>
      </c>
      <c r="AG35" s="294">
        <v>8.9115E-2</v>
      </c>
      <c r="AH35" s="294">
        <v>8.9362999999999998E-2</v>
      </c>
      <c r="AI35" s="294">
        <v>8.9108000000000007E-2</v>
      </c>
      <c r="AJ35" s="294">
        <v>8.9448E-2</v>
      </c>
      <c r="AK35" s="294" t="s">
        <v>41</v>
      </c>
    </row>
    <row r="36" spans="1:38" s="18" customFormat="1">
      <c r="A36" s="17" t="s">
        <v>165</v>
      </c>
      <c r="B36" s="351">
        <v>1.6338998451829002E-2</v>
      </c>
      <c r="C36" s="351">
        <v>3.2029997557401699E-2</v>
      </c>
      <c r="D36" s="351">
        <v>5.1199223846197101E-2</v>
      </c>
      <c r="E36" s="351">
        <v>6.0358572751283597E-2</v>
      </c>
      <c r="F36" s="352">
        <v>6.3932694494724301E-2</v>
      </c>
      <c r="G36" s="294">
        <v>6.3100000000000003E-2</v>
      </c>
      <c r="H36" s="294">
        <v>6.3100000000000003E-2</v>
      </c>
      <c r="I36" s="294">
        <v>8.1100000000000005E-2</v>
      </c>
      <c r="J36" s="294">
        <v>8.7099999999999997E-2</v>
      </c>
      <c r="K36" s="294">
        <v>7.9580999999999999E-2</v>
      </c>
      <c r="L36" s="294">
        <v>7.6044E-2</v>
      </c>
      <c r="M36" s="294">
        <v>7.5939000000000006E-2</v>
      </c>
      <c r="N36" s="294">
        <v>7.4647000000000005E-2</v>
      </c>
      <c r="O36" s="294">
        <v>7.6071E-2</v>
      </c>
      <c r="P36" s="294">
        <v>7.6998999999999998E-2</v>
      </c>
      <c r="Q36" s="294">
        <v>7.6729000000000006E-2</v>
      </c>
      <c r="R36" s="294">
        <v>7.7030000000000001E-2</v>
      </c>
      <c r="S36" s="294">
        <v>7.5851000000000002E-2</v>
      </c>
      <c r="T36" s="294">
        <v>7.7146000000000006E-2</v>
      </c>
      <c r="U36" s="294">
        <v>7.5544E-2</v>
      </c>
      <c r="V36" s="294">
        <v>7.5385999999999995E-2</v>
      </c>
      <c r="W36" s="294">
        <v>7.5385999999999995E-2</v>
      </c>
      <c r="X36" s="294">
        <v>7.5385999999999995E-2</v>
      </c>
      <c r="Y36" s="294">
        <v>7.5385999999999995E-2</v>
      </c>
      <c r="Z36" s="294">
        <v>7.5749999999999998E-2</v>
      </c>
      <c r="AA36" s="294">
        <v>7.7146000000000006E-2</v>
      </c>
      <c r="AB36" s="294">
        <v>7.7146000000000006E-2</v>
      </c>
      <c r="AC36" s="294">
        <v>7.7260999999999996E-2</v>
      </c>
      <c r="AD36" s="294">
        <v>7.7260999999999996E-2</v>
      </c>
      <c r="AE36" s="294">
        <v>7.7260999999999996E-2</v>
      </c>
      <c r="AF36" s="294">
        <v>7.7260999999999996E-2</v>
      </c>
      <c r="AG36" s="294">
        <v>7.7010999999999996E-2</v>
      </c>
      <c r="AH36" s="294">
        <v>7.7260999999999996E-2</v>
      </c>
      <c r="AI36" s="294">
        <v>7.7010999999999996E-2</v>
      </c>
      <c r="AJ36" s="294">
        <v>7.7376E-2</v>
      </c>
      <c r="AK36" s="295">
        <v>7.0000000000000001E-3</v>
      </c>
    </row>
    <row r="37" spans="1:38">
      <c r="A37" s="6" t="s">
        <v>164</v>
      </c>
      <c r="B37" s="349">
        <v>0</v>
      </c>
      <c r="C37" s="349">
        <v>0</v>
      </c>
      <c r="D37" s="349">
        <v>0</v>
      </c>
      <c r="E37" s="349">
        <v>0</v>
      </c>
      <c r="F37" s="350">
        <v>0</v>
      </c>
      <c r="G37" s="294">
        <v>-3.4629999999999999E-3</v>
      </c>
      <c r="H37" s="294">
        <v>-4.0679999999999996E-3</v>
      </c>
      <c r="I37" s="294">
        <v>5.0000000000000001E-3</v>
      </c>
      <c r="J37" s="294">
        <v>3.0990000000000002E-3</v>
      </c>
      <c r="K37" s="294">
        <v>1.0489999999999999E-2</v>
      </c>
      <c r="L37" s="294">
        <v>1.0786E-2</v>
      </c>
      <c r="M37" s="294">
        <v>1.0919E-2</v>
      </c>
      <c r="N37" s="294">
        <v>1.1103999999999999E-2</v>
      </c>
      <c r="O37" s="294">
        <v>1.1247E-2</v>
      </c>
      <c r="P37" s="294">
        <v>1.145E-2</v>
      </c>
      <c r="Q37" s="294">
        <v>1.1757999999999999E-2</v>
      </c>
      <c r="R37" s="294">
        <v>1.197E-2</v>
      </c>
      <c r="S37" s="294">
        <v>1.2174000000000001E-2</v>
      </c>
      <c r="T37" s="294">
        <v>1.2159E-2</v>
      </c>
      <c r="U37" s="294">
        <v>1.2178E-2</v>
      </c>
      <c r="V37" s="294">
        <v>1.2154999999999999E-2</v>
      </c>
      <c r="W37" s="294">
        <v>1.2139E-2</v>
      </c>
      <c r="X37" s="294">
        <v>1.2104E-2</v>
      </c>
      <c r="Y37" s="294">
        <v>1.2116E-2</v>
      </c>
      <c r="Z37" s="294">
        <v>1.2130999999999999E-2</v>
      </c>
      <c r="AA37" s="294">
        <v>1.2118E-2</v>
      </c>
      <c r="AB37" s="294">
        <v>1.21E-2</v>
      </c>
      <c r="AC37" s="294">
        <v>1.2109999999999999E-2</v>
      </c>
      <c r="AD37" s="294">
        <v>1.2141000000000001E-2</v>
      </c>
      <c r="AE37" s="294">
        <v>1.2137E-2</v>
      </c>
      <c r="AF37" s="294">
        <v>1.2109E-2</v>
      </c>
      <c r="AG37" s="294">
        <v>1.2102999999999999E-2</v>
      </c>
      <c r="AH37" s="294">
        <v>1.2102E-2</v>
      </c>
      <c r="AI37" s="294">
        <v>1.2096000000000001E-2</v>
      </c>
      <c r="AJ37" s="294">
        <v>1.2071999999999999E-2</v>
      </c>
      <c r="AK37" s="294" t="s">
        <v>41</v>
      </c>
    </row>
    <row r="38" spans="1:38">
      <c r="A38" s="6" t="s">
        <v>163</v>
      </c>
      <c r="B38" s="349">
        <v>0</v>
      </c>
      <c r="C38" s="349">
        <v>0</v>
      </c>
      <c r="D38" s="349">
        <v>0</v>
      </c>
      <c r="E38" s="349">
        <v>0</v>
      </c>
      <c r="F38" s="350">
        <v>0</v>
      </c>
      <c r="G38" s="294">
        <v>2.2160000000000002</v>
      </c>
      <c r="H38" s="294">
        <v>2.4</v>
      </c>
      <c r="I38" s="294">
        <v>2.4900000000000002</v>
      </c>
      <c r="J38" s="294">
        <v>2.5089999999999999</v>
      </c>
      <c r="K38" s="294">
        <v>2.5561180000000001</v>
      </c>
      <c r="L38" s="294">
        <v>2.6337290000000002</v>
      </c>
      <c r="M38" s="294">
        <v>2.6633930000000001</v>
      </c>
      <c r="N38" s="294">
        <v>2.6705079999999999</v>
      </c>
      <c r="O38" s="294">
        <v>2.669905</v>
      </c>
      <c r="P38" s="294">
        <v>2.6458759999999999</v>
      </c>
      <c r="Q38" s="294">
        <v>2.60798</v>
      </c>
      <c r="R38" s="294">
        <v>2.7045080000000001</v>
      </c>
      <c r="S38" s="294">
        <v>2.7930269999999999</v>
      </c>
      <c r="T38" s="294">
        <v>2.8390249999999999</v>
      </c>
      <c r="U38" s="294">
        <v>2.8728980000000002</v>
      </c>
      <c r="V38" s="294">
        <v>2.9033150000000001</v>
      </c>
      <c r="W38" s="294">
        <v>2.9228930000000002</v>
      </c>
      <c r="X38" s="294">
        <v>2.9406509999999999</v>
      </c>
      <c r="Y38" s="294">
        <v>2.9505080000000001</v>
      </c>
      <c r="Z38" s="294">
        <v>2.978853</v>
      </c>
      <c r="AA38" s="294">
        <v>3.0103460000000002</v>
      </c>
      <c r="AB38" s="294">
        <v>3.0288490000000001</v>
      </c>
      <c r="AC38" s="294">
        <v>3.0383969999999998</v>
      </c>
      <c r="AD38" s="294">
        <v>3.0546120000000001</v>
      </c>
      <c r="AE38" s="294">
        <v>3.0492400000000002</v>
      </c>
      <c r="AF38" s="294">
        <v>3.0289980000000001</v>
      </c>
      <c r="AG38" s="294">
        <v>3.058621</v>
      </c>
      <c r="AH38" s="294">
        <v>3.037477</v>
      </c>
      <c r="AI38" s="294">
        <v>3.013617</v>
      </c>
      <c r="AJ38" s="294">
        <v>2.983552</v>
      </c>
      <c r="AK38" s="295">
        <v>8.0000000000000002E-3</v>
      </c>
    </row>
    <row r="39" spans="1:38">
      <c r="A39" s="6" t="s">
        <v>162</v>
      </c>
      <c r="B39" s="349">
        <v>0</v>
      </c>
      <c r="C39" s="349">
        <v>0</v>
      </c>
      <c r="D39" s="349">
        <v>0</v>
      </c>
      <c r="E39" s="349">
        <v>0</v>
      </c>
      <c r="F39" s="350">
        <v>0</v>
      </c>
      <c r="G39" s="294">
        <v>0</v>
      </c>
      <c r="H39" s="294">
        <v>0</v>
      </c>
      <c r="I39" s="294">
        <v>0</v>
      </c>
      <c r="J39" s="294">
        <v>0</v>
      </c>
      <c r="K39" s="294">
        <v>0</v>
      </c>
      <c r="L39" s="294">
        <v>0</v>
      </c>
      <c r="M39" s="294">
        <v>0</v>
      </c>
      <c r="N39" s="294">
        <v>0</v>
      </c>
      <c r="O39" s="294">
        <v>0</v>
      </c>
      <c r="P39" s="294">
        <v>0</v>
      </c>
      <c r="Q39" s="294">
        <v>0</v>
      </c>
      <c r="R39" s="294">
        <v>0</v>
      </c>
      <c r="S39" s="294">
        <v>0</v>
      </c>
      <c r="T39" s="294">
        <v>0</v>
      </c>
      <c r="U39" s="294">
        <v>0</v>
      </c>
      <c r="V39" s="294">
        <v>0</v>
      </c>
      <c r="W39" s="294">
        <v>0</v>
      </c>
      <c r="X39" s="294">
        <v>0</v>
      </c>
      <c r="Y39" s="294">
        <v>0</v>
      </c>
      <c r="Z39" s="294">
        <v>0</v>
      </c>
      <c r="AA39" s="294">
        <v>0</v>
      </c>
      <c r="AB39" s="294">
        <v>0</v>
      </c>
      <c r="AC39" s="294">
        <v>0</v>
      </c>
      <c r="AD39" s="294">
        <v>0</v>
      </c>
      <c r="AE39" s="294">
        <v>0</v>
      </c>
      <c r="AF39" s="294">
        <v>0</v>
      </c>
      <c r="AG39" s="294">
        <v>0</v>
      </c>
      <c r="AH39" s="294">
        <v>0</v>
      </c>
      <c r="AI39" s="294">
        <v>0</v>
      </c>
      <c r="AJ39" s="294">
        <v>0</v>
      </c>
      <c r="AK39" s="294" t="s">
        <v>41</v>
      </c>
    </row>
    <row r="40" spans="1:38" s="271" customFormat="1">
      <c r="A40" s="270" t="s">
        <v>161</v>
      </c>
      <c r="B40" s="351">
        <v>0</v>
      </c>
      <c r="C40" s="351">
        <v>0</v>
      </c>
      <c r="D40" s="351">
        <v>0</v>
      </c>
      <c r="E40" s="351">
        <v>0</v>
      </c>
      <c r="F40" s="352">
        <v>0</v>
      </c>
      <c r="G40" s="302">
        <v>0</v>
      </c>
      <c r="H40" s="302">
        <v>3.4809526987373799E-3</v>
      </c>
      <c r="I40" s="302">
        <v>5.2319555543363103E-3</v>
      </c>
      <c r="J40" s="302">
        <v>7.8436248004436493E-3</v>
      </c>
      <c r="K40" s="302">
        <v>1.17142805829644E-2</v>
      </c>
      <c r="L40" s="302">
        <v>1.7396988347172699E-2</v>
      </c>
      <c r="M40" s="302">
        <v>2.5625614449381801E-2</v>
      </c>
      <c r="N40" s="302">
        <v>3.7305567413568497E-2</v>
      </c>
      <c r="O40" s="302">
        <v>5.34236840903759E-2</v>
      </c>
      <c r="P40" s="302">
        <v>7.4822284281253801E-2</v>
      </c>
      <c r="Q40" s="302">
        <v>0.10181753337383299</v>
      </c>
      <c r="R40" s="302">
        <v>0.133762747049332</v>
      </c>
      <c r="S40" s="302">
        <v>0.16882437467575101</v>
      </c>
      <c r="T40" s="302">
        <v>0.204265296459198</v>
      </c>
      <c r="U40" s="302">
        <v>0.237230360507965</v>
      </c>
      <c r="V40" s="302">
        <v>0.26560345292091397</v>
      </c>
      <c r="W40" s="302">
        <v>0.28843852877616899</v>
      </c>
      <c r="X40" s="302">
        <v>0.30584391951561002</v>
      </c>
      <c r="Y40" s="302">
        <v>0.31856861710548401</v>
      </c>
      <c r="Z40" s="302">
        <v>0.32759037613868702</v>
      </c>
      <c r="AA40" s="302"/>
      <c r="AB40" s="302"/>
      <c r="AC40" s="302"/>
      <c r="AD40" s="302"/>
      <c r="AE40" s="302"/>
      <c r="AF40" s="302"/>
      <c r="AG40" s="302"/>
      <c r="AH40" s="302"/>
      <c r="AI40" s="302"/>
      <c r="AJ40" s="302"/>
      <c r="AK40" s="303" t="s">
        <v>41</v>
      </c>
    </row>
    <row r="41" spans="1:38">
      <c r="A41" s="6" t="s">
        <v>690</v>
      </c>
      <c r="B41" s="349">
        <v>7.3012053966522203E-2</v>
      </c>
      <c r="C41" s="349">
        <v>0.28600034117698703</v>
      </c>
      <c r="D41" s="349">
        <v>0.24600045382976499</v>
      </c>
      <c r="E41" s="349">
        <v>0.16400466859340701</v>
      </c>
      <c r="F41" s="350">
        <v>0.31155380606651301</v>
      </c>
      <c r="G41" s="294">
        <v>0.182</v>
      </c>
      <c r="H41" s="294">
        <v>0.191</v>
      </c>
      <c r="I41" s="294">
        <v>0.193</v>
      </c>
      <c r="J41" s="294">
        <v>0.193</v>
      </c>
      <c r="K41" s="294">
        <v>0.28578500000000001</v>
      </c>
      <c r="L41" s="294">
        <v>0.28816599999999998</v>
      </c>
      <c r="M41" s="294">
        <v>0.290412</v>
      </c>
      <c r="N41" s="294">
        <v>0.29299799999999998</v>
      </c>
      <c r="O41" s="294">
        <v>0.293852</v>
      </c>
      <c r="P41" s="294">
        <v>0.29503000000000001</v>
      </c>
      <c r="Q41" s="294">
        <v>0.298292</v>
      </c>
      <c r="R41" s="294">
        <v>0.29944399999999999</v>
      </c>
      <c r="S41" s="294">
        <v>0.29972700000000002</v>
      </c>
      <c r="T41" s="294">
        <v>0.301095</v>
      </c>
      <c r="U41" s="294">
        <v>0.30102299999999999</v>
      </c>
      <c r="V41" s="294">
        <v>0.30064000000000002</v>
      </c>
      <c r="W41" s="294">
        <v>0.30251600000000001</v>
      </c>
      <c r="X41" s="294">
        <v>0.30219699999999999</v>
      </c>
      <c r="Y41" s="294">
        <v>0.30013899999999999</v>
      </c>
      <c r="Z41" s="294">
        <v>0.30297200000000002</v>
      </c>
      <c r="AA41" s="294">
        <v>0.30451</v>
      </c>
      <c r="AB41" s="294">
        <v>0.306419</v>
      </c>
      <c r="AC41" s="294">
        <v>0.30664000000000002</v>
      </c>
      <c r="AD41" s="294">
        <v>0.30698399999999998</v>
      </c>
      <c r="AE41" s="294">
        <v>0.308342</v>
      </c>
      <c r="AF41" s="294">
        <v>0.30915900000000002</v>
      </c>
      <c r="AG41" s="294">
        <v>0.30972699999999997</v>
      </c>
      <c r="AH41" s="294">
        <v>0.31073899999999999</v>
      </c>
      <c r="AI41" s="294">
        <v>0.31163999999999997</v>
      </c>
      <c r="AJ41" s="294">
        <v>0.31290899999999999</v>
      </c>
      <c r="AK41" s="295">
        <v>1.7999999999999999E-2</v>
      </c>
    </row>
    <row r="42" spans="1:3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row>
    <row r="43" spans="1:38" s="18" customFormat="1">
      <c r="A43" s="17" t="s">
        <v>691</v>
      </c>
      <c r="B43" s="351">
        <v>20.697353363037099</v>
      </c>
      <c r="C43" s="351">
        <v>20.768030166626001</v>
      </c>
      <c r="D43" s="351">
        <v>19.647199630737301</v>
      </c>
      <c r="E43" s="351">
        <v>19.421310424804702</v>
      </c>
      <c r="F43" s="352">
        <v>19.587932586669901</v>
      </c>
      <c r="G43" s="249">
        <v>18.938583000000001</v>
      </c>
      <c r="H43" s="249">
        <v>18.592289000000001</v>
      </c>
      <c r="I43" s="249">
        <v>18.985319</v>
      </c>
      <c r="J43" s="249">
        <v>18.815241</v>
      </c>
      <c r="K43" s="249">
        <v>19.157446</v>
      </c>
      <c r="L43" s="249">
        <v>19.35895</v>
      </c>
      <c r="M43" s="249">
        <v>19.477530000000002</v>
      </c>
      <c r="N43" s="249">
        <v>19.527609000000002</v>
      </c>
      <c r="O43" s="249">
        <v>19.535461000000002</v>
      </c>
      <c r="P43" s="249">
        <v>19.520367</v>
      </c>
      <c r="Q43" s="249">
        <v>19.477088999999999</v>
      </c>
      <c r="R43" s="249">
        <v>19.437809000000001</v>
      </c>
      <c r="S43" s="249">
        <v>19.388767000000001</v>
      </c>
      <c r="T43" s="249">
        <v>19.330017000000002</v>
      </c>
      <c r="U43" s="249">
        <v>19.262318</v>
      </c>
      <c r="V43" s="249">
        <v>19.178843000000001</v>
      </c>
      <c r="W43" s="249">
        <v>19.119274000000001</v>
      </c>
      <c r="X43" s="249">
        <v>19.059887</v>
      </c>
      <c r="Y43" s="249">
        <v>18.980637000000002</v>
      </c>
      <c r="Z43" s="249">
        <v>18.926172000000001</v>
      </c>
      <c r="AA43" s="249">
        <v>18.880776999999998</v>
      </c>
      <c r="AB43" s="249">
        <v>18.838093000000001</v>
      </c>
      <c r="AC43" s="249">
        <v>18.795445999999998</v>
      </c>
      <c r="AD43" s="249">
        <v>18.768318000000001</v>
      </c>
      <c r="AE43" s="249">
        <v>18.751888000000001</v>
      </c>
      <c r="AF43" s="249">
        <v>18.731911</v>
      </c>
      <c r="AG43" s="249">
        <v>18.743359000000002</v>
      </c>
      <c r="AH43" s="249">
        <v>18.755479999999999</v>
      </c>
      <c r="AI43" s="249">
        <v>18.748524</v>
      </c>
      <c r="AJ43" s="249">
        <v>18.724962000000001</v>
      </c>
      <c r="AK43" s="250">
        <v>0</v>
      </c>
    </row>
    <row r="44" spans="1:38" s="260" customFormat="1">
      <c r="A44" s="259" t="s">
        <v>196</v>
      </c>
      <c r="B44" s="353">
        <f t="shared" ref="B44:H44" si="0">B43*365</f>
        <v>7554.5339775085413</v>
      </c>
      <c r="C44" s="353">
        <f t="shared" si="0"/>
        <v>7580.3310108184905</v>
      </c>
      <c r="D44" s="353">
        <f t="shared" si="0"/>
        <v>7171.2278652191153</v>
      </c>
      <c r="E44" s="353">
        <f t="shared" si="0"/>
        <v>7088.7783050537164</v>
      </c>
      <c r="F44" s="354">
        <f t="shared" si="0"/>
        <v>7149.5953941345133</v>
      </c>
      <c r="G44" s="304">
        <f t="shared" si="0"/>
        <v>6912.5827950000003</v>
      </c>
      <c r="H44" s="304">
        <f t="shared" si="0"/>
        <v>6786.185485</v>
      </c>
      <c r="I44" s="304">
        <f t="shared" ref="I44:AJ44" si="1">I43*365</f>
        <v>6929.6414350000005</v>
      </c>
      <c r="J44" s="304">
        <f t="shared" si="1"/>
        <v>6867.5629650000001</v>
      </c>
      <c r="K44" s="304">
        <f t="shared" si="1"/>
        <v>6992.4677899999997</v>
      </c>
      <c r="L44" s="304">
        <f t="shared" si="1"/>
        <v>7066.0167499999998</v>
      </c>
      <c r="M44" s="304">
        <f t="shared" si="1"/>
        <v>7109.2984500000002</v>
      </c>
      <c r="N44" s="304">
        <f t="shared" si="1"/>
        <v>7127.5772850000003</v>
      </c>
      <c r="O44" s="304">
        <f t="shared" si="1"/>
        <v>7130.4432650000008</v>
      </c>
      <c r="P44" s="304">
        <f t="shared" si="1"/>
        <v>7124.9339550000004</v>
      </c>
      <c r="Q44" s="304">
        <f t="shared" si="1"/>
        <v>7109.1374850000002</v>
      </c>
      <c r="R44" s="304">
        <f t="shared" si="1"/>
        <v>7094.8002850000003</v>
      </c>
      <c r="S44" s="304">
        <f t="shared" si="1"/>
        <v>7076.8999550000008</v>
      </c>
      <c r="T44" s="304">
        <f t="shared" si="1"/>
        <v>7055.4562050000004</v>
      </c>
      <c r="U44" s="304">
        <f t="shared" si="1"/>
        <v>7030.7460700000001</v>
      </c>
      <c r="V44" s="304">
        <f t="shared" si="1"/>
        <v>7000.2776949999998</v>
      </c>
      <c r="W44" s="304">
        <f t="shared" si="1"/>
        <v>6978.5350100000005</v>
      </c>
      <c r="X44" s="304">
        <f t="shared" si="1"/>
        <v>6956.8587550000002</v>
      </c>
      <c r="Y44" s="304">
        <f t="shared" si="1"/>
        <v>6927.9325050000007</v>
      </c>
      <c r="Z44" s="304">
        <f t="shared" si="1"/>
        <v>6908.05278</v>
      </c>
      <c r="AA44" s="304">
        <f t="shared" si="1"/>
        <v>6891.4836049999994</v>
      </c>
      <c r="AB44" s="304">
        <f t="shared" si="1"/>
        <v>6875.903945</v>
      </c>
      <c r="AC44" s="304">
        <f t="shared" si="1"/>
        <v>6860.3377899999996</v>
      </c>
      <c r="AD44" s="304">
        <f t="shared" si="1"/>
        <v>6850.4360700000007</v>
      </c>
      <c r="AE44" s="304">
        <f t="shared" si="1"/>
        <v>6844.43912</v>
      </c>
      <c r="AF44" s="304">
        <f t="shared" si="1"/>
        <v>6837.1475149999997</v>
      </c>
      <c r="AG44" s="304">
        <f t="shared" si="1"/>
        <v>6841.326035000001</v>
      </c>
      <c r="AH44" s="304">
        <f t="shared" si="1"/>
        <v>6845.7501999999995</v>
      </c>
      <c r="AI44" s="304">
        <f t="shared" si="1"/>
        <v>6843.21126</v>
      </c>
      <c r="AJ44" s="304">
        <f t="shared" si="1"/>
        <v>6834.6111300000002</v>
      </c>
      <c r="AK44" s="305"/>
    </row>
    <row r="45" spans="1:38" s="264" customFormat="1">
      <c r="A45" s="263" t="s">
        <v>187</v>
      </c>
      <c r="B45" s="355">
        <f>SUM(B33,B36,B40)</f>
        <v>0.28962799347937102</v>
      </c>
      <c r="C45" s="355">
        <f t="shared" ref="C45:AJ45" si="2">SUM(C33,C36,C40)</f>
        <v>0.43539400026202169</v>
      </c>
      <c r="D45" s="355">
        <f t="shared" si="2"/>
        <v>0.63372322544455517</v>
      </c>
      <c r="E45" s="355">
        <f t="shared" si="2"/>
        <v>0.75007860735058762</v>
      </c>
      <c r="F45" s="356">
        <f t="shared" si="2"/>
        <v>0.9057262316346173</v>
      </c>
      <c r="G45" s="306">
        <f t="shared" si="2"/>
        <v>0.94907600000000003</v>
      </c>
      <c r="H45" s="306">
        <f t="shared" si="2"/>
        <v>0.91023695269873739</v>
      </c>
      <c r="I45" s="306">
        <f t="shared" si="2"/>
        <v>0.92228495555433621</v>
      </c>
      <c r="J45" s="306">
        <f t="shared" si="2"/>
        <v>0.96492762480044358</v>
      </c>
      <c r="K45" s="306">
        <f t="shared" si="2"/>
        <v>0.91143528058296441</v>
      </c>
      <c r="L45" s="306">
        <f t="shared" si="2"/>
        <v>0.91577698834717269</v>
      </c>
      <c r="M45" s="306">
        <f t="shared" si="2"/>
        <v>0.93473461444938177</v>
      </c>
      <c r="N45" s="306">
        <f t="shared" si="2"/>
        <v>0.94681856741356851</v>
      </c>
      <c r="O45" s="306">
        <f t="shared" si="2"/>
        <v>0.96443668409037586</v>
      </c>
      <c r="P45" s="306">
        <f t="shared" si="2"/>
        <v>0.99222728428125384</v>
      </c>
      <c r="Q45" s="306">
        <f t="shared" si="2"/>
        <v>1.0172315333738331</v>
      </c>
      <c r="R45" s="306">
        <f t="shared" si="2"/>
        <v>1.0595427470493322</v>
      </c>
      <c r="S45" s="306">
        <f t="shared" si="2"/>
        <v>1.0990673746757511</v>
      </c>
      <c r="T45" s="306">
        <f t="shared" si="2"/>
        <v>1.1357882964591981</v>
      </c>
      <c r="U45" s="306">
        <f t="shared" si="2"/>
        <v>1.1671623605079651</v>
      </c>
      <c r="V45" s="306">
        <f t="shared" si="2"/>
        <v>1.1953814529209139</v>
      </c>
      <c r="W45" s="306">
        <f t="shared" si="2"/>
        <v>1.2190545287761689</v>
      </c>
      <c r="X45" s="306">
        <f t="shared" si="2"/>
        <v>1.2370769195156099</v>
      </c>
      <c r="Y45" s="306">
        <f t="shared" si="2"/>
        <v>1.2497896171054839</v>
      </c>
      <c r="Z45" s="306">
        <f t="shared" si="2"/>
        <v>1.2591873761386871</v>
      </c>
      <c r="AA45" s="306">
        <f t="shared" si="2"/>
        <v>0.93299300000000007</v>
      </c>
      <c r="AB45" s="306">
        <f t="shared" si="2"/>
        <v>0.93298100000000006</v>
      </c>
      <c r="AC45" s="306">
        <f t="shared" si="2"/>
        <v>0.93309600000000004</v>
      </c>
      <c r="AD45" s="306">
        <f t="shared" si="2"/>
        <v>0.93309600000000004</v>
      </c>
      <c r="AE45" s="306">
        <f t="shared" si="2"/>
        <v>0.93084500000000003</v>
      </c>
      <c r="AF45" s="306">
        <f t="shared" si="2"/>
        <v>0.92709399999999997</v>
      </c>
      <c r="AG45" s="306">
        <f t="shared" si="2"/>
        <v>0.92458599999999991</v>
      </c>
      <c r="AH45" s="306">
        <f t="shared" si="2"/>
        <v>0.92581500000000005</v>
      </c>
      <c r="AI45" s="306">
        <f t="shared" si="2"/>
        <v>0.93603499999999995</v>
      </c>
      <c r="AJ45" s="306">
        <f t="shared" si="2"/>
        <v>0.94016100000000002</v>
      </c>
      <c r="AK45" s="307"/>
    </row>
    <row r="46" spans="1:38" s="260" customFormat="1">
      <c r="A46" s="265" t="s">
        <v>193</v>
      </c>
      <c r="B46" s="351">
        <f>B45*365</f>
        <v>105.71421761997043</v>
      </c>
      <c r="C46" s="351">
        <f t="shared" ref="C46:AJ46" si="3">C45*365</f>
        <v>158.91881009563792</v>
      </c>
      <c r="D46" s="351">
        <f t="shared" si="3"/>
        <v>231.30897728726265</v>
      </c>
      <c r="E46" s="351">
        <f t="shared" si="3"/>
        <v>273.77869168296451</v>
      </c>
      <c r="F46" s="352">
        <f t="shared" si="3"/>
        <v>330.59007454663532</v>
      </c>
      <c r="G46" s="308">
        <f t="shared" si="3"/>
        <v>346.41273999999999</v>
      </c>
      <c r="H46" s="308">
        <f t="shared" si="3"/>
        <v>332.23648773503913</v>
      </c>
      <c r="I46" s="308">
        <f t="shared" si="3"/>
        <v>336.63400877733272</v>
      </c>
      <c r="J46" s="308">
        <f t="shared" si="3"/>
        <v>352.19858305216189</v>
      </c>
      <c r="K46" s="308">
        <f t="shared" si="3"/>
        <v>332.67387741278202</v>
      </c>
      <c r="L46" s="308">
        <f t="shared" si="3"/>
        <v>334.25860074671806</v>
      </c>
      <c r="M46" s="308">
        <f t="shared" si="3"/>
        <v>341.17813427402433</v>
      </c>
      <c r="N46" s="308">
        <f t="shared" si="3"/>
        <v>345.58877710595249</v>
      </c>
      <c r="O46" s="308">
        <f t="shared" si="3"/>
        <v>352.0193896929872</v>
      </c>
      <c r="P46" s="308">
        <f t="shared" si="3"/>
        <v>362.16295876265764</v>
      </c>
      <c r="Q46" s="308">
        <f t="shared" si="3"/>
        <v>371.28950968144909</v>
      </c>
      <c r="R46" s="308">
        <f t="shared" si="3"/>
        <v>386.73310267300621</v>
      </c>
      <c r="S46" s="308">
        <f t="shared" si="3"/>
        <v>401.15959175664915</v>
      </c>
      <c r="T46" s="308">
        <f t="shared" si="3"/>
        <v>414.56272820760728</v>
      </c>
      <c r="U46" s="308">
        <f t="shared" si="3"/>
        <v>426.01426158540727</v>
      </c>
      <c r="V46" s="308">
        <f t="shared" si="3"/>
        <v>436.3142303161336</v>
      </c>
      <c r="W46" s="308">
        <f t="shared" si="3"/>
        <v>444.95490300330164</v>
      </c>
      <c r="X46" s="308">
        <f t="shared" si="3"/>
        <v>451.53307562319765</v>
      </c>
      <c r="Y46" s="308">
        <f t="shared" si="3"/>
        <v>456.17321024350161</v>
      </c>
      <c r="Z46" s="308">
        <f t="shared" si="3"/>
        <v>459.60339229062083</v>
      </c>
      <c r="AA46" s="308">
        <f t="shared" si="3"/>
        <v>340.54244500000004</v>
      </c>
      <c r="AB46" s="308">
        <f t="shared" si="3"/>
        <v>340.53806500000002</v>
      </c>
      <c r="AC46" s="308">
        <f t="shared" si="3"/>
        <v>340.58004</v>
      </c>
      <c r="AD46" s="308">
        <f t="shared" si="3"/>
        <v>340.58004</v>
      </c>
      <c r="AE46" s="308">
        <f t="shared" si="3"/>
        <v>339.75842499999999</v>
      </c>
      <c r="AF46" s="308">
        <f t="shared" si="3"/>
        <v>338.38930999999997</v>
      </c>
      <c r="AG46" s="308">
        <f t="shared" si="3"/>
        <v>337.47388999999998</v>
      </c>
      <c r="AH46" s="308">
        <f t="shared" si="3"/>
        <v>337.92247500000002</v>
      </c>
      <c r="AI46" s="308">
        <f t="shared" si="3"/>
        <v>341.65277499999996</v>
      </c>
      <c r="AJ46" s="308">
        <f t="shared" si="3"/>
        <v>343.15876500000002</v>
      </c>
      <c r="AK46" s="305"/>
    </row>
    <row r="47" spans="1:38" s="260" customFormat="1">
      <c r="A47" s="265" t="s">
        <v>192</v>
      </c>
      <c r="B47" s="351"/>
      <c r="C47" s="357">
        <f>C46/B46-1</f>
        <v>0.50328700976562524</v>
      </c>
      <c r="D47" s="357">
        <f t="shared" ref="D47:Z47" si="4">D46/C46-1</f>
        <v>0.45551667010381003</v>
      </c>
      <c r="E47" s="357">
        <f t="shared" si="4"/>
        <v>0.1836059927019551</v>
      </c>
      <c r="F47" s="358">
        <f t="shared" si="4"/>
        <v>0.20750841679621423</v>
      </c>
      <c r="G47" s="309"/>
      <c r="H47" s="309">
        <f t="shared" si="4"/>
        <v>-4.0923010698050155E-2</v>
      </c>
      <c r="I47" s="309">
        <f t="shared" si="4"/>
        <v>1.32361170570785E-2</v>
      </c>
      <c r="J47" s="309">
        <f t="shared" si="4"/>
        <v>4.6235893786727766E-2</v>
      </c>
      <c r="K47" s="309">
        <f t="shared" si="4"/>
        <v>-5.5436638813757488E-2</v>
      </c>
      <c r="L47" s="309">
        <f t="shared" si="4"/>
        <v>4.7635941428900708E-3</v>
      </c>
      <c r="M47" s="309">
        <f t="shared" si="4"/>
        <v>2.0701138315807999E-2</v>
      </c>
      <c r="N47" s="309">
        <f t="shared" si="4"/>
        <v>1.2927683191988004E-2</v>
      </c>
      <c r="O47" s="309">
        <f t="shared" si="4"/>
        <v>1.8607700866001275E-2</v>
      </c>
      <c r="P47" s="309">
        <f t="shared" si="4"/>
        <v>2.8815370308201249E-2</v>
      </c>
      <c r="Q47" s="309">
        <f t="shared" si="4"/>
        <v>2.5200122480699472E-2</v>
      </c>
      <c r="R47" s="309">
        <f t="shared" si="4"/>
        <v>4.1594477055942436E-2</v>
      </c>
      <c r="S47" s="309">
        <f t="shared" si="4"/>
        <v>3.730347618016272E-2</v>
      </c>
      <c r="T47" s="309">
        <f t="shared" si="4"/>
        <v>3.3410983375137038E-2</v>
      </c>
      <c r="U47" s="309">
        <f t="shared" si="4"/>
        <v>2.762316194538661E-2</v>
      </c>
      <c r="V47" s="309">
        <f t="shared" si="4"/>
        <v>2.4177520941188968E-2</v>
      </c>
      <c r="W47" s="309">
        <f t="shared" si="4"/>
        <v>1.9803783802575969E-2</v>
      </c>
      <c r="X47" s="309">
        <f t="shared" si="4"/>
        <v>1.4783908606232909E-2</v>
      </c>
      <c r="Y47" s="309">
        <f t="shared" si="4"/>
        <v>1.0276400270123665E-2</v>
      </c>
      <c r="Z47" s="309">
        <f t="shared" si="4"/>
        <v>7.5194728013252554E-3</v>
      </c>
      <c r="AA47" s="309">
        <f t="shared" ref="AA47:AJ47" si="5">AA46/Z46-1</f>
        <v>-0.25905149806930716</v>
      </c>
      <c r="AB47" s="309">
        <f t="shared" si="5"/>
        <v>-1.2861832832666842E-5</v>
      </c>
      <c r="AC47" s="309">
        <f t="shared" si="5"/>
        <v>1.2326081667257682E-4</v>
      </c>
      <c r="AD47" s="309">
        <f t="shared" si="5"/>
        <v>0</v>
      </c>
      <c r="AE47" s="309">
        <f t="shared" si="5"/>
        <v>-2.412399152927458E-3</v>
      </c>
      <c r="AF47" s="309">
        <f t="shared" si="5"/>
        <v>-4.0296719647202606E-3</v>
      </c>
      <c r="AG47" s="309">
        <f t="shared" si="5"/>
        <v>-2.7052273016543449E-3</v>
      </c>
      <c r="AH47" s="309">
        <f t="shared" si="5"/>
        <v>1.3292435749623355E-3</v>
      </c>
      <c r="AI47" s="309">
        <f t="shared" si="5"/>
        <v>1.1038922462910827E-2</v>
      </c>
      <c r="AJ47" s="309">
        <f t="shared" si="5"/>
        <v>4.4079548307489613E-3</v>
      </c>
      <c r="AK47" s="305"/>
    </row>
    <row r="48" spans="1:38" s="266" customFormat="1">
      <c r="A48" s="263" t="s">
        <v>195</v>
      </c>
      <c r="B48" s="359">
        <f>SUM(B33,B36,B40)/B43</f>
        <v>1.3993479668594277E-2</v>
      </c>
      <c r="C48" s="359">
        <f t="shared" ref="C48:AJ48" si="6">SUM(C33,C36,C40)/C43</f>
        <v>2.0964626725248844E-2</v>
      </c>
      <c r="D48" s="359">
        <f t="shared" si="6"/>
        <v>3.2255142582921545E-2</v>
      </c>
      <c r="E48" s="359">
        <f t="shared" si="6"/>
        <v>3.8621421054708789E-2</v>
      </c>
      <c r="F48" s="360">
        <f t="shared" si="6"/>
        <v>4.6238990645239793E-2</v>
      </c>
      <c r="G48" s="310">
        <f t="shared" si="6"/>
        <v>5.0113358533740354E-2</v>
      </c>
      <c r="H48" s="310">
        <f t="shared" si="6"/>
        <v>4.8957766991398283E-2</v>
      </c>
      <c r="I48" s="310">
        <f t="shared" si="6"/>
        <v>4.8578849560248959E-2</v>
      </c>
      <c r="J48" s="310">
        <f t="shared" si="6"/>
        <v>5.1284361693822764E-2</v>
      </c>
      <c r="K48" s="310">
        <f t="shared" si="6"/>
        <v>4.7576032869045506E-2</v>
      </c>
      <c r="L48" s="310">
        <f t="shared" si="6"/>
        <v>4.7305096007127075E-2</v>
      </c>
      <c r="M48" s="310">
        <f t="shared" si="6"/>
        <v>4.7990408149769591E-2</v>
      </c>
      <c r="N48" s="310">
        <f t="shared" si="6"/>
        <v>4.8486149400757073E-2</v>
      </c>
      <c r="O48" s="310">
        <f t="shared" si="6"/>
        <v>4.9368514215783074E-2</v>
      </c>
      <c r="P48" s="310">
        <f t="shared" si="6"/>
        <v>5.0830360119830421E-2</v>
      </c>
      <c r="Q48" s="310">
        <f t="shared" si="6"/>
        <v>5.2227082464624625E-2</v>
      </c>
      <c r="R48" s="311">
        <f t="shared" si="6"/>
        <v>5.4509371249060634E-2</v>
      </c>
      <c r="S48" s="310">
        <f t="shared" si="6"/>
        <v>5.6685779692733994E-2</v>
      </c>
      <c r="T48" s="310">
        <f t="shared" si="6"/>
        <v>5.8757749486676503E-2</v>
      </c>
      <c r="U48" s="310">
        <f t="shared" si="6"/>
        <v>6.059303768673973E-2</v>
      </c>
      <c r="V48" s="310">
        <f t="shared" si="6"/>
        <v>6.2328131729370427E-2</v>
      </c>
      <c r="W48" s="310">
        <f t="shared" si="6"/>
        <v>6.3760503080617439E-2</v>
      </c>
      <c r="X48" s="310">
        <f t="shared" si="6"/>
        <v>6.4904735244002754E-2</v>
      </c>
      <c r="Y48" s="310">
        <f t="shared" si="6"/>
        <v>6.5845504400378327E-2</v>
      </c>
      <c r="Z48" s="311">
        <f t="shared" si="6"/>
        <v>6.6531540352623181E-2</v>
      </c>
      <c r="AA48" s="311">
        <f t="shared" si="6"/>
        <v>4.9414968462367842E-2</v>
      </c>
      <c r="AB48" s="311">
        <f t="shared" si="6"/>
        <v>4.9526297592861444E-2</v>
      </c>
      <c r="AC48" s="311">
        <f t="shared" si="6"/>
        <v>4.9644791616011673E-2</v>
      </c>
      <c r="AD48" s="311">
        <f t="shared" si="6"/>
        <v>4.9716548920366761E-2</v>
      </c>
      <c r="AE48" s="311">
        <f t="shared" si="6"/>
        <v>4.9640068242728409E-2</v>
      </c>
      <c r="AF48" s="311">
        <f t="shared" si="6"/>
        <v>4.9492761309831122E-2</v>
      </c>
      <c r="AG48" s="311">
        <f t="shared" si="6"/>
        <v>4.932872490998011E-2</v>
      </c>
      <c r="AH48" s="311">
        <f t="shared" si="6"/>
        <v>4.9362373023777592E-2</v>
      </c>
      <c r="AI48" s="311">
        <f t="shared" si="6"/>
        <v>4.9925796825392763E-2</v>
      </c>
      <c r="AJ48" s="311">
        <f t="shared" si="6"/>
        <v>5.0208967046234856E-2</v>
      </c>
      <c r="AK48" s="312"/>
    </row>
    <row r="49" spans="1:37" s="266" customFormat="1">
      <c r="A49" s="266" t="s">
        <v>186</v>
      </c>
      <c r="B49" s="361">
        <f>B33*365 * 42/1000</f>
        <v>4.1895202937722189</v>
      </c>
      <c r="C49" s="361">
        <f t="shared" ref="C49:AJ49" si="7">C33*365 * 42/1000</f>
        <v>6.1835701614618239</v>
      </c>
      <c r="D49" s="361">
        <f t="shared" si="7"/>
        <v>8.9300929445028281</v>
      </c>
      <c r="E49" s="361">
        <f t="shared" si="7"/>
        <v>10.57340813040733</v>
      </c>
      <c r="F49" s="362">
        <f t="shared" si="7"/>
        <v>12.90469492435456</v>
      </c>
      <c r="G49" s="313">
        <f t="shared" si="7"/>
        <v>13.58201208</v>
      </c>
      <c r="H49" s="313">
        <f t="shared" si="7"/>
        <v>12.933246479999999</v>
      </c>
      <c r="I49" s="313">
        <f t="shared" si="7"/>
        <v>12.815159489999999</v>
      </c>
      <c r="J49" s="313">
        <f t="shared" si="7"/>
        <v>13.33685472</v>
      </c>
      <c r="K49" s="313">
        <f t="shared" si="7"/>
        <v>12.572746199999999</v>
      </c>
      <c r="L49" s="313">
        <f t="shared" si="7"/>
        <v>12.606410879999997</v>
      </c>
      <c r="M49" s="313">
        <f t="shared" si="7"/>
        <v>12.7724961</v>
      </c>
      <c r="N49" s="313">
        <f t="shared" si="7"/>
        <v>12.79849578</v>
      </c>
      <c r="O49" s="313">
        <f t="shared" si="7"/>
        <v>12.799660859999999</v>
      </c>
      <c r="P49" s="313">
        <f t="shared" si="7"/>
        <v>12.883423980000002</v>
      </c>
      <c r="Q49" s="313">
        <f t="shared" si="7"/>
        <v>12.857041049999999</v>
      </c>
      <c r="R49" s="313">
        <f t="shared" si="7"/>
        <v>13.0113375</v>
      </c>
      <c r="S49" s="313">
        <f t="shared" si="7"/>
        <v>13.097829360000002</v>
      </c>
      <c r="T49" s="313">
        <f t="shared" si="7"/>
        <v>13.097599410000003</v>
      </c>
      <c r="U49" s="313">
        <f t="shared" si="7"/>
        <v>13.09776804</v>
      </c>
      <c r="V49" s="313">
        <f t="shared" si="7"/>
        <v>13.097829360000002</v>
      </c>
      <c r="W49" s="313">
        <f t="shared" si="7"/>
        <v>13.1106759</v>
      </c>
      <c r="X49" s="313">
        <f t="shared" si="7"/>
        <v>13.120134510000002</v>
      </c>
      <c r="Y49" s="313">
        <f t="shared" si="7"/>
        <v>13.11995055</v>
      </c>
      <c r="Z49" s="313">
        <f t="shared" si="7"/>
        <v>13.120134510000002</v>
      </c>
      <c r="AA49" s="313">
        <f t="shared" si="7"/>
        <v>13.120134510000002</v>
      </c>
      <c r="AB49" s="313">
        <f t="shared" si="7"/>
        <v>13.11995055</v>
      </c>
      <c r="AC49" s="313">
        <f t="shared" si="7"/>
        <v>13.11995055</v>
      </c>
      <c r="AD49" s="313">
        <f t="shared" si="7"/>
        <v>13.11995055</v>
      </c>
      <c r="AE49" s="313">
        <f t="shared" si="7"/>
        <v>13.08544272</v>
      </c>
      <c r="AF49" s="313">
        <f t="shared" si="7"/>
        <v>13.027939889999997</v>
      </c>
      <c r="AG49" s="313">
        <f t="shared" si="7"/>
        <v>12.993324749999999</v>
      </c>
      <c r="AH49" s="313">
        <f t="shared" si="7"/>
        <v>13.008332820000001</v>
      </c>
      <c r="AI49" s="313">
        <f t="shared" si="7"/>
        <v>13.168837920000001</v>
      </c>
      <c r="AJ49" s="313">
        <f t="shared" si="7"/>
        <v>13.226494050000001</v>
      </c>
      <c r="AK49" s="314"/>
    </row>
    <row r="50" spans="1:37">
      <c r="A50" s="6" t="s">
        <v>160</v>
      </c>
      <c r="R50" s="300" t="s">
        <v>0</v>
      </c>
    </row>
    <row r="51" spans="1:37">
      <c r="A51" s="6" t="s">
        <v>159</v>
      </c>
    </row>
    <row r="52" spans="1:37">
      <c r="A52" s="6" t="s">
        <v>693</v>
      </c>
      <c r="B52" s="349">
        <v>2.0520000457763699</v>
      </c>
      <c r="C52" s="349">
        <v>2.08500003814697</v>
      </c>
      <c r="D52" s="349">
        <v>2.02300000190735</v>
      </c>
      <c r="E52" s="349">
        <v>1.9900000095367401</v>
      </c>
      <c r="F52" s="350">
        <v>1.9984494447708101</v>
      </c>
      <c r="G52" s="294">
        <v>2.3039999999999998</v>
      </c>
      <c r="H52" s="294">
        <v>2.3239999999999998</v>
      </c>
      <c r="I52" s="294">
        <v>2.407</v>
      </c>
      <c r="J52" s="294">
        <v>2.4159999999999999</v>
      </c>
      <c r="K52" s="294">
        <v>2.4498690000000001</v>
      </c>
      <c r="L52" s="294">
        <v>2.5403880000000001</v>
      </c>
      <c r="M52" s="294">
        <v>2.599494</v>
      </c>
      <c r="N52" s="294">
        <v>2.6464240000000001</v>
      </c>
      <c r="O52" s="294">
        <v>2.693587</v>
      </c>
      <c r="P52" s="294">
        <v>2.7283230000000001</v>
      </c>
      <c r="Q52" s="294">
        <v>2.742324</v>
      </c>
      <c r="R52" s="294">
        <v>2.7799209999999999</v>
      </c>
      <c r="S52" s="294">
        <v>2.8150529999999998</v>
      </c>
      <c r="T52" s="294">
        <v>2.8347359999999999</v>
      </c>
      <c r="U52" s="294">
        <v>2.8433090000000001</v>
      </c>
      <c r="V52" s="294">
        <v>2.840814</v>
      </c>
      <c r="W52" s="294">
        <v>2.844868</v>
      </c>
      <c r="X52" s="294">
        <v>2.8578079999999999</v>
      </c>
      <c r="Y52" s="294">
        <v>2.8486820000000002</v>
      </c>
      <c r="Z52" s="294">
        <v>2.8402569999999998</v>
      </c>
      <c r="AA52" s="294">
        <v>2.8361179999999999</v>
      </c>
      <c r="AB52" s="294">
        <v>2.8308490000000002</v>
      </c>
      <c r="AC52" s="294">
        <v>2.8180170000000002</v>
      </c>
      <c r="AD52" s="294">
        <v>2.7924669999999998</v>
      </c>
      <c r="AE52" s="294">
        <v>2.7826710000000001</v>
      </c>
      <c r="AF52" s="294">
        <v>2.76675</v>
      </c>
      <c r="AG52" s="294">
        <v>2.7715809999999999</v>
      </c>
      <c r="AH52" s="294">
        <v>2.7629000000000001</v>
      </c>
      <c r="AI52" s="294">
        <v>2.7495129999999999</v>
      </c>
      <c r="AJ52" s="294">
        <v>2.7286790000000001</v>
      </c>
      <c r="AK52" s="295">
        <v>6.0000000000000001E-3</v>
      </c>
    </row>
    <row r="53" spans="1:37">
      <c r="A53" s="6" t="s">
        <v>692</v>
      </c>
      <c r="B53" s="349">
        <v>8.6600880604237296E-4</v>
      </c>
      <c r="C53" s="349">
        <v>1.0510511929169299E-3</v>
      </c>
      <c r="D53" s="349">
        <v>8.0768426414579196E-4</v>
      </c>
      <c r="E53" s="349">
        <v>4.3171385186724403E-4</v>
      </c>
      <c r="F53" s="350">
        <v>1.8219171324744801E-3</v>
      </c>
      <c r="G53" s="294">
        <v>1.882E-3</v>
      </c>
      <c r="H53" s="294">
        <v>9.8740000000000008E-3</v>
      </c>
      <c r="I53" s="294">
        <v>1.3136999999999999E-2</v>
      </c>
      <c r="J53" s="294">
        <v>1.4973999999999999E-2</v>
      </c>
      <c r="K53" s="294">
        <v>1.2047E-2</v>
      </c>
      <c r="L53" s="294">
        <v>2.5141E-2</v>
      </c>
      <c r="M53" s="294">
        <v>5.3563E-2</v>
      </c>
      <c r="N53" s="294">
        <v>8.0305000000000001E-2</v>
      </c>
      <c r="O53" s="294">
        <v>0.10901</v>
      </c>
      <c r="P53" s="294">
        <v>0.13106100000000001</v>
      </c>
      <c r="Q53" s="294">
        <v>0.162138</v>
      </c>
      <c r="R53" s="294">
        <v>0.20447299999999999</v>
      </c>
      <c r="S53" s="294">
        <v>0.22256600000000001</v>
      </c>
      <c r="T53" s="294">
        <v>0.242672</v>
      </c>
      <c r="U53" s="294">
        <v>0.26248500000000002</v>
      </c>
      <c r="V53" s="294">
        <v>0.279335</v>
      </c>
      <c r="W53" s="294">
        <v>0.29406700000000002</v>
      </c>
      <c r="X53" s="294">
        <v>0.30546400000000001</v>
      </c>
      <c r="Y53" s="294">
        <v>0.31323699999999999</v>
      </c>
      <c r="Z53" s="294">
        <v>0.31872699999999998</v>
      </c>
      <c r="AA53" s="294">
        <v>0.321052</v>
      </c>
      <c r="AB53" s="294">
        <v>0.31902700000000001</v>
      </c>
      <c r="AC53" s="294">
        <v>0.31467200000000001</v>
      </c>
      <c r="AD53" s="294">
        <v>0.30996699999999999</v>
      </c>
      <c r="AE53" s="294">
        <v>0.29748400000000003</v>
      </c>
      <c r="AF53" s="294">
        <v>0.28148600000000001</v>
      </c>
      <c r="AG53" s="294">
        <v>0.26450099999999999</v>
      </c>
      <c r="AH53" s="294">
        <v>0.245667</v>
      </c>
      <c r="AI53" s="294">
        <v>0.23741399999999999</v>
      </c>
      <c r="AJ53" s="294">
        <v>0.22813</v>
      </c>
      <c r="AK53" s="295">
        <v>0.11899999999999999</v>
      </c>
    </row>
    <row r="54" spans="1:37">
      <c r="A54" s="6" t="s">
        <v>694</v>
      </c>
      <c r="B54" s="349">
        <v>9.2527751922607404</v>
      </c>
      <c r="C54" s="349">
        <v>9.2857265472412092</v>
      </c>
      <c r="D54" s="349">
        <v>9.0097904205322301</v>
      </c>
      <c r="E54" s="349">
        <v>8.9638872146606392</v>
      </c>
      <c r="F54" s="350">
        <v>9.3608798980712908</v>
      </c>
      <c r="G54" s="294">
        <v>8.7543939999999996</v>
      </c>
      <c r="H54" s="294">
        <v>8.7103070000000002</v>
      </c>
      <c r="I54" s="294">
        <v>8.7047209999999993</v>
      </c>
      <c r="J54" s="294">
        <v>8.6720810000000004</v>
      </c>
      <c r="K54" s="294">
        <v>8.7711889999999997</v>
      </c>
      <c r="L54" s="294">
        <v>8.7249210000000001</v>
      </c>
      <c r="M54" s="294">
        <v>8.665521</v>
      </c>
      <c r="N54" s="294">
        <v>8.5782380000000007</v>
      </c>
      <c r="O54" s="294">
        <v>8.4654989999999994</v>
      </c>
      <c r="P54" s="294">
        <v>8.3493230000000001</v>
      </c>
      <c r="Q54" s="294">
        <v>8.2274130000000003</v>
      </c>
      <c r="R54" s="294">
        <v>8.1002519999999993</v>
      </c>
      <c r="S54" s="294">
        <v>7.9630890000000001</v>
      </c>
      <c r="T54" s="294">
        <v>7.8215009999999996</v>
      </c>
      <c r="U54" s="294">
        <v>7.6724129999999997</v>
      </c>
      <c r="V54" s="294">
        <v>7.5382249999999997</v>
      </c>
      <c r="W54" s="294">
        <v>7.4181600000000003</v>
      </c>
      <c r="X54" s="294">
        <v>7.3157300000000003</v>
      </c>
      <c r="Y54" s="294">
        <v>7.224996</v>
      </c>
      <c r="Z54" s="294">
        <v>7.1462729999999999</v>
      </c>
      <c r="AA54" s="294">
        <v>7.080946</v>
      </c>
      <c r="AB54" s="294">
        <v>7.0268600000000001</v>
      </c>
      <c r="AC54" s="294">
        <v>6.9825390000000001</v>
      </c>
      <c r="AD54" s="294">
        <v>6.943378</v>
      </c>
      <c r="AE54" s="294">
        <v>6.9093359999999997</v>
      </c>
      <c r="AF54" s="294">
        <v>6.8818789999999996</v>
      </c>
      <c r="AG54" s="294">
        <v>6.8622290000000001</v>
      </c>
      <c r="AH54" s="294">
        <v>6.8497510000000004</v>
      </c>
      <c r="AI54" s="294">
        <v>6.8444979999999997</v>
      </c>
      <c r="AJ54" s="294">
        <v>6.8408179999999996</v>
      </c>
      <c r="AK54" s="295">
        <v>-8.9999999999999993E-3</v>
      </c>
    </row>
    <row r="55" spans="1:37">
      <c r="A55" s="6" t="s">
        <v>695</v>
      </c>
      <c r="B55" s="349">
        <v>1.63300001621246</v>
      </c>
      <c r="C55" s="349">
        <v>1.6219999790191699</v>
      </c>
      <c r="D55" s="349">
        <v>1.5329999923706099</v>
      </c>
      <c r="E55" s="349">
        <v>1.47300004959106</v>
      </c>
      <c r="F55" s="350">
        <v>1.45558297634125</v>
      </c>
      <c r="G55" s="294">
        <v>1.425</v>
      </c>
      <c r="H55" s="294">
        <v>1.399</v>
      </c>
      <c r="I55" s="294">
        <v>1.4039999999999999</v>
      </c>
      <c r="J55" s="294">
        <v>1.4059999999999999</v>
      </c>
      <c r="K55" s="294">
        <v>1.459821</v>
      </c>
      <c r="L55" s="294">
        <v>1.466666</v>
      </c>
      <c r="M55" s="294">
        <v>1.4738910000000001</v>
      </c>
      <c r="N55" s="294">
        <v>1.4802960000000001</v>
      </c>
      <c r="O55" s="294">
        <v>1.4860789999999999</v>
      </c>
      <c r="P55" s="294">
        <v>1.491026</v>
      </c>
      <c r="Q55" s="294">
        <v>1.496483</v>
      </c>
      <c r="R55" s="294">
        <v>1.5023390000000001</v>
      </c>
      <c r="S55" s="294">
        <v>1.5080819999999999</v>
      </c>
      <c r="T55" s="294">
        <v>1.514818</v>
      </c>
      <c r="U55" s="294">
        <v>1.5222910000000001</v>
      </c>
      <c r="V55" s="294">
        <v>1.529134</v>
      </c>
      <c r="W55" s="294">
        <v>1.5350699999999999</v>
      </c>
      <c r="X55" s="294">
        <v>1.540705</v>
      </c>
      <c r="Y55" s="294">
        <v>1.5457909999999999</v>
      </c>
      <c r="Z55" s="294">
        <v>1.550583</v>
      </c>
      <c r="AA55" s="294">
        <v>1.555024</v>
      </c>
      <c r="AB55" s="294">
        <v>1.559142</v>
      </c>
      <c r="AC55" s="294">
        <v>1.562889</v>
      </c>
      <c r="AD55" s="294">
        <v>1.5661639999999999</v>
      </c>
      <c r="AE55" s="294">
        <v>1.5691090000000001</v>
      </c>
      <c r="AF55" s="294">
        <v>1.5733360000000001</v>
      </c>
      <c r="AG55" s="294">
        <v>1.577515</v>
      </c>
      <c r="AH55" s="294">
        <v>1.5816300000000001</v>
      </c>
      <c r="AI55" s="294">
        <v>1.585529</v>
      </c>
      <c r="AJ55" s="294">
        <v>1.5896079999999999</v>
      </c>
      <c r="AK55" s="295">
        <v>5.0000000000000001E-3</v>
      </c>
    </row>
    <row r="56" spans="1:37">
      <c r="A56" s="6" t="s">
        <v>696</v>
      </c>
      <c r="B56" s="349">
        <v>4.1690001487731898</v>
      </c>
      <c r="C56" s="349">
        <v>4.1960000991821298</v>
      </c>
      <c r="D56" s="349">
        <v>3.9430000782012899</v>
      </c>
      <c r="E56" s="349">
        <v>3.90199995040894</v>
      </c>
      <c r="F56" s="350">
        <v>4.0923304557800302</v>
      </c>
      <c r="G56" s="294">
        <v>3.899</v>
      </c>
      <c r="H56" s="294">
        <v>3.7429999999999999</v>
      </c>
      <c r="I56" s="294">
        <v>3.859</v>
      </c>
      <c r="J56" s="294">
        <v>3.9089999999999998</v>
      </c>
      <c r="K56" s="294">
        <v>4.0858679999999996</v>
      </c>
      <c r="L56" s="294">
        <v>4.177359</v>
      </c>
      <c r="M56" s="294">
        <v>4.228364</v>
      </c>
      <c r="N56" s="294">
        <v>4.2508220000000003</v>
      </c>
      <c r="O56" s="294">
        <v>4.2730649999999999</v>
      </c>
      <c r="P56" s="294">
        <v>4.295331</v>
      </c>
      <c r="Q56" s="294">
        <v>4.319947</v>
      </c>
      <c r="R56" s="294">
        <v>4.3484850000000002</v>
      </c>
      <c r="S56" s="294">
        <v>4.3784619999999999</v>
      </c>
      <c r="T56" s="294">
        <v>4.4044730000000003</v>
      </c>
      <c r="U56" s="294">
        <v>4.436998</v>
      </c>
      <c r="V56" s="294">
        <v>4.460839</v>
      </c>
      <c r="W56" s="294">
        <v>4.4796500000000004</v>
      </c>
      <c r="X56" s="294">
        <v>4.4870289999999997</v>
      </c>
      <c r="Y56" s="294">
        <v>4.4989540000000003</v>
      </c>
      <c r="Z56" s="294">
        <v>4.5163840000000004</v>
      </c>
      <c r="AA56" s="294">
        <v>4.5280180000000003</v>
      </c>
      <c r="AB56" s="294">
        <v>4.5344899999999999</v>
      </c>
      <c r="AC56" s="294">
        <v>4.5444589999999998</v>
      </c>
      <c r="AD56" s="294">
        <v>4.5662190000000002</v>
      </c>
      <c r="AE56" s="294">
        <v>4.5865479999999996</v>
      </c>
      <c r="AF56" s="294">
        <v>4.5978500000000002</v>
      </c>
      <c r="AG56" s="294">
        <v>4.6070399999999996</v>
      </c>
      <c r="AH56" s="294">
        <v>4.6156879999999996</v>
      </c>
      <c r="AI56" s="294">
        <v>4.6224400000000001</v>
      </c>
      <c r="AJ56" s="294">
        <v>4.6207630000000002</v>
      </c>
      <c r="AK56" s="295">
        <v>8.0000000000000002E-3</v>
      </c>
    </row>
    <row r="57" spans="1:37">
      <c r="A57" s="6" t="s">
        <v>158</v>
      </c>
      <c r="B57" s="349">
        <v>3.21000003814697</v>
      </c>
      <c r="C57" s="349">
        <v>3.4670000076293901</v>
      </c>
      <c r="D57" s="349">
        <v>3.46799993515015</v>
      </c>
      <c r="E57" s="349">
        <v>3.4189999103546098</v>
      </c>
      <c r="F57" s="350">
        <v>3.47832202911377</v>
      </c>
      <c r="G57" s="294">
        <v>3.5059999999999998</v>
      </c>
      <c r="H57" s="294">
        <v>3.448</v>
      </c>
      <c r="I57" s="294">
        <v>3.5550000000000002</v>
      </c>
      <c r="J57" s="294">
        <v>3.601</v>
      </c>
      <c r="K57" s="294">
        <v>3.6780590000000002</v>
      </c>
      <c r="L57" s="294">
        <v>3.788999</v>
      </c>
      <c r="M57" s="294">
        <v>3.841418</v>
      </c>
      <c r="N57" s="294">
        <v>3.888255</v>
      </c>
      <c r="O57" s="294">
        <v>3.9148960000000002</v>
      </c>
      <c r="P57" s="294">
        <v>3.942434</v>
      </c>
      <c r="Q57" s="294">
        <v>3.9721639999999998</v>
      </c>
      <c r="R57" s="294">
        <v>4.005528</v>
      </c>
      <c r="S57" s="294">
        <v>4.0400039999999997</v>
      </c>
      <c r="T57" s="294">
        <v>4.0698509999999999</v>
      </c>
      <c r="U57" s="294">
        <v>4.1063919999999996</v>
      </c>
      <c r="V57" s="294">
        <v>4.1354759999999997</v>
      </c>
      <c r="W57" s="294">
        <v>4.1591009999999997</v>
      </c>
      <c r="X57" s="294">
        <v>4.1709329999999998</v>
      </c>
      <c r="Y57" s="294">
        <v>4.1869290000000001</v>
      </c>
      <c r="Z57" s="294">
        <v>4.2079300000000002</v>
      </c>
      <c r="AA57" s="294">
        <v>4.2245819999999998</v>
      </c>
      <c r="AB57" s="294">
        <v>4.2349610000000002</v>
      </c>
      <c r="AC57" s="294">
        <v>4.2486269999999999</v>
      </c>
      <c r="AD57" s="294">
        <v>4.2736000000000001</v>
      </c>
      <c r="AE57" s="294">
        <v>4.2970110000000004</v>
      </c>
      <c r="AF57" s="294">
        <v>4.3111389999999998</v>
      </c>
      <c r="AG57" s="294">
        <v>4.3229870000000004</v>
      </c>
      <c r="AH57" s="294">
        <v>4.3342970000000003</v>
      </c>
      <c r="AI57" s="294">
        <v>4.3436260000000004</v>
      </c>
      <c r="AJ57" s="294">
        <v>4.344544</v>
      </c>
      <c r="AK57" s="295">
        <v>8.0000000000000002E-3</v>
      </c>
    </row>
    <row r="58" spans="1:37">
      <c r="A58" s="6" t="s">
        <v>157</v>
      </c>
      <c r="B58" s="349">
        <v>0.68900001049041704</v>
      </c>
      <c r="C58" s="349">
        <v>0.72299998998642001</v>
      </c>
      <c r="D58" s="349">
        <v>0.60799998044967696</v>
      </c>
      <c r="E58" s="349">
        <v>0.58099997043609597</v>
      </c>
      <c r="F58" s="350">
        <v>0.63298153877258301</v>
      </c>
      <c r="G58" s="294">
        <v>0.46100000000000002</v>
      </c>
      <c r="H58" s="294">
        <v>0.34499999999999997</v>
      </c>
      <c r="I58" s="294">
        <v>0.32200000000000001</v>
      </c>
      <c r="J58" s="294">
        <v>0.35</v>
      </c>
      <c r="K58" s="294">
        <v>0.38553500000000002</v>
      </c>
      <c r="L58" s="294">
        <v>0.39021600000000001</v>
      </c>
      <c r="M58" s="294">
        <v>0.38447300000000001</v>
      </c>
      <c r="N58" s="294">
        <v>0.390044</v>
      </c>
      <c r="O58" s="294">
        <v>0.38984200000000002</v>
      </c>
      <c r="P58" s="294">
        <v>0.38874799999999998</v>
      </c>
      <c r="Q58" s="294">
        <v>0.38986300000000002</v>
      </c>
      <c r="R58" s="294">
        <v>0.38962000000000002</v>
      </c>
      <c r="S58" s="294">
        <v>0.390509</v>
      </c>
      <c r="T58" s="294">
        <v>0.392071</v>
      </c>
      <c r="U58" s="294">
        <v>0.392706</v>
      </c>
      <c r="V58" s="294">
        <v>0.39272899999999999</v>
      </c>
      <c r="W58" s="294">
        <v>0.39312000000000002</v>
      </c>
      <c r="X58" s="294">
        <v>0.39413599999999999</v>
      </c>
      <c r="Y58" s="294">
        <v>0.39485900000000002</v>
      </c>
      <c r="Z58" s="294">
        <v>0.396202</v>
      </c>
      <c r="AA58" s="294">
        <v>0.39659499999999998</v>
      </c>
      <c r="AB58" s="294">
        <v>0.39696300000000001</v>
      </c>
      <c r="AC58" s="294">
        <v>0.398011</v>
      </c>
      <c r="AD58" s="294">
        <v>0.39871400000000001</v>
      </c>
      <c r="AE58" s="294">
        <v>0.39992499999999997</v>
      </c>
      <c r="AF58" s="294">
        <v>0.40121899999999999</v>
      </c>
      <c r="AG58" s="294">
        <v>0.40172999999999998</v>
      </c>
      <c r="AH58" s="294">
        <v>0.402443</v>
      </c>
      <c r="AI58" s="294">
        <v>0.40342099999999997</v>
      </c>
      <c r="AJ58" s="294">
        <v>0.40445900000000001</v>
      </c>
      <c r="AK58" s="295">
        <v>6.0000000000000001E-3</v>
      </c>
    </row>
    <row r="59" spans="1:37">
      <c r="A59" s="6" t="s">
        <v>697</v>
      </c>
      <c r="B59" s="349">
        <v>2.8580451011657702</v>
      </c>
      <c r="C59" s="349">
        <v>2.73703241348267</v>
      </c>
      <c r="D59" s="349">
        <v>2.4269983768463099</v>
      </c>
      <c r="E59" s="349">
        <v>2.3350048065185498</v>
      </c>
      <c r="F59" s="350">
        <v>2.2457344532012899</v>
      </c>
      <c r="G59" s="294">
        <v>2.0800260000000002</v>
      </c>
      <c r="H59" s="294">
        <v>1.965076</v>
      </c>
      <c r="I59" s="294">
        <v>1.942002</v>
      </c>
      <c r="J59" s="294">
        <v>1.9470000000000001</v>
      </c>
      <c r="K59" s="294">
        <v>2.0148790000000001</v>
      </c>
      <c r="L59" s="294">
        <v>2.0685479999999998</v>
      </c>
      <c r="M59" s="294">
        <v>2.1349170000000002</v>
      </c>
      <c r="N59" s="294">
        <v>2.1911809999999998</v>
      </c>
      <c r="O59" s="294">
        <v>2.2368299999999999</v>
      </c>
      <c r="P59" s="294">
        <v>2.276913</v>
      </c>
      <c r="Q59" s="294">
        <v>2.3108819999999999</v>
      </c>
      <c r="R59" s="294">
        <v>2.3269329999999999</v>
      </c>
      <c r="S59" s="294">
        <v>2.343264</v>
      </c>
      <c r="T59" s="294">
        <v>2.3722750000000001</v>
      </c>
      <c r="U59" s="294">
        <v>2.404312</v>
      </c>
      <c r="V59" s="294">
        <v>2.4265159999999999</v>
      </c>
      <c r="W59" s="294">
        <v>2.458132</v>
      </c>
      <c r="X59" s="294">
        <v>2.474024</v>
      </c>
      <c r="Y59" s="294">
        <v>2.4762659999999999</v>
      </c>
      <c r="Z59" s="294">
        <v>2.4857459999999998</v>
      </c>
      <c r="AA59" s="294">
        <v>2.4935139999999998</v>
      </c>
      <c r="AB59" s="294">
        <v>2.4994040000000002</v>
      </c>
      <c r="AC59" s="294">
        <v>2.4986790000000001</v>
      </c>
      <c r="AD59" s="294">
        <v>2.5103719999999998</v>
      </c>
      <c r="AE59" s="294">
        <v>2.5131139999999998</v>
      </c>
      <c r="AF59" s="294">
        <v>2.519142</v>
      </c>
      <c r="AG59" s="294">
        <v>2.531539</v>
      </c>
      <c r="AH59" s="294">
        <v>2.5507759999999999</v>
      </c>
      <c r="AI59" s="294">
        <v>2.550128</v>
      </c>
      <c r="AJ59" s="294">
        <v>2.5471759999999999</v>
      </c>
      <c r="AK59" s="295">
        <v>8.9999999999999993E-3</v>
      </c>
    </row>
    <row r="60" spans="1:37">
      <c r="A60" s="6" t="s">
        <v>156</v>
      </c>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row>
    <row r="61" spans="1:37">
      <c r="A61" s="6" t="s">
        <v>155</v>
      </c>
      <c r="B61" s="349">
        <v>1.0618205070495601</v>
      </c>
      <c r="C61" s="349">
        <v>1.1093590259552</v>
      </c>
      <c r="D61" s="349">
        <v>1.0993635654449501</v>
      </c>
      <c r="E61" s="349">
        <v>1.10606873035431</v>
      </c>
      <c r="F61" s="350">
        <v>1.0538341999053999</v>
      </c>
      <c r="G61" s="294">
        <v>0.96948900000000005</v>
      </c>
      <c r="H61" s="294">
        <v>0.94076099999999996</v>
      </c>
      <c r="I61" s="294">
        <v>0.95062599999999997</v>
      </c>
      <c r="J61" s="294">
        <v>0.94062699999999999</v>
      </c>
      <c r="K61" s="294">
        <v>0.91689699999999996</v>
      </c>
      <c r="L61" s="294">
        <v>0.91578099999999996</v>
      </c>
      <c r="M61" s="294">
        <v>0.90966899999999995</v>
      </c>
      <c r="N61" s="294">
        <v>0.90114399999999995</v>
      </c>
      <c r="O61" s="294">
        <v>0.89199799999999996</v>
      </c>
      <c r="P61" s="294">
        <v>0.88283199999999995</v>
      </c>
      <c r="Q61" s="294">
        <v>0.87347300000000005</v>
      </c>
      <c r="R61" s="294">
        <v>0.86438899999999996</v>
      </c>
      <c r="S61" s="294">
        <v>0.85625499999999999</v>
      </c>
      <c r="T61" s="294">
        <v>0.84867599999999999</v>
      </c>
      <c r="U61" s="294">
        <v>0.84107299999999996</v>
      </c>
      <c r="V61" s="294">
        <v>0.83371399999999996</v>
      </c>
      <c r="W61" s="294">
        <v>0.82639200000000002</v>
      </c>
      <c r="X61" s="294">
        <v>0.81992799999999999</v>
      </c>
      <c r="Y61" s="294">
        <v>0.81319300000000005</v>
      </c>
      <c r="Z61" s="294">
        <v>0.80710899999999997</v>
      </c>
      <c r="AA61" s="294">
        <v>0.80122000000000004</v>
      </c>
      <c r="AB61" s="294">
        <v>0.795458</v>
      </c>
      <c r="AC61" s="294">
        <v>0.79006900000000002</v>
      </c>
      <c r="AD61" s="294">
        <v>0.78411900000000001</v>
      </c>
      <c r="AE61" s="294">
        <v>0.77970600000000001</v>
      </c>
      <c r="AF61" s="294">
        <v>0.77555200000000002</v>
      </c>
      <c r="AG61" s="294">
        <v>0.771922</v>
      </c>
      <c r="AH61" s="294">
        <v>0.76868800000000004</v>
      </c>
      <c r="AI61" s="294">
        <v>0.76499200000000001</v>
      </c>
      <c r="AJ61" s="294">
        <v>0.76103399999999999</v>
      </c>
      <c r="AK61" s="295">
        <v>-8.0000000000000002E-3</v>
      </c>
    </row>
    <row r="62" spans="1:37">
      <c r="A62" s="6" t="s">
        <v>698</v>
      </c>
      <c r="B62" s="349">
        <v>5.3221449851989702</v>
      </c>
      <c r="C62" s="349">
        <v>5.2595095634460396</v>
      </c>
      <c r="D62" s="349">
        <v>4.9765362739562997</v>
      </c>
      <c r="E62" s="349">
        <v>4.70910596847534</v>
      </c>
      <c r="F62" s="350">
        <v>4.5219602584838903</v>
      </c>
      <c r="G62" s="294">
        <v>4.4511919999999998</v>
      </c>
      <c r="H62" s="294">
        <v>4.421297</v>
      </c>
      <c r="I62" s="294">
        <v>4.5209929999999998</v>
      </c>
      <c r="J62" s="294">
        <v>4.6163509999999999</v>
      </c>
      <c r="K62" s="294">
        <v>4.7672689999999998</v>
      </c>
      <c r="L62" s="294">
        <v>4.940448</v>
      </c>
      <c r="M62" s="294">
        <v>5.0828059999999997</v>
      </c>
      <c r="N62" s="294">
        <v>5.1973799999999999</v>
      </c>
      <c r="O62" s="294">
        <v>5.2962569999999998</v>
      </c>
      <c r="P62" s="294">
        <v>5.3737599999999999</v>
      </c>
      <c r="Q62" s="294">
        <v>5.42516</v>
      </c>
      <c r="R62" s="294">
        <v>5.4817600000000004</v>
      </c>
      <c r="S62" s="294">
        <v>5.536664</v>
      </c>
      <c r="T62" s="294">
        <v>5.5895760000000001</v>
      </c>
      <c r="U62" s="294">
        <v>5.635637</v>
      </c>
      <c r="V62" s="294">
        <v>5.6575449999999998</v>
      </c>
      <c r="W62" s="294">
        <v>5.6945290000000002</v>
      </c>
      <c r="X62" s="294">
        <v>5.724005</v>
      </c>
      <c r="Y62" s="294">
        <v>5.7184200000000001</v>
      </c>
      <c r="Z62" s="294">
        <v>5.7229380000000001</v>
      </c>
      <c r="AA62" s="294">
        <v>5.7270849999999998</v>
      </c>
      <c r="AB62" s="294">
        <v>5.7279549999999997</v>
      </c>
      <c r="AC62" s="294">
        <v>5.7151949999999996</v>
      </c>
      <c r="AD62" s="294">
        <v>5.7039289999999996</v>
      </c>
      <c r="AE62" s="294">
        <v>5.6985010000000003</v>
      </c>
      <c r="AF62" s="294">
        <v>5.6904269999999997</v>
      </c>
      <c r="AG62" s="294">
        <v>5.7088890000000001</v>
      </c>
      <c r="AH62" s="294">
        <v>5.7191020000000004</v>
      </c>
      <c r="AI62" s="294">
        <v>5.7061400000000004</v>
      </c>
      <c r="AJ62" s="294">
        <v>5.6839209999999998</v>
      </c>
      <c r="AK62" s="295">
        <v>8.9999999999999993E-3</v>
      </c>
    </row>
    <row r="63" spans="1:37">
      <c r="A63" s="6" t="s">
        <v>154</v>
      </c>
      <c r="B63" s="349">
        <v>14.205528259277299</v>
      </c>
      <c r="C63" s="349">
        <v>14.253752708435099</v>
      </c>
      <c r="D63" s="349">
        <v>13.661909103393601</v>
      </c>
      <c r="E63" s="349">
        <v>13.477608680725099</v>
      </c>
      <c r="F63" s="350">
        <v>13.9932947158813</v>
      </c>
      <c r="G63" s="294">
        <v>13.653123000000001</v>
      </c>
      <c r="H63" s="294">
        <v>13.443807</v>
      </c>
      <c r="I63" s="294">
        <v>13.46326</v>
      </c>
      <c r="J63" s="294">
        <v>13.410075000000001</v>
      </c>
      <c r="K63" s="294">
        <v>13.391593</v>
      </c>
      <c r="L63" s="294">
        <v>13.423278</v>
      </c>
      <c r="M63" s="294">
        <v>13.416093</v>
      </c>
      <c r="N63" s="294">
        <v>13.359128999999999</v>
      </c>
      <c r="O63" s="294">
        <v>13.277658000000001</v>
      </c>
      <c r="P63" s="294">
        <v>13.193913999999999</v>
      </c>
      <c r="Q63" s="294">
        <v>13.108468</v>
      </c>
      <c r="R63" s="294">
        <v>13.021044</v>
      </c>
      <c r="S63" s="294">
        <v>12.924597</v>
      </c>
      <c r="T63" s="294">
        <v>12.819832</v>
      </c>
      <c r="U63" s="294">
        <v>12.713536</v>
      </c>
      <c r="V63" s="294">
        <v>12.616394</v>
      </c>
      <c r="W63" s="294">
        <v>12.527696000000001</v>
      </c>
      <c r="X63" s="294">
        <v>12.445028000000001</v>
      </c>
      <c r="Y63" s="294">
        <v>12.377145000000001</v>
      </c>
      <c r="Z63" s="294">
        <v>12.324268</v>
      </c>
      <c r="AA63" s="294">
        <v>12.281888</v>
      </c>
      <c r="AB63" s="294">
        <v>12.244210000000001</v>
      </c>
      <c r="AC63" s="294">
        <v>12.219082999999999</v>
      </c>
      <c r="AD63" s="294">
        <v>12.208591999999999</v>
      </c>
      <c r="AE63" s="294">
        <v>12.201549</v>
      </c>
      <c r="AF63" s="294">
        <v>12.192887000000001</v>
      </c>
      <c r="AG63" s="294">
        <v>12.189211999999999</v>
      </c>
      <c r="AH63" s="294">
        <v>12.193395000000001</v>
      </c>
      <c r="AI63" s="294">
        <v>12.201965</v>
      </c>
      <c r="AJ63" s="294">
        <v>12.203708000000001</v>
      </c>
      <c r="AK63" s="295">
        <v>-3.0000000000000001E-3</v>
      </c>
    </row>
    <row r="64" spans="1:37">
      <c r="A64" s="6" t="s">
        <v>699</v>
      </c>
      <c r="B64" s="349">
        <v>0.28576692938804599</v>
      </c>
      <c r="C64" s="349">
        <v>0.295045405626297</v>
      </c>
      <c r="D64" s="349">
        <v>0.215673848986626</v>
      </c>
      <c r="E64" s="349">
        <v>0.21838557720184301</v>
      </c>
      <c r="F64" s="350">
        <v>0.21773074567317999</v>
      </c>
      <c r="G64" s="294">
        <v>0.13995199999999999</v>
      </c>
      <c r="H64" s="294">
        <v>0.10258100000000001</v>
      </c>
      <c r="I64" s="294">
        <v>9.1968999999999995E-2</v>
      </c>
      <c r="J64" s="294">
        <v>9.2428999999999997E-2</v>
      </c>
      <c r="K64" s="294">
        <v>9.2261999999999997E-2</v>
      </c>
      <c r="L64" s="294">
        <v>8.9524000000000006E-2</v>
      </c>
      <c r="M64" s="294">
        <v>7.9076999999999995E-2</v>
      </c>
      <c r="N64" s="294">
        <v>8.0381999999999995E-2</v>
      </c>
      <c r="O64" s="294">
        <v>8.0076999999999995E-2</v>
      </c>
      <c r="P64" s="294">
        <v>8.0298999999999995E-2</v>
      </c>
      <c r="Q64" s="294">
        <v>8.0979999999999996E-2</v>
      </c>
      <c r="R64" s="294">
        <v>8.1548999999999996E-2</v>
      </c>
      <c r="S64" s="294">
        <v>8.2155000000000006E-2</v>
      </c>
      <c r="T64" s="294">
        <v>8.3019999999999997E-2</v>
      </c>
      <c r="U64" s="294">
        <v>8.3024000000000001E-2</v>
      </c>
      <c r="V64" s="294">
        <v>8.1849000000000005E-2</v>
      </c>
      <c r="W64" s="294">
        <v>8.1641000000000005E-2</v>
      </c>
      <c r="X64" s="294">
        <v>8.1735000000000002E-2</v>
      </c>
      <c r="Y64" s="294">
        <v>8.2040000000000002E-2</v>
      </c>
      <c r="Z64" s="294">
        <v>8.2365999999999995E-2</v>
      </c>
      <c r="AA64" s="294">
        <v>8.1250000000000003E-2</v>
      </c>
      <c r="AB64" s="294">
        <v>8.1303E-2</v>
      </c>
      <c r="AC64" s="294">
        <v>8.1448999999999994E-2</v>
      </c>
      <c r="AD64" s="294">
        <v>8.1864999999999993E-2</v>
      </c>
      <c r="AE64" s="294">
        <v>8.2123000000000002E-2</v>
      </c>
      <c r="AF64" s="294">
        <v>8.2472000000000004E-2</v>
      </c>
      <c r="AG64" s="294">
        <v>8.2769999999999996E-2</v>
      </c>
      <c r="AH64" s="294">
        <v>8.3155000000000007E-2</v>
      </c>
      <c r="AI64" s="294">
        <v>8.3571999999999994E-2</v>
      </c>
      <c r="AJ64" s="294">
        <v>8.3961999999999995E-2</v>
      </c>
      <c r="AK64" s="295">
        <v>-7.0000000000000001E-3</v>
      </c>
    </row>
    <row r="65" spans="1:37">
      <c r="A65" s="6" t="s">
        <v>153</v>
      </c>
      <c r="B65" s="349">
        <v>20.654685974121101</v>
      </c>
      <c r="C65" s="349">
        <v>20.6498107910156</v>
      </c>
      <c r="D65" s="349">
        <v>19.5445957183838</v>
      </c>
      <c r="E65" s="349">
        <v>19.245325088501001</v>
      </c>
      <c r="F65" s="350">
        <v>19.787778854370099</v>
      </c>
      <c r="G65" s="249">
        <v>18.92342</v>
      </c>
      <c r="H65" s="249">
        <v>18.486381999999999</v>
      </c>
      <c r="I65" s="249">
        <v>18.638722999999999</v>
      </c>
      <c r="J65" s="249">
        <v>18.700082999999999</v>
      </c>
      <c r="K65" s="249">
        <v>19.167159999999999</v>
      </c>
      <c r="L65" s="249">
        <v>19.368099000000001</v>
      </c>
      <c r="M65" s="249">
        <v>19.486657999999998</v>
      </c>
      <c r="N65" s="249">
        <v>19.537004</v>
      </c>
      <c r="O65" s="249">
        <v>19.544903000000001</v>
      </c>
      <c r="P65" s="249">
        <v>19.529665000000001</v>
      </c>
      <c r="Q65" s="249">
        <v>19.486916000000001</v>
      </c>
      <c r="R65" s="249">
        <v>19.44755</v>
      </c>
      <c r="S65" s="249">
        <v>19.398457000000001</v>
      </c>
      <c r="T65" s="249">
        <v>19.339873999999998</v>
      </c>
      <c r="U65" s="249">
        <v>19.272027999999999</v>
      </c>
      <c r="V65" s="249">
        <v>19.188255000000002</v>
      </c>
      <c r="W65" s="249">
        <v>19.129000000000001</v>
      </c>
      <c r="X65" s="249">
        <v>19.069431000000002</v>
      </c>
      <c r="Y65" s="249">
        <v>18.989547999999999</v>
      </c>
      <c r="Z65" s="249">
        <v>18.935445999999999</v>
      </c>
      <c r="AA65" s="249">
        <v>18.890217</v>
      </c>
      <c r="AB65" s="249">
        <v>18.847709999999999</v>
      </c>
      <c r="AC65" s="249">
        <v>18.804594000000002</v>
      </c>
      <c r="AD65" s="249">
        <v>18.777315000000002</v>
      </c>
      <c r="AE65" s="249">
        <v>18.760704</v>
      </c>
      <c r="AF65" s="249">
        <v>18.740176999999999</v>
      </c>
      <c r="AG65" s="249">
        <v>18.751633000000002</v>
      </c>
      <c r="AH65" s="249">
        <v>18.763190999999999</v>
      </c>
      <c r="AI65" s="249">
        <v>18.755531000000001</v>
      </c>
      <c r="AJ65" s="249">
        <v>18.731504000000001</v>
      </c>
      <c r="AK65" s="250">
        <v>0</v>
      </c>
    </row>
    <row r="66" spans="1:37">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row>
    <row r="67" spans="1:37">
      <c r="A67" s="6" t="s">
        <v>700</v>
      </c>
      <c r="B67" s="349">
        <v>4.2667388916015597E-2</v>
      </c>
      <c r="C67" s="349">
        <v>0.11821937561035201</v>
      </c>
      <c r="D67" s="349">
        <v>0.102603912353516</v>
      </c>
      <c r="E67" s="349">
        <v>0.17598533630371099</v>
      </c>
      <c r="F67" s="350">
        <v>-0.19984626770019501</v>
      </c>
      <c r="G67" s="294">
        <v>1.5162999999999999E-2</v>
      </c>
      <c r="H67" s="294">
        <v>0.105907</v>
      </c>
      <c r="I67" s="294">
        <v>0.34659600000000002</v>
      </c>
      <c r="J67" s="294">
        <v>0.115158</v>
      </c>
      <c r="K67" s="294">
        <v>-9.7140000000000004E-3</v>
      </c>
      <c r="L67" s="294">
        <v>-9.1500000000000001E-3</v>
      </c>
      <c r="M67" s="294">
        <v>-9.129E-3</v>
      </c>
      <c r="N67" s="294">
        <v>-9.3959999999999998E-3</v>
      </c>
      <c r="O67" s="294">
        <v>-9.4409999999999997E-3</v>
      </c>
      <c r="P67" s="294">
        <v>-9.2980000000000007E-3</v>
      </c>
      <c r="Q67" s="294">
        <v>-9.8270000000000007E-3</v>
      </c>
      <c r="R67" s="294">
        <v>-9.7409999999999997E-3</v>
      </c>
      <c r="S67" s="294">
        <v>-9.6889999999999997E-3</v>
      </c>
      <c r="T67" s="294">
        <v>-9.8569999999999994E-3</v>
      </c>
      <c r="U67" s="294">
        <v>-9.7099999999999999E-3</v>
      </c>
      <c r="V67" s="294">
        <v>-9.4129999999999995E-3</v>
      </c>
      <c r="W67" s="294">
        <v>-9.7260000000000003E-3</v>
      </c>
      <c r="X67" s="294">
        <v>-9.5440000000000004E-3</v>
      </c>
      <c r="Y67" s="294">
        <v>-8.9110000000000005E-3</v>
      </c>
      <c r="Z67" s="294">
        <v>-9.2739999999999993E-3</v>
      </c>
      <c r="AA67" s="294">
        <v>-9.4389999999999995E-3</v>
      </c>
      <c r="AB67" s="294">
        <v>-9.6170000000000005E-3</v>
      </c>
      <c r="AC67" s="294">
        <v>-9.1479999999999999E-3</v>
      </c>
      <c r="AD67" s="294">
        <v>-8.9969999999999998E-3</v>
      </c>
      <c r="AE67" s="294">
        <v>-8.8159999999999992E-3</v>
      </c>
      <c r="AF67" s="294">
        <v>-8.2660000000000008E-3</v>
      </c>
      <c r="AG67" s="294">
        <v>-8.2740000000000001E-3</v>
      </c>
      <c r="AH67" s="294">
        <v>-7.711E-3</v>
      </c>
      <c r="AI67" s="294">
        <v>-7.0080000000000003E-3</v>
      </c>
      <c r="AJ67" s="294">
        <v>-6.5420000000000001E-3</v>
      </c>
      <c r="AK67" s="294" t="s">
        <v>41</v>
      </c>
    </row>
    <row r="68" spans="1:37">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row>
    <row r="69" spans="1:37">
      <c r="A69" s="6" t="s">
        <v>701</v>
      </c>
      <c r="B69" s="363">
        <v>17.3390007019043</v>
      </c>
      <c r="C69" s="363">
        <v>17.4409999847412</v>
      </c>
      <c r="D69" s="363">
        <v>17.5890007019043</v>
      </c>
      <c r="E69" s="363">
        <v>17.5890007019043</v>
      </c>
      <c r="F69" s="364">
        <v>17.994850158691399</v>
      </c>
      <c r="G69" s="294">
        <v>17.704999999999998</v>
      </c>
      <c r="H69" s="294">
        <v>17.315000999999999</v>
      </c>
      <c r="I69" s="294">
        <v>17.818999999999999</v>
      </c>
      <c r="J69" s="294">
        <v>17.818999999999999</v>
      </c>
      <c r="K69" s="294">
        <v>18.114657999999999</v>
      </c>
      <c r="L69" s="294">
        <v>18.129657999999999</v>
      </c>
      <c r="M69" s="294">
        <v>18.129657999999999</v>
      </c>
      <c r="N69" s="294">
        <v>18.129657999999999</v>
      </c>
      <c r="O69" s="294">
        <v>18.129657999999999</v>
      </c>
      <c r="P69" s="294">
        <v>18.129657999999999</v>
      </c>
      <c r="Q69" s="294">
        <v>18.129657999999999</v>
      </c>
      <c r="R69" s="294">
        <v>18.129657999999999</v>
      </c>
      <c r="S69" s="294">
        <v>18.129657999999999</v>
      </c>
      <c r="T69" s="294">
        <v>18.129657999999999</v>
      </c>
      <c r="U69" s="294">
        <v>18.129657999999999</v>
      </c>
      <c r="V69" s="294">
        <v>18.129657999999999</v>
      </c>
      <c r="W69" s="294">
        <v>18.129657999999999</v>
      </c>
      <c r="X69" s="294">
        <v>18.129657999999999</v>
      </c>
      <c r="Y69" s="294">
        <v>18.129657999999999</v>
      </c>
      <c r="Z69" s="294">
        <v>18.129657999999999</v>
      </c>
      <c r="AA69" s="294">
        <v>18.129657999999999</v>
      </c>
      <c r="AB69" s="294">
        <v>18.129657999999999</v>
      </c>
      <c r="AC69" s="294">
        <v>18.129657999999999</v>
      </c>
      <c r="AD69" s="294">
        <v>18.129657999999999</v>
      </c>
      <c r="AE69" s="294">
        <v>18.129657999999999</v>
      </c>
      <c r="AF69" s="294">
        <v>18.129657999999999</v>
      </c>
      <c r="AG69" s="294">
        <v>18.129657999999999</v>
      </c>
      <c r="AH69" s="294">
        <v>18.129657999999999</v>
      </c>
      <c r="AI69" s="294">
        <v>18.129657999999999</v>
      </c>
      <c r="AJ69" s="294">
        <v>18.129657999999999</v>
      </c>
      <c r="AK69" s="295">
        <v>2E-3</v>
      </c>
    </row>
    <row r="70" spans="1:37">
      <c r="A70" s="6" t="s">
        <v>702</v>
      </c>
      <c r="B70" s="363">
        <v>90</v>
      </c>
      <c r="C70" s="363">
        <v>89</v>
      </c>
      <c r="D70" s="363">
        <v>85</v>
      </c>
      <c r="E70" s="363">
        <v>84</v>
      </c>
      <c r="F70" s="364">
        <v>78.951698303222699</v>
      </c>
      <c r="G70" s="294">
        <v>86</v>
      </c>
      <c r="H70" s="294">
        <v>89</v>
      </c>
      <c r="I70" s="294">
        <v>87</v>
      </c>
      <c r="J70" s="294">
        <v>87</v>
      </c>
      <c r="K70" s="294">
        <v>83.929221999999996</v>
      </c>
      <c r="L70" s="294">
        <v>84.444526999999994</v>
      </c>
      <c r="M70" s="294">
        <v>84.784676000000005</v>
      </c>
      <c r="N70" s="294">
        <v>84.856537000000003</v>
      </c>
      <c r="O70" s="294">
        <v>84.762580999999997</v>
      </c>
      <c r="P70" s="294">
        <v>84.610602999999998</v>
      </c>
      <c r="Q70" s="294">
        <v>84.422150000000002</v>
      </c>
      <c r="R70" s="294">
        <v>84.011527999999998</v>
      </c>
      <c r="S70" s="294">
        <v>83.650841</v>
      </c>
      <c r="T70" s="294">
        <v>83.337349000000003</v>
      </c>
      <c r="U70" s="294">
        <v>83.051040999999998</v>
      </c>
      <c r="V70" s="294">
        <v>82.852858999999995</v>
      </c>
      <c r="W70" s="294">
        <v>82.751807999999997</v>
      </c>
      <c r="X70" s="294">
        <v>82.579086000000004</v>
      </c>
      <c r="Y70" s="294">
        <v>82.446686</v>
      </c>
      <c r="Z70" s="294">
        <v>82.407532000000003</v>
      </c>
      <c r="AA70" s="294">
        <v>82.401390000000006</v>
      </c>
      <c r="AB70" s="294">
        <v>82.379172999999994</v>
      </c>
      <c r="AC70" s="294">
        <v>82.419548000000006</v>
      </c>
      <c r="AD70" s="294">
        <v>82.643226999999996</v>
      </c>
      <c r="AE70" s="294">
        <v>82.856575000000007</v>
      </c>
      <c r="AF70" s="294">
        <v>83.059607999999997</v>
      </c>
      <c r="AG70" s="294">
        <v>83.321395999999993</v>
      </c>
      <c r="AH70" s="294">
        <v>83.713463000000004</v>
      </c>
      <c r="AI70" s="294">
        <v>83.800713000000002</v>
      </c>
      <c r="AJ70" s="294">
        <v>83.967208999999997</v>
      </c>
      <c r="AK70" s="295">
        <v>-2E-3</v>
      </c>
    </row>
    <row r="71" spans="1:37">
      <c r="A71" s="6" t="s">
        <v>152</v>
      </c>
      <c r="B71" s="363">
        <v>60.165718078613303</v>
      </c>
      <c r="C71" s="363">
        <v>58.3234672546387</v>
      </c>
      <c r="D71" s="363">
        <v>56.096931457519503</v>
      </c>
      <c r="E71" s="363">
        <v>53.113201141357401</v>
      </c>
      <c r="F71" s="364">
        <v>50.657768249511697</v>
      </c>
      <c r="G71" s="294">
        <v>45.229275000000001</v>
      </c>
      <c r="H71" s="294">
        <v>40.315280999999999</v>
      </c>
      <c r="I71" s="294">
        <v>33.537674000000003</v>
      </c>
      <c r="J71" s="294">
        <v>28.732861</v>
      </c>
      <c r="K71" s="294">
        <v>27.439371000000001</v>
      </c>
      <c r="L71" s="294">
        <v>25.212821999999999</v>
      </c>
      <c r="M71" s="294">
        <v>25.371447</v>
      </c>
      <c r="N71" s="294">
        <v>25.397780999999998</v>
      </c>
      <c r="O71" s="294">
        <v>25.272306</v>
      </c>
      <c r="P71" s="294">
        <v>25.605276</v>
      </c>
      <c r="Q71" s="294">
        <v>26.339932999999998</v>
      </c>
      <c r="R71" s="294">
        <v>26.391024000000002</v>
      </c>
      <c r="S71" s="294">
        <v>26.330031999999999</v>
      </c>
      <c r="T71" s="294">
        <v>26.557704999999999</v>
      </c>
      <c r="U71" s="294">
        <v>26.574638</v>
      </c>
      <c r="V71" s="294">
        <v>27.074511000000001</v>
      </c>
      <c r="W71" s="294">
        <v>27.628391000000001</v>
      </c>
      <c r="X71" s="294">
        <v>28.164417</v>
      </c>
      <c r="Y71" s="294">
        <v>28.574669</v>
      </c>
      <c r="Z71" s="294">
        <v>28.600802999999999</v>
      </c>
      <c r="AA71" s="294">
        <v>29.035553</v>
      </c>
      <c r="AB71" s="294">
        <v>29.225125999999999</v>
      </c>
      <c r="AC71" s="294">
        <v>29.185209</v>
      </c>
      <c r="AD71" s="294">
        <v>29.338975999999999</v>
      </c>
      <c r="AE71" s="294">
        <v>29.911650000000002</v>
      </c>
      <c r="AF71" s="294">
        <v>30.578768</v>
      </c>
      <c r="AG71" s="294">
        <v>30.764973000000001</v>
      </c>
      <c r="AH71" s="294">
        <v>31.641760000000001</v>
      </c>
      <c r="AI71" s="294">
        <v>31.827915000000001</v>
      </c>
      <c r="AJ71" s="294">
        <v>32.156517000000001</v>
      </c>
      <c r="AK71" s="295">
        <v>-8.0000000000000002E-3</v>
      </c>
    </row>
    <row r="72" spans="1:37" s="269" customFormat="1">
      <c r="A72" s="268" t="s">
        <v>151</v>
      </c>
      <c r="B72" s="349">
        <v>15.605100631713899</v>
      </c>
      <c r="C72" s="349">
        <v>15.522489547729499</v>
      </c>
      <c r="D72" s="349">
        <v>14.950650215148899</v>
      </c>
      <c r="E72" s="349">
        <v>14.7747602462769</v>
      </c>
      <c r="F72" s="350">
        <v>14.2072401046753</v>
      </c>
      <c r="G72" s="315">
        <v>14.3342885971069</v>
      </c>
      <c r="H72" s="315">
        <v>14.411810874939</v>
      </c>
      <c r="I72" s="315">
        <v>14.427806854248001</v>
      </c>
      <c r="J72" s="315">
        <v>14.247616767883301</v>
      </c>
      <c r="K72" s="315">
        <v>14.1760416030884</v>
      </c>
      <c r="L72" s="315">
        <v>14.1692085266113</v>
      </c>
      <c r="M72" s="315">
        <v>14.217811584472701</v>
      </c>
      <c r="N72" s="315">
        <v>14.219580650329601</v>
      </c>
      <c r="O72" s="315">
        <v>14.2103576660156</v>
      </c>
      <c r="P72" s="315">
        <v>14.200039863586399</v>
      </c>
      <c r="Q72" s="315">
        <v>14.1303453445435</v>
      </c>
      <c r="R72" s="315">
        <v>14.095740318298301</v>
      </c>
      <c r="S72" s="315">
        <v>14.0861167907715</v>
      </c>
      <c r="T72" s="315">
        <v>14.1125946044922</v>
      </c>
      <c r="U72" s="315">
        <v>14.163477897644</v>
      </c>
      <c r="V72" s="315">
        <v>14.242433547973601</v>
      </c>
      <c r="W72" s="315">
        <v>14.2973442077637</v>
      </c>
      <c r="X72" s="315">
        <v>14.4011936187744</v>
      </c>
      <c r="Y72" s="315">
        <v>14.4425506591797</v>
      </c>
      <c r="Z72" s="315">
        <v>14.573932647705099</v>
      </c>
      <c r="AA72" s="315"/>
      <c r="AB72" s="315"/>
      <c r="AC72" s="315"/>
      <c r="AD72" s="315"/>
      <c r="AE72" s="315"/>
      <c r="AF72" s="315"/>
      <c r="AG72" s="315"/>
      <c r="AH72" s="315"/>
      <c r="AI72" s="315"/>
      <c r="AJ72" s="315"/>
      <c r="AK72" s="316">
        <v>-2.73776054382324E-3</v>
      </c>
    </row>
    <row r="73" spans="1:37">
      <c r="A73" s="6" t="s">
        <v>150</v>
      </c>
    </row>
    <row r="74" spans="1:37">
      <c r="A74" s="6" t="s">
        <v>594</v>
      </c>
      <c r="B74" s="349">
        <v>272.80218505859398</v>
      </c>
      <c r="C74" s="349">
        <v>280.12564086914102</v>
      </c>
      <c r="D74" s="349">
        <v>321.28717041015602</v>
      </c>
      <c r="E74" s="349">
        <v>195.51596069335901</v>
      </c>
      <c r="F74" s="350">
        <v>246.62348937988301</v>
      </c>
      <c r="G74" s="294">
        <v>494.73007200000001</v>
      </c>
      <c r="H74" s="294">
        <v>313.70205700000002</v>
      </c>
      <c r="I74" s="294">
        <v>257.058716</v>
      </c>
      <c r="J74" s="294">
        <v>219.518845</v>
      </c>
      <c r="K74" s="294">
        <v>213.13346899999999</v>
      </c>
      <c r="L74" s="294">
        <v>192.04028299999999</v>
      </c>
      <c r="M74" s="294">
        <v>190.19305399999999</v>
      </c>
      <c r="N74" s="294">
        <v>190.97583</v>
      </c>
      <c r="O74" s="294">
        <v>193.05748</v>
      </c>
      <c r="P74" s="294">
        <v>198.85289</v>
      </c>
      <c r="Q74" s="294">
        <v>207.326324</v>
      </c>
      <c r="R74" s="294">
        <v>214.50224299999999</v>
      </c>
      <c r="S74" s="294">
        <v>220.992096</v>
      </c>
      <c r="T74" s="294">
        <v>228.38960299999999</v>
      </c>
      <c r="U74" s="294">
        <v>234.269226</v>
      </c>
      <c r="V74" s="294">
        <v>243.98199500000001</v>
      </c>
      <c r="W74" s="294">
        <v>254.790054</v>
      </c>
      <c r="X74" s="294">
        <v>263.61831699999999</v>
      </c>
      <c r="Y74" s="294">
        <v>272.543701</v>
      </c>
      <c r="Z74" s="294">
        <v>278.59802200000001</v>
      </c>
      <c r="AA74" s="294">
        <v>289.04888899999997</v>
      </c>
      <c r="AB74" s="294">
        <v>297.603973</v>
      </c>
      <c r="AC74" s="294">
        <v>305.14331099999998</v>
      </c>
      <c r="AD74" s="294">
        <v>315.75491299999999</v>
      </c>
      <c r="AE74" s="294">
        <v>327.328461</v>
      </c>
      <c r="AF74" s="294">
        <v>338.67947400000003</v>
      </c>
      <c r="AG74" s="294">
        <v>347.810272</v>
      </c>
      <c r="AH74" s="294">
        <v>363.35360700000001</v>
      </c>
      <c r="AI74" s="294">
        <v>372.92919899999998</v>
      </c>
      <c r="AJ74" s="294">
        <v>385.39370700000001</v>
      </c>
      <c r="AK74" s="295">
        <v>7.0000000000000001E-3</v>
      </c>
    </row>
    <row r="78" spans="1:37" s="267" customFormat="1" ht="15" customHeight="1">
      <c r="A78" s="575" t="s">
        <v>595</v>
      </c>
      <c r="B78" s="575"/>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299"/>
      <c r="AH78" s="299"/>
      <c r="AI78" s="299"/>
      <c r="AJ78" s="299"/>
      <c r="AK78" s="299"/>
    </row>
    <row r="79" spans="1:37" customFormat="1" ht="15" customHeight="1">
      <c r="A79" s="576" t="s">
        <v>596</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298"/>
      <c r="AH79" s="298"/>
      <c r="AI79" s="298"/>
      <c r="AJ79" s="298"/>
      <c r="AK79" s="298"/>
    </row>
    <row r="80" spans="1:37" customFormat="1" ht="15" customHeight="1">
      <c r="A80" s="576" t="s">
        <v>597</v>
      </c>
      <c r="B80" s="576"/>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298"/>
      <c r="AH80" s="298"/>
      <c r="AI80" s="298"/>
      <c r="AJ80" s="298"/>
      <c r="AK80" s="298"/>
    </row>
    <row r="81" spans="1:37" customFormat="1" ht="15" customHeight="1">
      <c r="A81" s="576" t="s">
        <v>598</v>
      </c>
      <c r="B81" s="576"/>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298"/>
      <c r="AH81" s="298"/>
      <c r="AI81" s="298"/>
      <c r="AJ81" s="298"/>
      <c r="AK81" s="298"/>
    </row>
    <row r="82" spans="1:37" customFormat="1" ht="15" customHeight="1">
      <c r="A82" s="576" t="s">
        <v>599</v>
      </c>
      <c r="B82" s="576"/>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298"/>
      <c r="AH82" s="298"/>
      <c r="AI82" s="298"/>
      <c r="AJ82" s="298"/>
      <c r="AK82" s="298"/>
    </row>
    <row r="83" spans="1:37" customFormat="1" ht="15" customHeight="1">
      <c r="A83" s="576" t="s">
        <v>600</v>
      </c>
      <c r="B83" s="576"/>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298"/>
      <c r="AH83" s="298"/>
      <c r="AI83" s="298"/>
      <c r="AJ83" s="298"/>
      <c r="AK83" s="298"/>
    </row>
    <row r="84" spans="1:37" customFormat="1" ht="15" customHeight="1">
      <c r="A84" s="576" t="s">
        <v>601</v>
      </c>
      <c r="B84" s="576"/>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298"/>
      <c r="AH84" s="298"/>
      <c r="AI84" s="298"/>
      <c r="AJ84" s="298"/>
      <c r="AK84" s="298"/>
    </row>
    <row r="85" spans="1:37" customFormat="1" ht="15" customHeight="1">
      <c r="A85" s="576" t="s">
        <v>602</v>
      </c>
      <c r="B85" s="576"/>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298"/>
      <c r="AH85" s="298"/>
      <c r="AI85" s="298"/>
      <c r="AJ85" s="298"/>
      <c r="AK85" s="298"/>
    </row>
    <row r="86" spans="1:37" customFormat="1" ht="15" customHeight="1">
      <c r="A86" s="576" t="s">
        <v>603</v>
      </c>
      <c r="B86" s="576"/>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298"/>
      <c r="AH86" s="298"/>
      <c r="AI86" s="298"/>
      <c r="AJ86" s="298"/>
      <c r="AK86" s="298"/>
    </row>
    <row r="87" spans="1:37" customFormat="1" ht="15" customHeight="1">
      <c r="A87" s="576" t="s">
        <v>604</v>
      </c>
      <c r="B87" s="576"/>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298"/>
      <c r="AH87" s="298"/>
      <c r="AI87" s="298"/>
      <c r="AJ87" s="298"/>
      <c r="AK87" s="298"/>
    </row>
    <row r="88" spans="1:37" customFormat="1" ht="15" customHeight="1">
      <c r="A88" s="576" t="s">
        <v>605</v>
      </c>
      <c r="B88" s="576"/>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298"/>
      <c r="AH88" s="298"/>
      <c r="AI88" s="298"/>
      <c r="AJ88" s="298"/>
      <c r="AK88" s="298"/>
    </row>
    <row r="89" spans="1:37" customFormat="1" ht="15" customHeight="1">
      <c r="A89" s="576" t="s">
        <v>606</v>
      </c>
      <c r="B89" s="576"/>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298"/>
      <c r="AH89" s="298"/>
      <c r="AI89" s="298"/>
      <c r="AJ89" s="298"/>
      <c r="AK89" s="298"/>
    </row>
    <row r="90" spans="1:37" customFormat="1" ht="15" customHeight="1">
      <c r="A90" s="576" t="s">
        <v>607</v>
      </c>
      <c r="B90" s="576"/>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298"/>
      <c r="AH90" s="298"/>
      <c r="AI90" s="298"/>
      <c r="AJ90" s="298"/>
      <c r="AK90" s="298"/>
    </row>
    <row r="91" spans="1:37" customFormat="1" ht="15" customHeight="1">
      <c r="A91" s="576" t="s">
        <v>608</v>
      </c>
      <c r="B91" s="576"/>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298"/>
      <c r="AH91" s="298"/>
      <c r="AI91" s="298"/>
      <c r="AJ91" s="298"/>
      <c r="AK91" s="298"/>
    </row>
    <row r="92" spans="1:37" customFormat="1" ht="15" customHeight="1">
      <c r="A92" s="576" t="s">
        <v>609</v>
      </c>
      <c r="B92" s="576"/>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298"/>
      <c r="AH92" s="298"/>
      <c r="AI92" s="298"/>
      <c r="AJ92" s="298"/>
      <c r="AK92" s="298"/>
    </row>
    <row r="93" spans="1:37" customFormat="1" ht="15" customHeight="1">
      <c r="A93" s="576" t="s">
        <v>610</v>
      </c>
      <c r="B93" s="576"/>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298"/>
      <c r="AH93" s="298"/>
      <c r="AI93" s="298"/>
      <c r="AJ93" s="298"/>
      <c r="AK93" s="298"/>
    </row>
    <row r="94" spans="1:37" customFormat="1" ht="15" customHeight="1">
      <c r="A94" s="576" t="s">
        <v>611</v>
      </c>
      <c r="B94" s="576"/>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298"/>
      <c r="AH94" s="298"/>
      <c r="AI94" s="298"/>
      <c r="AJ94" s="298"/>
      <c r="AK94" s="298"/>
    </row>
    <row r="95" spans="1:37" customFormat="1" ht="15" customHeight="1">
      <c r="A95" s="576" t="s">
        <v>612</v>
      </c>
      <c r="B95" s="576"/>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298"/>
      <c r="AH95" s="298"/>
      <c r="AI95" s="298"/>
      <c r="AJ95" s="298"/>
      <c r="AK95" s="298"/>
    </row>
    <row r="96" spans="1:37" customFormat="1" ht="15" customHeight="1">
      <c r="A96" s="576" t="s">
        <v>613</v>
      </c>
      <c r="B96" s="576"/>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298"/>
      <c r="AH96" s="298"/>
      <c r="AI96" s="298"/>
      <c r="AJ96" s="298"/>
      <c r="AK96" s="298"/>
    </row>
    <row r="97" spans="1:37" customFormat="1" ht="15" customHeight="1">
      <c r="A97" s="576" t="s">
        <v>614</v>
      </c>
      <c r="B97" s="576"/>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298"/>
      <c r="AH97" s="298"/>
      <c r="AI97" s="298"/>
      <c r="AJ97" s="298"/>
      <c r="AK97" s="298"/>
    </row>
    <row r="98" spans="1:37" customFormat="1" ht="15" customHeight="1">
      <c r="A98" s="576" t="s">
        <v>615</v>
      </c>
      <c r="B98" s="576"/>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298"/>
      <c r="AH98" s="298"/>
      <c r="AI98" s="298"/>
      <c r="AJ98" s="298"/>
      <c r="AK98" s="298"/>
    </row>
    <row r="99" spans="1:37" customFormat="1" ht="15" customHeight="1">
      <c r="A99" s="576" t="s">
        <v>616</v>
      </c>
      <c r="B99" s="576"/>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298"/>
      <c r="AH99" s="298"/>
      <c r="AI99" s="298"/>
      <c r="AJ99" s="298"/>
      <c r="AK99" s="298"/>
    </row>
    <row r="100" spans="1:37" customFormat="1" ht="15" customHeight="1">
      <c r="A100" s="576" t="s">
        <v>617</v>
      </c>
      <c r="B100" s="576"/>
      <c r="C100" s="576"/>
      <c r="D100" s="576"/>
      <c r="E100" s="576"/>
      <c r="F100" s="576"/>
      <c r="G100" s="576"/>
      <c r="H100" s="576"/>
      <c r="I100" s="576"/>
      <c r="J100" s="576"/>
      <c r="K100" s="576"/>
      <c r="L100" s="576"/>
      <c r="M100" s="576"/>
      <c r="N100" s="576"/>
      <c r="O100" s="576"/>
      <c r="P100" s="576"/>
      <c r="Q100" s="576"/>
      <c r="R100" s="576"/>
      <c r="S100" s="576"/>
      <c r="T100" s="576"/>
      <c r="U100" s="576"/>
      <c r="V100" s="576"/>
      <c r="W100" s="576"/>
      <c r="X100" s="576"/>
      <c r="Y100" s="576"/>
      <c r="Z100" s="576"/>
      <c r="AA100" s="576"/>
      <c r="AB100" s="576"/>
      <c r="AC100" s="576"/>
      <c r="AD100" s="576"/>
      <c r="AE100" s="576"/>
      <c r="AF100" s="576"/>
      <c r="AG100" s="298"/>
      <c r="AH100" s="298"/>
      <c r="AI100" s="298"/>
      <c r="AJ100" s="298"/>
      <c r="AK100" s="298"/>
    </row>
    <row r="101" spans="1:37" customFormat="1" ht="15" customHeight="1">
      <c r="A101" s="576" t="s">
        <v>618</v>
      </c>
      <c r="B101" s="576"/>
      <c r="C101" s="576"/>
      <c r="D101" s="576"/>
      <c r="E101" s="576"/>
      <c r="F101" s="576"/>
      <c r="G101" s="576"/>
      <c r="H101" s="576"/>
      <c r="I101" s="576"/>
      <c r="J101" s="576"/>
      <c r="K101" s="576"/>
      <c r="L101" s="576"/>
      <c r="M101" s="576"/>
      <c r="N101" s="576"/>
      <c r="O101" s="576"/>
      <c r="P101" s="576"/>
      <c r="Q101" s="576"/>
      <c r="R101" s="576"/>
      <c r="S101" s="576"/>
      <c r="T101" s="576"/>
      <c r="U101" s="576"/>
      <c r="V101" s="576"/>
      <c r="W101" s="576"/>
      <c r="X101" s="576"/>
      <c r="Y101" s="576"/>
      <c r="Z101" s="576"/>
      <c r="AA101" s="576"/>
      <c r="AB101" s="576"/>
      <c r="AC101" s="576"/>
      <c r="AD101" s="576"/>
      <c r="AE101" s="576"/>
      <c r="AF101" s="576"/>
      <c r="AG101" s="298"/>
      <c r="AH101" s="298"/>
      <c r="AI101" s="298"/>
      <c r="AJ101" s="298"/>
      <c r="AK101" s="298"/>
    </row>
    <row r="102" spans="1:37" customFormat="1" ht="15" customHeight="1">
      <c r="A102" s="576" t="s">
        <v>619</v>
      </c>
      <c r="B102" s="576"/>
      <c r="C102" s="576"/>
      <c r="D102" s="576"/>
      <c r="E102" s="576"/>
      <c r="F102" s="576"/>
      <c r="G102" s="576"/>
      <c r="H102" s="576"/>
      <c r="I102" s="576"/>
      <c r="J102" s="576"/>
      <c r="K102" s="576"/>
      <c r="L102" s="576"/>
      <c r="M102" s="576"/>
      <c r="N102" s="576"/>
      <c r="O102" s="576"/>
      <c r="P102" s="576"/>
      <c r="Q102" s="576"/>
      <c r="R102" s="576"/>
      <c r="S102" s="576"/>
      <c r="T102" s="576"/>
      <c r="U102" s="576"/>
      <c r="V102" s="576"/>
      <c r="W102" s="576"/>
      <c r="X102" s="576"/>
      <c r="Y102" s="576"/>
      <c r="Z102" s="576"/>
      <c r="AA102" s="576"/>
      <c r="AB102" s="576"/>
      <c r="AC102" s="576"/>
      <c r="AD102" s="576"/>
      <c r="AE102" s="576"/>
      <c r="AF102" s="576"/>
      <c r="AG102" s="298"/>
      <c r="AH102" s="298"/>
      <c r="AI102" s="298"/>
      <c r="AJ102" s="298"/>
      <c r="AK102" s="298"/>
    </row>
    <row r="103" spans="1:37" customFormat="1" ht="15" customHeight="1">
      <c r="A103" s="576" t="s">
        <v>620</v>
      </c>
      <c r="B103" s="576"/>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298"/>
      <c r="AH103" s="298"/>
      <c r="AI103" s="298"/>
      <c r="AJ103" s="298"/>
      <c r="AK103" s="298"/>
    </row>
    <row r="104" spans="1:37" customFormat="1" ht="15" customHeight="1">
      <c r="A104" s="576" t="s">
        <v>621</v>
      </c>
      <c r="B104" s="576"/>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298"/>
      <c r="AH104" s="298"/>
      <c r="AI104" s="298"/>
      <c r="AJ104" s="298"/>
      <c r="AK104" s="298"/>
    </row>
    <row r="105" spans="1:37" customFormat="1" ht="15" customHeight="1">
      <c r="A105" s="576" t="s">
        <v>622</v>
      </c>
      <c r="B105" s="576"/>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298"/>
      <c r="AH105" s="298"/>
      <c r="AI105" s="298"/>
      <c r="AJ105" s="298"/>
      <c r="AK105" s="298"/>
    </row>
    <row r="106" spans="1:37" customFormat="1" ht="15" customHeight="1">
      <c r="A106" s="576" t="s">
        <v>623</v>
      </c>
      <c r="B106" s="576"/>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298"/>
      <c r="AH106" s="298"/>
      <c r="AI106" s="298"/>
      <c r="AJ106" s="298"/>
      <c r="AK106" s="298"/>
    </row>
    <row r="107" spans="1:37" customFormat="1" ht="15" customHeight="1">
      <c r="A107" s="576" t="s">
        <v>624</v>
      </c>
      <c r="B107" s="576"/>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298"/>
      <c r="AH107" s="298"/>
      <c r="AI107" s="298"/>
      <c r="AJ107" s="298"/>
      <c r="AK107" s="298"/>
    </row>
    <row r="108" spans="1:37" customFormat="1" ht="15" customHeight="1">
      <c r="A108" s="576" t="s">
        <v>625</v>
      </c>
      <c r="B108" s="576"/>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298"/>
      <c r="AH108" s="298"/>
      <c r="AI108" s="298"/>
      <c r="AJ108" s="298"/>
      <c r="AK108" s="298"/>
    </row>
    <row r="109" spans="1:37" customFormat="1" ht="15" customHeight="1">
      <c r="A109" s="576" t="s">
        <v>626</v>
      </c>
      <c r="B109" s="576"/>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298"/>
      <c r="AH109" s="298"/>
      <c r="AI109" s="298"/>
      <c r="AJ109" s="298"/>
      <c r="AK109" s="298"/>
    </row>
  </sheetData>
  <mergeCells count="32">
    <mergeCell ref="A109:AF109"/>
    <mergeCell ref="A102:AF102"/>
    <mergeCell ref="A103:AF103"/>
    <mergeCell ref="A104:AF104"/>
    <mergeCell ref="A105:AF105"/>
    <mergeCell ref="A106:AF106"/>
    <mergeCell ref="A107:AF107"/>
    <mergeCell ref="A98:AF98"/>
    <mergeCell ref="A99:AF99"/>
    <mergeCell ref="A100:AF100"/>
    <mergeCell ref="A101:AF101"/>
    <mergeCell ref="A108:AF108"/>
    <mergeCell ref="A93:AF93"/>
    <mergeCell ref="A94:AF94"/>
    <mergeCell ref="A95:AF95"/>
    <mergeCell ref="A96:AF96"/>
    <mergeCell ref="A97:AF97"/>
    <mergeCell ref="A88:AF88"/>
    <mergeCell ref="A89:AF89"/>
    <mergeCell ref="A90:AF90"/>
    <mergeCell ref="A91:AF91"/>
    <mergeCell ref="A92:AF92"/>
    <mergeCell ref="A83:AF83"/>
    <mergeCell ref="A84:AF84"/>
    <mergeCell ref="A85:AF85"/>
    <mergeCell ref="A86:AF86"/>
    <mergeCell ref="A87:AF87"/>
    <mergeCell ref="A78:AF78"/>
    <mergeCell ref="A79:AF79"/>
    <mergeCell ref="A80:AF80"/>
    <mergeCell ref="A81:AF81"/>
    <mergeCell ref="A82:AF82"/>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528</v>
      </c>
    </row>
    <row r="4" spans="1:2">
      <c r="A4" t="s">
        <v>551</v>
      </c>
    </row>
    <row r="5" spans="1:2">
      <c r="B5" t="s">
        <v>527</v>
      </c>
    </row>
    <row r="7" spans="1:2">
      <c r="A7" t="s">
        <v>714</v>
      </c>
    </row>
    <row r="9" spans="1:2">
      <c r="A9" t="s">
        <v>526</v>
      </c>
    </row>
    <row r="10" spans="1:2">
      <c r="B10" t="s">
        <v>520</v>
      </c>
    </row>
    <row r="12" spans="1:2">
      <c r="A12" t="s">
        <v>708</v>
      </c>
    </row>
    <row r="14" spans="1:2">
      <c r="A14" t="s">
        <v>519</v>
      </c>
    </row>
    <row r="15" spans="1:2">
      <c r="B15" t="s">
        <v>521</v>
      </c>
    </row>
    <row r="17" spans="1:1">
      <c r="A17" t="s">
        <v>524</v>
      </c>
    </row>
    <row r="19" spans="1:1">
      <c r="A19" t="s">
        <v>525</v>
      </c>
    </row>
    <row r="21" spans="1:1">
      <c r="A21" t="s">
        <v>550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125" zoomScaleNormal="125" zoomScalePageLayoutView="125" workbookViewId="0">
      <pane xSplit="2" ySplit="3" topLeftCell="H140" activePane="bottomRight" state="frozen"/>
      <selection activeCell="A10" sqref="A10"/>
      <selection pane="topRight" activeCell="C10" sqref="C10"/>
      <selection pane="bottomLeft" activeCell="A13" sqref="A13"/>
      <selection pane="bottomRight" activeCell="N185" sqref="N185"/>
    </sheetView>
  </sheetViews>
  <sheetFormatPr baseColWidth="10" defaultColWidth="8.83203125" defaultRowHeight="14" x14ac:dyDescent="0"/>
  <cols>
    <col min="1" max="1" width="43.83203125" customWidth="1"/>
    <col min="2" max="2" width="5.1640625" style="33" hidden="1" customWidth="1"/>
    <col min="3" max="5" width="11.1640625" style="328" customWidth="1"/>
    <col min="6" max="6" width="17" style="328" customWidth="1"/>
    <col min="7" max="7" width="15.5" style="328" customWidth="1"/>
    <col min="8" max="8" width="16.1640625" style="400"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6"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3"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1" customWidth="1"/>
    <col min="35" max="35" width="20.6640625" bestFit="1" customWidth="1"/>
    <col min="36" max="36" width="15.33203125" bestFit="1" customWidth="1"/>
    <col min="37" max="37" width="13.33203125" bestFit="1" customWidth="1"/>
    <col min="38" max="38" width="13.83203125" customWidth="1"/>
  </cols>
  <sheetData>
    <row r="1" spans="1:38" hidden="1">
      <c r="A1" s="542"/>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row>
    <row r="2" spans="1:38" hidden="1">
      <c r="A2" s="542"/>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38" hidden="1">
      <c r="A3" s="542"/>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row>
    <row r="4" spans="1:38" hidden="1">
      <c r="A4" s="542"/>
      <c r="B4" s="542"/>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2"/>
      <c r="AC4" s="542"/>
      <c r="AD4" s="542"/>
      <c r="AE4" s="542"/>
      <c r="AF4" s="542"/>
      <c r="AG4" s="542"/>
      <c r="AH4" s="542"/>
      <c r="AI4" s="542"/>
      <c r="AJ4" s="542"/>
      <c r="AK4" s="542"/>
      <c r="AL4" s="542"/>
    </row>
    <row r="5" spans="1:38" hidden="1">
      <c r="A5" s="542"/>
      <c r="B5" s="542"/>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row>
    <row r="6" spans="1:38" hidden="1">
      <c r="A6" s="542"/>
      <c r="B6" s="542"/>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2"/>
      <c r="AL6" s="542"/>
    </row>
    <row r="7" spans="1:38" ht="23.25" hidden="1" customHeight="1">
      <c r="A7" s="542"/>
      <c r="B7" s="542"/>
      <c r="C7" s="542"/>
      <c r="D7" s="542"/>
      <c r="E7" s="542"/>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c r="AG7" s="542"/>
      <c r="AH7" s="542"/>
      <c r="AI7" s="542"/>
      <c r="AJ7" s="542"/>
      <c r="AK7" s="542"/>
      <c r="AL7" s="542"/>
    </row>
    <row r="8" spans="1:38" s="160" customFormat="1" ht="15.75" hidden="1" customHeight="1">
      <c r="A8" s="542"/>
      <c r="B8" s="542"/>
      <c r="C8" s="542"/>
      <c r="D8" s="542"/>
      <c r="E8" s="542"/>
      <c r="F8" s="542"/>
      <c r="G8" s="542"/>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L8" s="542"/>
    </row>
    <row r="9" spans="1:38" ht="21" hidden="1" customHeight="1">
      <c r="A9" s="542"/>
      <c r="B9" s="542"/>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row>
    <row r="10" spans="1:38">
      <c r="A10" t="s">
        <v>188</v>
      </c>
      <c r="B10" s="33" t="s">
        <v>127</v>
      </c>
      <c r="Y10" s="20"/>
      <c r="Z10" s="20"/>
      <c r="AA10" s="20"/>
      <c r="AB10" s="20"/>
      <c r="AC10" s="20"/>
      <c r="AD10" s="20"/>
      <c r="AE10" s="20"/>
      <c r="AF10" s="20"/>
      <c r="AG10" s="20"/>
      <c r="AH10" s="280"/>
    </row>
    <row r="11" spans="1:38" s="1" customFormat="1">
      <c r="B11" s="13"/>
      <c r="C11" s="329">
        <v>2009</v>
      </c>
      <c r="D11" s="329">
        <v>2010</v>
      </c>
      <c r="E11" s="329">
        <v>2011</v>
      </c>
      <c r="F11" s="329">
        <v>2012</v>
      </c>
      <c r="G11" s="329">
        <v>2013</v>
      </c>
      <c r="H11" s="401">
        <v>2014</v>
      </c>
      <c r="I11" s="13">
        <v>2015</v>
      </c>
      <c r="J11" s="13">
        <v>2016</v>
      </c>
      <c r="K11" s="13">
        <v>2017</v>
      </c>
      <c r="L11" s="13">
        <v>2018</v>
      </c>
      <c r="M11" s="13">
        <v>2019</v>
      </c>
      <c r="N11" s="177">
        <v>2020</v>
      </c>
      <c r="O11" s="13">
        <v>2021</v>
      </c>
      <c r="P11" s="13">
        <v>2022</v>
      </c>
      <c r="Q11" s="13">
        <v>2023</v>
      </c>
      <c r="R11" s="13">
        <v>2024</v>
      </c>
      <c r="S11" s="13">
        <v>2025</v>
      </c>
      <c r="T11" s="13">
        <v>2026</v>
      </c>
      <c r="U11" s="13">
        <v>2027</v>
      </c>
      <c r="V11" s="13">
        <v>2028</v>
      </c>
      <c r="W11" s="13">
        <v>2029</v>
      </c>
      <c r="X11" s="177">
        <v>2030</v>
      </c>
      <c r="Y11" s="13">
        <v>2031</v>
      </c>
      <c r="Z11" s="13">
        <v>2032</v>
      </c>
      <c r="AA11" s="13">
        <v>2033</v>
      </c>
      <c r="AB11" s="13">
        <v>2034</v>
      </c>
      <c r="AC11" s="13">
        <v>2035</v>
      </c>
      <c r="AD11" s="13">
        <v>2036</v>
      </c>
      <c r="AE11" s="13">
        <v>2037</v>
      </c>
      <c r="AF11" s="13">
        <v>2038</v>
      </c>
      <c r="AG11" s="13">
        <v>2039</v>
      </c>
      <c r="AH11" s="177">
        <v>2040</v>
      </c>
      <c r="AJ11" s="167">
        <v>1.0299073916679518E-2</v>
      </c>
      <c r="AK11" s="168">
        <f>AJ11/2</f>
        <v>5.1495369583397588E-3</v>
      </c>
    </row>
    <row r="12" spans="1:38" s="1" customFormat="1">
      <c r="A12" s="1" t="s">
        <v>62</v>
      </c>
      <c r="B12" s="33"/>
      <c r="C12" s="329"/>
      <c r="D12" s="329"/>
      <c r="E12" s="329"/>
      <c r="F12" s="329"/>
      <c r="G12" s="329"/>
      <c r="H12" s="401"/>
      <c r="I12" s="13"/>
      <c r="J12" s="13"/>
      <c r="K12" s="13"/>
      <c r="L12" s="13"/>
      <c r="M12" s="13"/>
      <c r="N12" s="176"/>
      <c r="O12" s="13"/>
      <c r="P12" s="13"/>
      <c r="Q12" s="13"/>
      <c r="R12" s="13"/>
      <c r="S12" s="13"/>
      <c r="T12" s="13"/>
      <c r="U12" s="13"/>
      <c r="V12" s="13"/>
      <c r="W12" s="13"/>
      <c r="X12" s="177"/>
      <c r="Y12" s="20"/>
      <c r="Z12" s="20"/>
      <c r="AA12" s="20"/>
      <c r="AB12" s="20"/>
      <c r="AC12" s="20"/>
      <c r="AD12" s="20"/>
      <c r="AE12" s="20"/>
      <c r="AF12" s="20"/>
      <c r="AG12" s="20"/>
      <c r="AH12" s="280"/>
    </row>
    <row r="13" spans="1:38" s="20" customFormat="1">
      <c r="A13" s="20" t="s">
        <v>130</v>
      </c>
      <c r="B13" s="33"/>
      <c r="C13" s="331">
        <f>EIA_electricity_aeo2014!E58*1000</f>
        <v>16349</v>
      </c>
      <c r="D13" s="331">
        <f>EIA_electricity_aeo2014!F58*1000</f>
        <v>17019.000000000004</v>
      </c>
      <c r="E13" s="331">
        <f>EIA_electricity_aeo2014!G58*1000</f>
        <v>17320.490668733768</v>
      </c>
      <c r="F13" s="331">
        <f>EIA_electricity_aeo2014!H58*1000</f>
        <v>16827.296644148726</v>
      </c>
      <c r="G13" s="331">
        <f>EIA_electricity_aeo2014!I58*1000</f>
        <v>16753.342779350973</v>
      </c>
      <c r="H13" s="287">
        <f>EIA_electricity_aeo2014!J58*1000</f>
        <v>17285.819096954205</v>
      </c>
      <c r="I13" s="83">
        <f>EIA_electricity_aeo2014!K58*1000</f>
        <v>19369.686283610947</v>
      </c>
      <c r="J13" s="83">
        <f>EIA_electricity_aeo2014!L58*1000</f>
        <v>21412.998500275411</v>
      </c>
      <c r="K13" s="83">
        <f>EIA_electricity_aeo2014!M58*1000</f>
        <v>21740.657951900652</v>
      </c>
      <c r="L13" s="83">
        <f>EIA_electricity_aeo2014!N58*1000</f>
        <v>21863.838997605097</v>
      </c>
      <c r="M13" s="83">
        <f>EIA_electricity_aeo2014!O58*1000</f>
        <v>21918.704700106471</v>
      </c>
      <c r="N13" s="178">
        <f>EIA_electricity_aeo2014!P58*1000</f>
        <v>21819.860933769625</v>
      </c>
      <c r="O13" s="83">
        <f>EIA_electricity_aeo2014!Q58*1000</f>
        <v>21959.906553067001</v>
      </c>
      <c r="P13" s="83">
        <f>EIA_electricity_aeo2014!R58*1000</f>
        <v>21730.375907619571</v>
      </c>
      <c r="Q13" s="83">
        <f>EIA_electricity_aeo2014!S58*1000</f>
        <v>21752.63719995998</v>
      </c>
      <c r="R13" s="83">
        <f>EIA_electricity_aeo2014!T58*1000</f>
        <v>21734.767306361908</v>
      </c>
      <c r="S13" s="83">
        <f>EIA_electricity_aeo2014!U58*1000</f>
        <v>21745.541626875125</v>
      </c>
      <c r="T13" s="83">
        <f>EIA_electricity_aeo2014!V58*1000</f>
        <v>21573.540020329237</v>
      </c>
      <c r="U13" s="83">
        <f>EIA_electricity_aeo2014!W58*1000</f>
        <v>21441.981939526206</v>
      </c>
      <c r="V13" s="83">
        <f>EIA_electricity_aeo2014!X58*1000</f>
        <v>21784.071907559421</v>
      </c>
      <c r="W13" s="83">
        <f>EIA_electricity_aeo2014!Y58*1000</f>
        <v>21576.102084968676</v>
      </c>
      <c r="X13" s="185">
        <f>EIA_electricity_aeo2014!Z58*1000</f>
        <v>21753.750208834979</v>
      </c>
      <c r="Y13" s="175">
        <f>EIA_electricity_aeo2014!AA58*1000</f>
        <v>21951.455096787271</v>
      </c>
      <c r="Z13" s="175">
        <f>EIA_electricity_aeo2014!AB58*1000</f>
        <v>22209.205994831067</v>
      </c>
      <c r="AA13" s="175">
        <f>EIA_electricity_aeo2014!AC58*1000</f>
        <v>22564.151684434066</v>
      </c>
      <c r="AB13" s="175">
        <f>EIA_electricity_aeo2014!AD58*1000</f>
        <v>22833.401749024011</v>
      </c>
      <c r="AC13" s="175">
        <f>EIA_electricity_aeo2014!AE58*1000</f>
        <v>22825.611997700878</v>
      </c>
      <c r="AD13" s="175">
        <f>EIA_electricity_aeo2014!AF58*1000</f>
        <v>23095.706030680692</v>
      </c>
      <c r="AE13" s="175">
        <f>EIA_electricity_aeo2014!AG58*1000</f>
        <v>23350.078882931863</v>
      </c>
      <c r="AF13" s="175">
        <f>EIA_electricity_aeo2014!AH58*1000</f>
        <v>23293.535384709125</v>
      </c>
      <c r="AG13" s="175">
        <f>EIA_electricity_aeo2014!AI58*1000</f>
        <v>23304.216890486099</v>
      </c>
      <c r="AH13" s="185">
        <f>EIA_electricity_aeo2014!AJ58*1000</f>
        <v>23191.594218460948</v>
      </c>
      <c r="AI13" s="115">
        <f>X13/C13-1</f>
        <v>0.33058598133433104</v>
      </c>
      <c r="AJ13" s="166">
        <f>(1+AJ11)^21-1</f>
        <v>0.24007814276920247</v>
      </c>
      <c r="AK13" s="169">
        <f>(1+AK11)^21-1</f>
        <v>0.11389489977934208</v>
      </c>
      <c r="AL13" s="121"/>
    </row>
    <row r="14" spans="1:38" s="20" customFormat="1">
      <c r="A14" s="20" t="s">
        <v>131</v>
      </c>
      <c r="B14" s="33"/>
      <c r="C14" s="331">
        <f>EIA_electricity_aeo2014!E58 * 1000</f>
        <v>16349</v>
      </c>
      <c r="D14" s="331">
        <f>IF(Inputs!$C$7="BAU",'Output -Jobs vs Yr'!D13,C14+($X$14-$C$14)/($X$11-$C$11) )</f>
        <v>17019.000000000004</v>
      </c>
      <c r="E14" s="331">
        <f>IF(Inputs!$C$7="BAU",'Output -Jobs vs Yr'!E13,D14+($X$14-$C$14)/($X$11-$C$11) )</f>
        <v>17320.490668733768</v>
      </c>
      <c r="F14" s="331">
        <f>IF(Inputs!$C$7="BAU",'Output -Jobs vs Yr'!F13,E14+($X$14-$C$14)/($X$11-$C$11) )</f>
        <v>16827.296644148726</v>
      </c>
      <c r="G14" s="331">
        <f>IF(Inputs!$C$7="BAU",'Output -Jobs vs Yr'!G13,F14+($X$14-$C$14)/($X$11-$C$11) )</f>
        <v>16753.342779350973</v>
      </c>
      <c r="H14" s="287">
        <f>EIA_electricity_aeo2014!J58*1000</f>
        <v>17285.819096954205</v>
      </c>
      <c r="I14" s="83">
        <f>IF(Inputs!$C$7="BAU",'Output -Jobs vs Yr'!I13,H14+($X$14-$C$14)/($X$11-$C$11) )</f>
        <v>19369.686283610947</v>
      </c>
      <c r="J14" s="83">
        <f>IF(Inputs!$C$7="BAU",'Output -Jobs vs Yr'!J13,I14+($X$14-$C$14)/($X$11-$C$11) )</f>
        <v>21412.998500275411</v>
      </c>
      <c r="K14" s="83">
        <f>IF(Inputs!$C$7="BAU",'Output -Jobs vs Yr'!K13,J14+($X$14-$C$14)/($X$11-$C$11) )</f>
        <v>21740.657951900652</v>
      </c>
      <c r="L14" s="83">
        <f>IF(Inputs!$C$7="BAU",'Output -Jobs vs Yr'!L13,K14+($X$14-$C$14)/($X$11-$C$11) )</f>
        <v>21863.838997605097</v>
      </c>
      <c r="M14" s="83">
        <f>IF(Inputs!$C$7="BAU",'Output -Jobs vs Yr'!M13,L14+($X$14-$C$14)/($X$11-$C$11) )</f>
        <v>21918.704700106471</v>
      </c>
      <c r="N14" s="178">
        <f>IF(Inputs!$C$7="BAU",'Output -Jobs vs Yr'!N13,M14+($X$14-$C$14)/($X$11-$C$11) )</f>
        <v>21819.860933769625</v>
      </c>
      <c r="O14" s="83">
        <f>IF(Inputs!$C$7="BAU",'Output -Jobs vs Yr'!O13,N14+($X$14-$C$14)/($X$11-$C$11) )</f>
        <v>21959.906553067001</v>
      </c>
      <c r="P14" s="83">
        <f>IF(Inputs!$C$7="BAU",'Output -Jobs vs Yr'!P13,O14+($X$14-$C$14)/($X$11-$C$11) )</f>
        <v>21730.375907619571</v>
      </c>
      <c r="Q14" s="83">
        <f>IF(Inputs!$C$7="BAU",'Output -Jobs vs Yr'!Q13,P14+($X$14-$C$14)/($X$11-$C$11) )</f>
        <v>21752.63719995998</v>
      </c>
      <c r="R14" s="83">
        <f>IF(Inputs!$C$7="BAU",'Output -Jobs vs Yr'!R13,Q14+($X$14-$C$14)/($X$11-$C$11) )</f>
        <v>21734.767306361908</v>
      </c>
      <c r="S14" s="83">
        <f>IF(Inputs!$C$7="BAU",'Output -Jobs vs Yr'!S13,R14+($X$14-$C$14)/($X$11-$C$11) )</f>
        <v>21745.541626875125</v>
      </c>
      <c r="T14" s="83">
        <f>IF(Inputs!$C$7="BAU",'Output -Jobs vs Yr'!T13,S14+($X$14-$C$14)/($X$11-$C$11) )</f>
        <v>21573.540020329237</v>
      </c>
      <c r="U14" s="83">
        <f>IF(Inputs!$C$7="BAU",'Output -Jobs vs Yr'!U13,T14+($X$14-$C$14)/($X$11-$C$11) )</f>
        <v>21441.981939526206</v>
      </c>
      <c r="V14" s="83">
        <f>IF(Inputs!$C$7="BAU",'Output -Jobs vs Yr'!V13,U14+($X$14-$C$14)/($X$11-$C$11) )</f>
        <v>21784.071907559421</v>
      </c>
      <c r="W14" s="83">
        <f>IF(Inputs!$C$7="BAU",'Output -Jobs vs Yr'!W13,V14+($X$14-$C$14)/($X$11-$C$11) )</f>
        <v>21576.102084968676</v>
      </c>
      <c r="X14" s="185">
        <f>IF(Inputs!$C$7="BAU",'Output -Jobs vs Yr'!X13,C14*(1+Inputs!C7) )</f>
        <v>21753.750208834979</v>
      </c>
      <c r="Y14" s="175">
        <f>IF(Inputs!$C$7="BAU",'Output -Jobs vs Yr'!Y13,D14*(1+Inputs!D7) )</f>
        <v>21951.455096787271</v>
      </c>
      <c r="Z14" s="175">
        <f>IF(Inputs!$C$7="BAU",'Output -Jobs vs Yr'!Z13,E14*(1+Inputs!E7) )</f>
        <v>22209.205994831067</v>
      </c>
      <c r="AA14" s="175">
        <f>IF(Inputs!$C$7="BAU",'Output -Jobs vs Yr'!AA13,F14*(1+Inputs!F7) )</f>
        <v>22564.151684434066</v>
      </c>
      <c r="AB14" s="175">
        <f>IF(Inputs!$C$7="BAU",'Output -Jobs vs Yr'!AB13,G14*(1+Inputs!G7) )</f>
        <v>22833.401749024011</v>
      </c>
      <c r="AC14" s="175">
        <f>IF(Inputs!$C$7="BAU",'Output -Jobs vs Yr'!AC13,H14*(1+Inputs!H7) )</f>
        <v>22825.611997700878</v>
      </c>
      <c r="AD14" s="175">
        <f>IF(Inputs!$C$7="BAU",'Output -Jobs vs Yr'!AD13,I14*(1+Inputs!L7) )</f>
        <v>23095.706030680692</v>
      </c>
      <c r="AE14" s="175">
        <f>IF(Inputs!$C$7="BAU",'Output -Jobs vs Yr'!AE13,J14*(1+Inputs!M7) )</f>
        <v>23350.078882931863</v>
      </c>
      <c r="AF14" s="175">
        <f>IF(Inputs!$C$7="BAU",'Output -Jobs vs Yr'!AF13,K14*(1+Inputs!N7) )</f>
        <v>23293.535384709125</v>
      </c>
      <c r="AG14" s="175">
        <f>IF(Inputs!$C$7="BAU",'Output -Jobs vs Yr'!AG13,L14*(1+Inputs!O7) )</f>
        <v>23304.216890486099</v>
      </c>
      <c r="AH14" s="185">
        <f>IF(Inputs!$C$7="BAU",'Output -Jobs vs Yr'!AH13,M14*(1+Inputs!P7) )</f>
        <v>23191.594218460948</v>
      </c>
      <c r="AI14" s="99"/>
      <c r="AJ14" s="166" t="s">
        <v>0</v>
      </c>
      <c r="AK14" s="30" t="s">
        <v>0</v>
      </c>
      <c r="AL14" s="121"/>
    </row>
    <row r="15" spans="1:38" s="20" customFormat="1">
      <c r="A15" s="20" t="s">
        <v>208</v>
      </c>
      <c r="B15" s="33"/>
      <c r="C15" s="331">
        <f>C14-C13</f>
        <v>0</v>
      </c>
      <c r="D15" s="331">
        <f>D13-D14</f>
        <v>0</v>
      </c>
      <c r="E15" s="331">
        <f t="shared" ref="E15:AH15" si="0">E13-E14</f>
        <v>0</v>
      </c>
      <c r="F15" s="331">
        <f t="shared" si="0"/>
        <v>0</v>
      </c>
      <c r="G15" s="331">
        <f t="shared" si="0"/>
        <v>0</v>
      </c>
      <c r="H15" s="287">
        <f t="shared" si="0"/>
        <v>0</v>
      </c>
      <c r="I15" s="83">
        <f t="shared" si="0"/>
        <v>0</v>
      </c>
      <c r="J15" s="83">
        <f t="shared" si="0"/>
        <v>0</v>
      </c>
      <c r="K15" s="83">
        <f t="shared" si="0"/>
        <v>0</v>
      </c>
      <c r="L15" s="83">
        <f t="shared" si="0"/>
        <v>0</v>
      </c>
      <c r="M15" s="83">
        <f t="shared" si="0"/>
        <v>0</v>
      </c>
      <c r="N15" s="178">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5">
        <f t="shared" si="0"/>
        <v>0</v>
      </c>
      <c r="Y15" s="175">
        <f t="shared" si="0"/>
        <v>0</v>
      </c>
      <c r="Z15" s="175">
        <f t="shared" si="0"/>
        <v>0</v>
      </c>
      <c r="AA15" s="175">
        <f t="shared" si="0"/>
        <v>0</v>
      </c>
      <c r="AB15" s="175">
        <f t="shared" si="0"/>
        <v>0</v>
      </c>
      <c r="AC15" s="175">
        <f t="shared" si="0"/>
        <v>0</v>
      </c>
      <c r="AD15" s="175">
        <f t="shared" si="0"/>
        <v>0</v>
      </c>
      <c r="AE15" s="175">
        <f t="shared" si="0"/>
        <v>0</v>
      </c>
      <c r="AF15" s="175">
        <f t="shared" si="0"/>
        <v>0</v>
      </c>
      <c r="AG15" s="175">
        <f t="shared" si="0"/>
        <v>0</v>
      </c>
      <c r="AH15" s="185">
        <f t="shared" si="0"/>
        <v>0</v>
      </c>
      <c r="AI15" s="120"/>
      <c r="AJ15" s="122"/>
      <c r="AK15" s="30"/>
      <c r="AL15" s="123"/>
    </row>
    <row r="16" spans="1:38" s="380" customFormat="1">
      <c r="A16" s="380" t="s">
        <v>123</v>
      </c>
      <c r="B16" s="381"/>
      <c r="C16" s="382">
        <f t="shared" ref="C16:M16" si="1">C95</f>
        <v>0.26842498012110833</v>
      </c>
      <c r="D16" s="382">
        <f t="shared" si="1"/>
        <v>0.29566815551771175</v>
      </c>
      <c r="E16" s="382">
        <f t="shared" si="1"/>
        <v>0.3174093508008527</v>
      </c>
      <c r="F16" s="382">
        <f t="shared" si="1"/>
        <v>0.35398632585722889</v>
      </c>
      <c r="G16" s="382">
        <f t="shared" si="1"/>
        <v>0.40973579758843098</v>
      </c>
      <c r="H16" s="382">
        <f t="shared" si="1"/>
        <v>0.30562796778344875</v>
      </c>
      <c r="I16" s="382">
        <f t="shared" si="1"/>
        <v>0.42205615536980778</v>
      </c>
      <c r="J16" s="382">
        <f t="shared" si="1"/>
        <v>0.4873183641898694</v>
      </c>
      <c r="K16" s="382">
        <f t="shared" si="1"/>
        <v>0.4998030248047623</v>
      </c>
      <c r="L16" s="382">
        <f t="shared" si="1"/>
        <v>0.51559824080484606</v>
      </c>
      <c r="M16" s="382">
        <f t="shared" si="1"/>
        <v>0.54399321516193244</v>
      </c>
      <c r="N16" s="382">
        <f>Inputs!C11</f>
        <v>0.62</v>
      </c>
      <c r="O16" s="382">
        <f t="shared" ref="O16:W16" si="2">O95</f>
        <v>0.6251916064739127</v>
      </c>
      <c r="P16" s="382">
        <f t="shared" si="2"/>
        <v>0.63010636448447377</v>
      </c>
      <c r="Q16" s="382">
        <f t="shared" si="2"/>
        <v>0.63505468150465727</v>
      </c>
      <c r="R16" s="382">
        <f t="shared" si="2"/>
        <v>0.64004201099484348</v>
      </c>
      <c r="S16" s="382">
        <f t="shared" si="2"/>
        <v>0.64506715902788736</v>
      </c>
      <c r="T16" s="382">
        <f t="shared" si="2"/>
        <v>0.65013609374529768</v>
      </c>
      <c r="U16" s="382">
        <f t="shared" si="2"/>
        <v>0.65524368184000692</v>
      </c>
      <c r="V16" s="382">
        <f t="shared" si="2"/>
        <v>0.66037596268670073</v>
      </c>
      <c r="W16" s="382">
        <f t="shared" si="2"/>
        <v>0.6655652586832661</v>
      </c>
      <c r="X16" s="383">
        <f>Inputs!C12</f>
        <v>0.67</v>
      </c>
      <c r="Y16" s="384">
        <f>Y95</f>
        <v>0.67376120385654348</v>
      </c>
      <c r="Z16" s="384">
        <f t="shared" ref="Z16:AG16" si="3">Z95</f>
        <v>0.67675083794667712</v>
      </c>
      <c r="AA16" s="384">
        <f t="shared" si="3"/>
        <v>0.67974879097774221</v>
      </c>
      <c r="AB16" s="384">
        <f t="shared" si="3"/>
        <v>0.68276225211040698</v>
      </c>
      <c r="AC16" s="384">
        <f t="shared" si="3"/>
        <v>0.68579957630946253</v>
      </c>
      <c r="AD16" s="384">
        <f t="shared" si="3"/>
        <v>0.68883794249301278</v>
      </c>
      <c r="AE16" s="384">
        <f t="shared" si="3"/>
        <v>0.69188945725841233</v>
      </c>
      <c r="AF16" s="384">
        <f t="shared" si="3"/>
        <v>0.69496767508646395</v>
      </c>
      <c r="AG16" s="384">
        <f t="shared" si="3"/>
        <v>0.69805619987401513</v>
      </c>
      <c r="AH16" s="383">
        <f>Inputs!C13</f>
        <v>0.7</v>
      </c>
      <c r="AI16" s="385" t="s">
        <v>0</v>
      </c>
      <c r="AJ16" s="386"/>
      <c r="AK16" s="387"/>
      <c r="AL16" s="388"/>
    </row>
    <row r="17" spans="1:37" s="282" customFormat="1">
      <c r="A17" s="282" t="s">
        <v>115</v>
      </c>
      <c r="B17" s="283"/>
      <c r="C17" s="338"/>
      <c r="D17" s="333">
        <f>D16/C16-1</f>
        <v>0.10149269782682602</v>
      </c>
      <c r="E17" s="333">
        <f t="shared" ref="E17:M17" si="4">E16/D16-1</f>
        <v>7.3532420984168345E-2</v>
      </c>
      <c r="F17" s="333">
        <f t="shared" si="4"/>
        <v>0.11523597198409297</v>
      </c>
      <c r="G17" s="333">
        <f t="shared" si="4"/>
        <v>0.15749046688794177</v>
      </c>
      <c r="H17" s="285"/>
      <c r="I17" s="285">
        <f t="shared" si="4"/>
        <v>0.38094742582214747</v>
      </c>
      <c r="J17" s="285">
        <f t="shared" si="4"/>
        <v>0.15462920748751685</v>
      </c>
      <c r="K17" s="285">
        <f t="shared" si="4"/>
        <v>2.5619105562844302E-2</v>
      </c>
      <c r="L17" s="285">
        <f t="shared" si="4"/>
        <v>3.1602881967858876E-2</v>
      </c>
      <c r="M17" s="285">
        <f t="shared" si="4"/>
        <v>5.5071899222856047E-2</v>
      </c>
      <c r="N17" s="285">
        <f>N16/M16-1</f>
        <v>0.13972009708878885</v>
      </c>
      <c r="O17" s="285">
        <f>O16/N16-1</f>
        <v>8.3735588288913476E-3</v>
      </c>
      <c r="P17" s="285">
        <f t="shared" ref="P17:X17" si="5">P16/O16-1</f>
        <v>7.8612028051374683E-3</v>
      </c>
      <c r="Q17" s="285">
        <f t="shared" si="5"/>
        <v>7.8531455942871808E-3</v>
      </c>
      <c r="R17" s="285">
        <f t="shared" si="5"/>
        <v>7.853385913744626E-3</v>
      </c>
      <c r="S17" s="285">
        <f t="shared" si="5"/>
        <v>7.8512784266038249E-3</v>
      </c>
      <c r="T17" s="285">
        <f t="shared" si="5"/>
        <v>7.8579953210595743E-3</v>
      </c>
      <c r="U17" s="285">
        <f t="shared" si="5"/>
        <v>7.8561829497658664E-3</v>
      </c>
      <c r="V17" s="285">
        <f t="shared" si="5"/>
        <v>7.8326292781363271E-3</v>
      </c>
      <c r="W17" s="285">
        <f t="shared" si="5"/>
        <v>7.8580934040255457E-3</v>
      </c>
      <c r="X17" s="284">
        <f t="shared" si="5"/>
        <v>6.6631201957678687E-3</v>
      </c>
      <c r="Y17" s="289">
        <v>2.9000000000000001E-2</v>
      </c>
      <c r="Z17" s="289">
        <v>2.9000000000000001E-2</v>
      </c>
      <c r="AA17" s="289">
        <v>2.9000000000000001E-2</v>
      </c>
      <c r="AB17" s="289">
        <v>2.9000000000000001E-2</v>
      </c>
      <c r="AC17" s="289">
        <v>2.9000000000000001E-2</v>
      </c>
      <c r="AD17" s="289">
        <v>2.9000000000000001E-2</v>
      </c>
      <c r="AE17" s="289">
        <v>2.9000000000000001E-2</v>
      </c>
      <c r="AF17" s="289">
        <v>2.9000000000000001E-2</v>
      </c>
      <c r="AG17" s="289">
        <v>2.9000000000000001E-2</v>
      </c>
      <c r="AH17" s="373">
        <v>2.9000000000000001E-2</v>
      </c>
    </row>
    <row r="18" spans="1:37" s="20" customFormat="1">
      <c r="A18" s="20" t="s">
        <v>135</v>
      </c>
      <c r="B18" s="33"/>
      <c r="C18" s="333">
        <f>C32/C14</f>
        <v>0</v>
      </c>
      <c r="D18" s="333">
        <f t="shared" ref="D18:G18" si="6">($N$18-$C$18)/($N$11-$C$11)+C18</f>
        <v>0</v>
      </c>
      <c r="E18" s="333">
        <f t="shared" si="6"/>
        <v>0</v>
      </c>
      <c r="F18" s="333">
        <f t="shared" si="6"/>
        <v>0</v>
      </c>
      <c r="G18" s="333">
        <f t="shared" si="6"/>
        <v>0</v>
      </c>
      <c r="H18" s="285">
        <f>H32/H14</f>
        <v>0</v>
      </c>
      <c r="I18" s="173">
        <f>($N$18-$H$18)/($N$11-$H$11)+H18</f>
        <v>0</v>
      </c>
      <c r="J18" s="173">
        <f t="shared" ref="J18:M18" si="7">($N$18-$H$18)/($N$11-$H$11)+I18</f>
        <v>0</v>
      </c>
      <c r="K18" s="173">
        <f t="shared" si="7"/>
        <v>0</v>
      </c>
      <c r="L18" s="173">
        <f t="shared" si="7"/>
        <v>0</v>
      </c>
      <c r="M18" s="173">
        <f t="shared" si="7"/>
        <v>0</v>
      </c>
      <c r="N18" s="181">
        <f>Inputs!C36</f>
        <v>0</v>
      </c>
      <c r="O18" s="91">
        <f t="shared" ref="O18:W18" si="8">($X$18-$N$18)/($X$11-$N$11)+N18</f>
        <v>0</v>
      </c>
      <c r="P18" s="91">
        <f t="shared" si="8"/>
        <v>0</v>
      </c>
      <c r="Q18" s="91">
        <f t="shared" si="8"/>
        <v>0</v>
      </c>
      <c r="R18" s="91">
        <f t="shared" si="8"/>
        <v>0</v>
      </c>
      <c r="S18" s="22">
        <f t="shared" si="8"/>
        <v>0</v>
      </c>
      <c r="T18" s="91">
        <f t="shared" si="8"/>
        <v>0</v>
      </c>
      <c r="U18" s="91">
        <f t="shared" si="8"/>
        <v>0</v>
      </c>
      <c r="V18" s="91">
        <f t="shared" si="8"/>
        <v>0</v>
      </c>
      <c r="W18" s="91">
        <f t="shared" si="8"/>
        <v>0</v>
      </c>
      <c r="X18" s="186">
        <f>Inputs!F36</f>
        <v>0</v>
      </c>
      <c r="Y18" s="173">
        <f>($AH$18-$X$18)/($AH$11-$X$11)+X18</f>
        <v>0</v>
      </c>
      <c r="Z18" s="173">
        <f t="shared" ref="Z18:AG18" si="9">($AH$18-$X$18)/($AH$11-$X$11)+Y18</f>
        <v>0</v>
      </c>
      <c r="AA18" s="173">
        <f t="shared" si="9"/>
        <v>0</v>
      </c>
      <c r="AB18" s="173">
        <f t="shared" si="9"/>
        <v>0</v>
      </c>
      <c r="AC18" s="173">
        <f t="shared" si="9"/>
        <v>0</v>
      </c>
      <c r="AD18" s="173">
        <f t="shared" si="9"/>
        <v>0</v>
      </c>
      <c r="AE18" s="173">
        <f t="shared" si="9"/>
        <v>0</v>
      </c>
      <c r="AF18" s="173">
        <f t="shared" si="9"/>
        <v>0</v>
      </c>
      <c r="AG18" s="173">
        <f t="shared" si="9"/>
        <v>0</v>
      </c>
      <c r="AH18" s="186">
        <f>Inputs!H36</f>
        <v>0</v>
      </c>
      <c r="AK18"/>
    </row>
    <row r="19" spans="1:37" s="282" customFormat="1">
      <c r="A19" s="282" t="s">
        <v>114</v>
      </c>
      <c r="B19" s="286"/>
      <c r="C19" s="331">
        <f t="shared" ref="C19:AH19" si="10">C16*C14</f>
        <v>4388.4799999999996</v>
      </c>
      <c r="D19" s="331">
        <f t="shared" si="10"/>
        <v>5031.9763387559369</v>
      </c>
      <c r="E19" s="331">
        <f t="shared" si="10"/>
        <v>5497.6856987150122</v>
      </c>
      <c r="F19" s="331">
        <f t="shared" si="10"/>
        <v>5956.6329131718849</v>
      </c>
      <c r="G19" s="331">
        <f t="shared" si="10"/>
        <v>6864.4442659697515</v>
      </c>
      <c r="H19" s="287">
        <f t="shared" si="10"/>
        <v>5283.0297620744432</v>
      </c>
      <c r="I19" s="287">
        <f t="shared" si="10"/>
        <v>8175.0953235801362</v>
      </c>
      <c r="J19" s="287">
        <f t="shared" si="10"/>
        <v>10434.94740155434</v>
      </c>
      <c r="K19" s="287">
        <f t="shared" si="10"/>
        <v>10866.046605605654</v>
      </c>
      <c r="L19" s="287">
        <f t="shared" si="10"/>
        <v>11272.956924405577</v>
      </c>
      <c r="M19" s="287">
        <f t="shared" si="10"/>
        <v>11923.626641995879</v>
      </c>
      <c r="N19" s="288">
        <f t="shared" si="10"/>
        <v>13528.313778937167</v>
      </c>
      <c r="O19" s="287">
        <f t="shared" si="10"/>
        <v>13729.149255928962</v>
      </c>
      <c r="P19" s="287">
        <f t="shared" si="10"/>
        <v>13692.448162031165</v>
      </c>
      <c r="Q19" s="287">
        <f t="shared" si="10"/>
        <v>13814.114088906945</v>
      </c>
      <c r="R19" s="287">
        <f t="shared" si="10"/>
        <v>13911.164175268852</v>
      </c>
      <c r="S19" s="287">
        <f t="shared" si="10"/>
        <v>14027.334758771001</v>
      </c>
      <c r="T19" s="287">
        <f t="shared" si="10"/>
        <v>14025.737037074701</v>
      </c>
      <c r="U19" s="287">
        <f t="shared" si="10"/>
        <v>14049.723192002084</v>
      </c>
      <c r="V19" s="287">
        <f t="shared" si="10"/>
        <v>14385.677457190866</v>
      </c>
      <c r="W19" s="287">
        <f t="shared" si="10"/>
        <v>14360.303965558734</v>
      </c>
      <c r="X19" s="288">
        <f>Inputs!C12*'Output -Jobs vs Yr'!X14</f>
        <v>14575.012639919438</v>
      </c>
      <c r="Y19" s="287">
        <f t="shared" si="10"/>
        <v>14790.038812414248</v>
      </c>
      <c r="Z19" s="287">
        <f t="shared" si="10"/>
        <v>15030.098767132289</v>
      </c>
      <c r="AA19" s="287">
        <f t="shared" si="10"/>
        <v>15337.954826932442</v>
      </c>
      <c r="AB19" s="287">
        <f t="shared" si="10"/>
        <v>15589.784801505339</v>
      </c>
      <c r="AC19" s="287">
        <f t="shared" si="10"/>
        <v>15653.795037027447</v>
      </c>
      <c r="AD19" s="287">
        <f t="shared" si="10"/>
        <v>15909.198622597556</v>
      </c>
      <c r="AE19" s="287">
        <f t="shared" si="10"/>
        <v>16155.673405252841</v>
      </c>
      <c r="AF19" s="287">
        <f t="shared" si="10"/>
        <v>16188.254130855583</v>
      </c>
      <c r="AG19" s="287">
        <f t="shared" si="10"/>
        <v>16267.653083612564</v>
      </c>
      <c r="AH19" s="288">
        <f t="shared" si="10"/>
        <v>16234.115952922662</v>
      </c>
    </row>
    <row r="20" spans="1:37" s="20" customFormat="1">
      <c r="A20" s="20" t="s">
        <v>211</v>
      </c>
      <c r="B20" s="33"/>
      <c r="C20" s="331">
        <f>'Output - Jobs vs Yr (BAU)'!C18</f>
        <v>4388.4799999999996</v>
      </c>
      <c r="D20" s="331">
        <f>'Output - Jobs vs Yr (BAU)'!D18</f>
        <v>4636.58</v>
      </c>
      <c r="E20" s="331">
        <f>'Output - Jobs vs Yr (BAU)'!E18</f>
        <v>4809.3874771532774</v>
      </c>
      <c r="F20" s="331">
        <f>'Output - Jobs vs Yr (BAU)'!F18</f>
        <v>5136.6102570323274</v>
      </c>
      <c r="G20" s="331">
        <f>'Output - Jobs vs Yr (BAU)'!G18</f>
        <v>5141.3678341776367</v>
      </c>
      <c r="H20" s="287">
        <f>'Output - Jobs vs Yr (BAU)'!H18</f>
        <v>5282.0297620744432</v>
      </c>
      <c r="I20" s="83">
        <f>'Output - Jobs vs Yr (BAU)'!I18</f>
        <v>7696.8877218488851</v>
      </c>
      <c r="J20" s="83">
        <f>'Output - Jobs vs Yr (BAU)'!J18</f>
        <v>10118.813952181921</v>
      </c>
      <c r="K20" s="83">
        <f>'Output - Jobs vs Yr (BAU)'!K18</f>
        <v>10223.010266381141</v>
      </c>
      <c r="L20" s="83">
        <f>'Output - Jobs vs Yr (BAU)'!L18</f>
        <v>10305.611686741722</v>
      </c>
      <c r="M20" s="83">
        <f>'Output - Jobs vs Yr (BAU)'!M18</f>
        <v>10425.080239329855</v>
      </c>
      <c r="N20" s="178">
        <f>'Output - Jobs vs Yr (BAU)'!N18</f>
        <v>10537.121226860887</v>
      </c>
      <c r="O20" s="83">
        <f>'Output - Jobs vs Yr (BAU)'!O18</f>
        <v>10891.301871544314</v>
      </c>
      <c r="P20" s="83">
        <f>'Output - Jobs vs Yr (BAU)'!P18</f>
        <v>10900.265263032157</v>
      </c>
      <c r="Q20" s="83">
        <f>'Output - Jobs vs Yr (BAU)'!Q18</f>
        <v>10908.624340050585</v>
      </c>
      <c r="R20" s="83">
        <f>'Output - Jobs vs Yr (BAU)'!R18</f>
        <v>10957.308692892024</v>
      </c>
      <c r="S20" s="83">
        <f>'Output - Jobs vs Yr (BAU)'!S18</f>
        <v>10972.874046297042</v>
      </c>
      <c r="T20" s="83">
        <f>'Output - Jobs vs Yr (BAU)'!T18</f>
        <v>11034.18468764194</v>
      </c>
      <c r="U20" s="83">
        <f>'Output - Jobs vs Yr (BAU)'!U18</f>
        <v>11228.72221416868</v>
      </c>
      <c r="V20" s="83">
        <f>'Output - Jobs vs Yr (BAU)'!V18</f>
        <v>11611.287530028532</v>
      </c>
      <c r="W20" s="83">
        <f>'Output - Jobs vs Yr (BAU)'!W18</f>
        <v>11639.903027761611</v>
      </c>
      <c r="X20" s="185">
        <f>'Output - Jobs vs Yr (BAU)'!X18</f>
        <v>11670.880928331644</v>
      </c>
      <c r="Y20" s="175">
        <f>'Output - Jobs vs Yr (BAU)'!Y18</f>
        <v>11744.418527206002</v>
      </c>
      <c r="Z20" s="175">
        <f>'Output - Jobs vs Yr (BAU)'!Z18</f>
        <v>11747.889572940963</v>
      </c>
      <c r="AA20" s="175">
        <f>'Output - Jobs vs Yr (BAU)'!AA18</f>
        <v>11888.13624124456</v>
      </c>
      <c r="AB20" s="175">
        <f>'Output - Jobs vs Yr (BAU)'!AB18</f>
        <v>12033.924596255714</v>
      </c>
      <c r="AC20" s="175">
        <f>'Output - Jobs vs Yr (BAU)'!AC18</f>
        <v>12093.199679747351</v>
      </c>
      <c r="AD20" s="175">
        <f>'Output - Jobs vs Yr (BAU)'!AD18</f>
        <v>12469.078967149228</v>
      </c>
      <c r="AE20" s="175">
        <f>'Output - Jobs vs Yr (BAU)'!AE18</f>
        <v>12844.195620212538</v>
      </c>
      <c r="AF20" s="175">
        <f>'Output - Jobs vs Yr (BAU)'!AF18</f>
        <v>12796.007958806551</v>
      </c>
      <c r="AG20" s="175">
        <f>'Output - Jobs vs Yr (BAU)'!AG18</f>
        <v>12895.382999363732</v>
      </c>
      <c r="AH20" s="185">
        <f>'Output - Jobs vs Yr (BAU)'!AH18</f>
        <v>13022.598273998978</v>
      </c>
    </row>
    <row r="21" spans="1:37" s="20" customFormat="1">
      <c r="A21" s="20" t="s">
        <v>116</v>
      </c>
      <c r="B21" s="33"/>
      <c r="C21" s="331">
        <f t="shared" ref="C21:AH21" si="11">MAX(C19:C20)</f>
        <v>4388.4799999999996</v>
      </c>
      <c r="D21" s="331">
        <f t="shared" si="11"/>
        <v>5031.9763387559369</v>
      </c>
      <c r="E21" s="331">
        <f t="shared" si="11"/>
        <v>5497.6856987150122</v>
      </c>
      <c r="F21" s="331">
        <f t="shared" si="11"/>
        <v>5956.6329131718849</v>
      </c>
      <c r="G21" s="331">
        <f t="shared" si="11"/>
        <v>6864.4442659697515</v>
      </c>
      <c r="H21" s="287">
        <f t="shared" si="11"/>
        <v>5283.0297620744432</v>
      </c>
      <c r="I21" s="83">
        <f t="shared" si="11"/>
        <v>8175.0953235801362</v>
      </c>
      <c r="J21" s="83">
        <f t="shared" si="11"/>
        <v>10434.94740155434</v>
      </c>
      <c r="K21" s="83">
        <f t="shared" si="11"/>
        <v>10866.046605605654</v>
      </c>
      <c r="L21" s="83">
        <f t="shared" si="11"/>
        <v>11272.956924405577</v>
      </c>
      <c r="M21" s="83">
        <f t="shared" si="11"/>
        <v>11923.626641995879</v>
      </c>
      <c r="N21" s="178">
        <f t="shared" si="11"/>
        <v>13528.313778937167</v>
      </c>
      <c r="O21" s="83">
        <f t="shared" si="11"/>
        <v>13729.149255928962</v>
      </c>
      <c r="P21" s="83">
        <f t="shared" si="11"/>
        <v>13692.448162031165</v>
      </c>
      <c r="Q21" s="83">
        <f t="shared" si="11"/>
        <v>13814.114088906945</v>
      </c>
      <c r="R21" s="83">
        <f t="shared" si="11"/>
        <v>13911.164175268852</v>
      </c>
      <c r="S21" s="83">
        <f t="shared" si="11"/>
        <v>14027.334758771001</v>
      </c>
      <c r="T21" s="83">
        <f t="shared" si="11"/>
        <v>14025.737037074701</v>
      </c>
      <c r="U21" s="83">
        <f t="shared" si="11"/>
        <v>14049.723192002084</v>
      </c>
      <c r="V21" s="83">
        <f t="shared" si="11"/>
        <v>14385.677457190866</v>
      </c>
      <c r="W21" s="83">
        <f t="shared" si="11"/>
        <v>14360.303965558734</v>
      </c>
      <c r="X21" s="185">
        <f t="shared" si="11"/>
        <v>14575.012639919438</v>
      </c>
      <c r="Y21" s="175">
        <f t="shared" si="11"/>
        <v>14790.038812414248</v>
      </c>
      <c r="Z21" s="175">
        <f t="shared" si="11"/>
        <v>15030.098767132289</v>
      </c>
      <c r="AA21" s="175">
        <f t="shared" si="11"/>
        <v>15337.954826932442</v>
      </c>
      <c r="AB21" s="175">
        <f t="shared" si="11"/>
        <v>15589.784801505339</v>
      </c>
      <c r="AC21" s="175">
        <f t="shared" si="11"/>
        <v>15653.795037027447</v>
      </c>
      <c r="AD21" s="175">
        <f t="shared" si="11"/>
        <v>15909.198622597556</v>
      </c>
      <c r="AE21" s="175">
        <f t="shared" si="11"/>
        <v>16155.673405252841</v>
      </c>
      <c r="AF21" s="175">
        <f t="shared" si="11"/>
        <v>16188.254130855583</v>
      </c>
      <c r="AG21" s="175">
        <f t="shared" si="11"/>
        <v>16267.653083612564</v>
      </c>
      <c r="AH21" s="185">
        <f t="shared" si="11"/>
        <v>16234.115952922662</v>
      </c>
      <c r="AI21" s="99"/>
    </row>
    <row r="22" spans="1:37" s="20" customFormat="1">
      <c r="A22" s="20" t="s">
        <v>378</v>
      </c>
      <c r="B22" s="33"/>
      <c r="C22" s="331" t="s">
        <v>0</v>
      </c>
      <c r="D22" s="331"/>
      <c r="E22" s="331"/>
      <c r="F22" s="331"/>
      <c r="G22" s="331"/>
      <c r="H22" s="287"/>
      <c r="I22" s="83"/>
      <c r="J22" s="83"/>
      <c r="K22" s="83"/>
      <c r="L22" s="83"/>
      <c r="M22" s="83"/>
      <c r="N22" s="178"/>
      <c r="O22" s="83"/>
      <c r="P22" s="83"/>
      <c r="Q22" s="83"/>
      <c r="R22" s="83"/>
      <c r="S22" s="83"/>
      <c r="T22" s="83"/>
      <c r="U22" s="83"/>
      <c r="V22" s="83"/>
      <c r="W22" s="174" t="s">
        <v>0</v>
      </c>
      <c r="X22" s="185"/>
      <c r="Y22"/>
      <c r="Z22"/>
      <c r="AA22"/>
      <c r="AB22"/>
      <c r="AC22"/>
      <c r="AD22"/>
      <c r="AE22"/>
      <c r="AF22"/>
      <c r="AG22"/>
      <c r="AH22" s="281"/>
      <c r="AI22" s="99"/>
    </row>
    <row r="23" spans="1:37" s="20" customFormat="1">
      <c r="A23" t="s">
        <v>537</v>
      </c>
      <c r="B23" s="33"/>
      <c r="C23" s="331">
        <v>0</v>
      </c>
      <c r="D23" s="333">
        <f t="shared" ref="D23:G23" si="12">C23+($N$23-$C$23)/($N$11-$C$11)</f>
        <v>0</v>
      </c>
      <c r="E23" s="333">
        <f t="shared" si="12"/>
        <v>0</v>
      </c>
      <c r="F23" s="333">
        <f t="shared" si="12"/>
        <v>0</v>
      </c>
      <c r="G23" s="333">
        <f t="shared" si="12"/>
        <v>0</v>
      </c>
      <c r="H23" s="287">
        <v>0</v>
      </c>
      <c r="I23" s="91">
        <f>H23+($N$23-$H$23)/($N$11-$H$11)</f>
        <v>0</v>
      </c>
      <c r="J23" s="173">
        <f t="shared" ref="J23:M23" si="13">I23+($N$23-$H$23)/($N$11-$H$11)</f>
        <v>0</v>
      </c>
      <c r="K23" s="173">
        <f t="shared" si="13"/>
        <v>0</v>
      </c>
      <c r="L23" s="173">
        <f t="shared" si="13"/>
        <v>0</v>
      </c>
      <c r="M23" s="173">
        <f t="shared" si="13"/>
        <v>0</v>
      </c>
      <c r="N23" s="181">
        <f>Inputs!C34</f>
        <v>0</v>
      </c>
      <c r="O23" s="173">
        <f>N23+($X$23-$N$23)/($X$11-$N$11)</f>
        <v>0</v>
      </c>
      <c r="P23" s="173">
        <f t="shared" ref="P23:W23" si="14">O23+($X$23-$N$23)/($X$11-$N$11)</f>
        <v>0</v>
      </c>
      <c r="Q23" s="173">
        <f t="shared" si="14"/>
        <v>0</v>
      </c>
      <c r="R23" s="173">
        <f t="shared" si="14"/>
        <v>0</v>
      </c>
      <c r="S23" s="173">
        <f t="shared" si="14"/>
        <v>0</v>
      </c>
      <c r="T23" s="173">
        <f t="shared" si="14"/>
        <v>0</v>
      </c>
      <c r="U23" s="173">
        <f t="shared" si="14"/>
        <v>0</v>
      </c>
      <c r="V23" s="173">
        <f t="shared" si="14"/>
        <v>0</v>
      </c>
      <c r="W23" s="173">
        <f t="shared" si="14"/>
        <v>0</v>
      </c>
      <c r="X23" s="186">
        <f>Inputs!F34</f>
        <v>0</v>
      </c>
      <c r="Y23" s="173">
        <f>X23+($AH$23-$X$23)/($AH$11-$X$11)</f>
        <v>0</v>
      </c>
      <c r="Z23" s="173">
        <f t="shared" ref="Z23:AG23" si="15">Y23+($AH$23-$X$23)/($AH$11-$X$11)</f>
        <v>0</v>
      </c>
      <c r="AA23" s="173">
        <f t="shared" si="15"/>
        <v>0</v>
      </c>
      <c r="AB23" s="173">
        <f t="shared" si="15"/>
        <v>0</v>
      </c>
      <c r="AC23" s="173">
        <f t="shared" si="15"/>
        <v>0</v>
      </c>
      <c r="AD23" s="173">
        <f t="shared" si="15"/>
        <v>0</v>
      </c>
      <c r="AE23" s="173">
        <f t="shared" si="15"/>
        <v>0</v>
      </c>
      <c r="AF23" s="173">
        <f t="shared" si="15"/>
        <v>0</v>
      </c>
      <c r="AG23" s="173">
        <f t="shared" si="15"/>
        <v>0</v>
      </c>
      <c r="AH23" s="186">
        <f>Inputs!H34</f>
        <v>0</v>
      </c>
      <c r="AI23" s="99"/>
    </row>
    <row r="24" spans="1:37" s="20" customFormat="1">
      <c r="A24" t="s">
        <v>538</v>
      </c>
      <c r="B24" s="33"/>
      <c r="C24" s="331">
        <v>0</v>
      </c>
      <c r="D24" s="333">
        <f t="shared" ref="D24:G24" si="16">C24+($N$24-$C$24)/($N$11-$C$11)</f>
        <v>0</v>
      </c>
      <c r="E24" s="333">
        <f t="shared" si="16"/>
        <v>0</v>
      </c>
      <c r="F24" s="333">
        <f t="shared" si="16"/>
        <v>0</v>
      </c>
      <c r="G24" s="333">
        <f t="shared" si="16"/>
        <v>0</v>
      </c>
      <c r="H24" s="109">
        <v>0</v>
      </c>
      <c r="I24" s="173">
        <f>H24+($N$24-$H$24)/($N$11-$H$11)</f>
        <v>0</v>
      </c>
      <c r="J24" s="173">
        <f t="shared" ref="J24:M24" si="17">I24+($N$24-$H$24)/($N$11-$H$11)</f>
        <v>0</v>
      </c>
      <c r="K24" s="173">
        <f t="shared" si="17"/>
        <v>0</v>
      </c>
      <c r="L24" s="173">
        <f t="shared" si="17"/>
        <v>0</v>
      </c>
      <c r="M24" s="173">
        <f t="shared" si="17"/>
        <v>0</v>
      </c>
      <c r="N24" s="186">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6">
        <f>Inputs!F34</f>
        <v>0</v>
      </c>
      <c r="Y24" s="173">
        <f>X$24+($AH$24-$X$24)/($AH$11-$X$11)</f>
        <v>0</v>
      </c>
      <c r="Z24" s="173">
        <f t="shared" ref="Z24:AG24" si="19">Y$24+($AH$24-$X$24)/($AH$11-$X$11)</f>
        <v>0</v>
      </c>
      <c r="AA24" s="173">
        <f t="shared" si="19"/>
        <v>0</v>
      </c>
      <c r="AB24" s="173">
        <f t="shared" si="19"/>
        <v>0</v>
      </c>
      <c r="AC24" s="173">
        <f t="shared" si="19"/>
        <v>0</v>
      </c>
      <c r="AD24" s="173">
        <f t="shared" si="19"/>
        <v>0</v>
      </c>
      <c r="AE24" s="173">
        <f t="shared" si="19"/>
        <v>0</v>
      </c>
      <c r="AF24" s="173">
        <f t="shared" si="19"/>
        <v>0</v>
      </c>
      <c r="AG24" s="173">
        <f t="shared" si="19"/>
        <v>0</v>
      </c>
      <c r="AH24" s="186">
        <f>Inputs!H34</f>
        <v>0</v>
      </c>
      <c r="AI24" s="99"/>
    </row>
    <row r="25" spans="1:37" s="20" customFormat="1">
      <c r="A25" t="s">
        <v>539</v>
      </c>
      <c r="B25" s="33"/>
      <c r="C25" s="331"/>
      <c r="D25" s="333">
        <f t="shared" ref="D25:AH25" si="20">D30/(D30+D47)</f>
        <v>0</v>
      </c>
      <c r="E25" s="333">
        <f t="shared" si="20"/>
        <v>0</v>
      </c>
      <c r="F25" s="333">
        <f t="shared" si="20"/>
        <v>0</v>
      </c>
      <c r="G25" s="333">
        <f t="shared" si="20"/>
        <v>0</v>
      </c>
      <c r="H25" s="285"/>
      <c r="I25" s="125">
        <f t="shared" si="20"/>
        <v>0</v>
      </c>
      <c r="J25" s="125">
        <f t="shared" si="20"/>
        <v>0</v>
      </c>
      <c r="K25" s="125">
        <f t="shared" si="20"/>
        <v>0</v>
      </c>
      <c r="L25" s="125">
        <f t="shared" si="20"/>
        <v>0</v>
      </c>
      <c r="M25" s="125">
        <f t="shared" si="20"/>
        <v>0</v>
      </c>
      <c r="N25" s="181">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6">
        <f t="shared" si="20"/>
        <v>0</v>
      </c>
      <c r="Y25" s="173">
        <f t="shared" si="20"/>
        <v>0</v>
      </c>
      <c r="Z25" s="173">
        <f t="shared" si="20"/>
        <v>0</v>
      </c>
      <c r="AA25" s="173">
        <f t="shared" si="20"/>
        <v>0</v>
      </c>
      <c r="AB25" s="173">
        <f t="shared" si="20"/>
        <v>0</v>
      </c>
      <c r="AC25" s="173">
        <f t="shared" si="20"/>
        <v>0</v>
      </c>
      <c r="AD25" s="173">
        <f t="shared" si="20"/>
        <v>0</v>
      </c>
      <c r="AE25" s="173">
        <f t="shared" si="20"/>
        <v>0</v>
      </c>
      <c r="AF25" s="173">
        <f t="shared" si="20"/>
        <v>0</v>
      </c>
      <c r="AG25" s="173">
        <f t="shared" si="20"/>
        <v>0</v>
      </c>
      <c r="AH25" s="186">
        <f t="shared" si="20"/>
        <v>0</v>
      </c>
      <c r="AI25" s="99"/>
    </row>
    <row r="26" spans="1:37" s="20" customFormat="1">
      <c r="A26" s="20" t="s">
        <v>381</v>
      </c>
      <c r="B26" s="33"/>
      <c r="C26" s="333">
        <f>C31/C14</f>
        <v>0.25762982445409505</v>
      </c>
      <c r="D26" s="333">
        <f t="shared" ref="D26:G26" si="21">C26+($N$26-$C$26)/($N$11-$C$11)</f>
        <v>0.24960115053071952</v>
      </c>
      <c r="E26" s="333">
        <f t="shared" si="21"/>
        <v>0.24157247660734399</v>
      </c>
      <c r="F26" s="333">
        <f t="shared" si="21"/>
        <v>0.23354380268396846</v>
      </c>
      <c r="G26" s="333">
        <f t="shared" si="21"/>
        <v>0.22551512876059293</v>
      </c>
      <c r="H26" s="285">
        <f>H31/H14</f>
        <v>0.20349600830598252</v>
      </c>
      <c r="I26" s="91">
        <f>H26+($N$26-$H$26)/($N$11-$H$11)</f>
        <v>0.19779907547114614</v>
      </c>
      <c r="J26" s="173">
        <f t="shared" ref="J26:M26" si="22">I26+($N$26-$H$26)/($N$11-$H$11)</f>
        <v>0.19210214263630976</v>
      </c>
      <c r="K26" s="173">
        <f t="shared" si="22"/>
        <v>0.18640520980147338</v>
      </c>
      <c r="L26" s="173">
        <f t="shared" si="22"/>
        <v>0.18070827696663699</v>
      </c>
      <c r="M26" s="173">
        <f t="shared" si="22"/>
        <v>0.17501134413180061</v>
      </c>
      <c r="N26" s="181">
        <f>Inputs!C35</f>
        <v>0.1693144112969642</v>
      </c>
      <c r="O26" s="91">
        <f t="shared" ref="O26:W26" si="23">N26+($X$26-$N$26)/($X$11-$N$11)</f>
        <v>0.1704554168500047</v>
      </c>
      <c r="P26" s="91">
        <f t="shared" si="23"/>
        <v>0.17159642240304521</v>
      </c>
      <c r="Q26" s="91">
        <f t="shared" si="23"/>
        <v>0.17273742795608571</v>
      </c>
      <c r="R26" s="91">
        <f t="shared" si="23"/>
        <v>0.17387843350912621</v>
      </c>
      <c r="S26" s="22">
        <f t="shared" si="23"/>
        <v>0.17501943906216672</v>
      </c>
      <c r="T26" s="91">
        <f t="shared" si="23"/>
        <v>0.17616044461520722</v>
      </c>
      <c r="U26" s="91">
        <f t="shared" si="23"/>
        <v>0.17730145016824772</v>
      </c>
      <c r="V26" s="91">
        <f t="shared" si="23"/>
        <v>0.17844245572128822</v>
      </c>
      <c r="W26" s="91">
        <f t="shared" si="23"/>
        <v>0.17958346127432873</v>
      </c>
      <c r="X26" s="186">
        <f>Inputs!F35</f>
        <v>0.18072446682736915</v>
      </c>
      <c r="Y26" s="173">
        <f>X26+($AH$26-$X$26)/($AH$11-$X$11)</f>
        <v>0.179688476874137</v>
      </c>
      <c r="Z26" s="173">
        <f t="shared" ref="Z26:AG26" si="24">Y26+($AH$26-$X$26)/($AH$11-$X$11)</f>
        <v>0.17865248692090485</v>
      </c>
      <c r="AA26" s="173">
        <f t="shared" si="24"/>
        <v>0.1776164969676727</v>
      </c>
      <c r="AB26" s="173">
        <f t="shared" si="24"/>
        <v>0.17658050701444056</v>
      </c>
      <c r="AC26" s="173">
        <f t="shared" si="24"/>
        <v>0.17554451706120841</v>
      </c>
      <c r="AD26" s="173">
        <f t="shared" si="24"/>
        <v>0.17450852710797626</v>
      </c>
      <c r="AE26" s="173">
        <f t="shared" si="24"/>
        <v>0.17347253715474412</v>
      </c>
      <c r="AF26" s="173">
        <f t="shared" si="24"/>
        <v>0.17243654720151197</v>
      </c>
      <c r="AG26" s="173">
        <f t="shared" si="24"/>
        <v>0.17140055724827982</v>
      </c>
      <c r="AH26" s="186">
        <f>Inputs!H35</f>
        <v>0.17036456729504776</v>
      </c>
      <c r="AI26" s="99"/>
    </row>
    <row r="27" spans="1:37" s="1" customFormat="1">
      <c r="B27" s="33"/>
      <c r="C27" s="339"/>
      <c r="D27" s="330"/>
      <c r="E27" s="393"/>
      <c r="F27" s="393"/>
      <c r="G27" s="393"/>
      <c r="H27" s="402"/>
      <c r="I27" s="25"/>
      <c r="J27" s="25"/>
      <c r="K27" s="24"/>
      <c r="L27" s="24"/>
      <c r="M27" s="24"/>
      <c r="N27" s="182" t="s">
        <v>0</v>
      </c>
      <c r="O27" s="26"/>
      <c r="P27" s="13"/>
      <c r="Q27" s="13"/>
      <c r="R27" s="13"/>
      <c r="S27" s="170">
        <f>SUM(S18,S24,S26)</f>
        <v>0.17501943906216672</v>
      </c>
      <c r="T27" s="13"/>
      <c r="U27" s="13"/>
      <c r="V27" s="13"/>
      <c r="W27" s="13"/>
      <c r="X27" s="177"/>
      <c r="Y27"/>
      <c r="Z27"/>
      <c r="AA27"/>
      <c r="AB27"/>
      <c r="AC27"/>
      <c r="AD27"/>
      <c r="AE27"/>
      <c r="AF27"/>
      <c r="AG27"/>
      <c r="AH27" s="281"/>
      <c r="AI27" s="24"/>
    </row>
    <row r="28" spans="1:37" s="1" customFormat="1">
      <c r="A28" s="1" t="s">
        <v>377</v>
      </c>
      <c r="B28" s="33"/>
      <c r="C28" s="329">
        <v>2009</v>
      </c>
      <c r="D28" s="329">
        <v>2010</v>
      </c>
      <c r="E28" s="329">
        <v>2011</v>
      </c>
      <c r="F28" s="329">
        <v>2012</v>
      </c>
      <c r="G28" s="329">
        <v>2013</v>
      </c>
      <c r="H28" s="401">
        <v>2014</v>
      </c>
      <c r="I28" s="13">
        <v>2015</v>
      </c>
      <c r="J28" s="13">
        <v>2016</v>
      </c>
      <c r="K28" s="13">
        <v>2017</v>
      </c>
      <c r="L28" s="13">
        <v>2018</v>
      </c>
      <c r="M28" s="13">
        <v>2019</v>
      </c>
      <c r="N28" s="177">
        <v>2020</v>
      </c>
      <c r="O28" s="13">
        <v>2021</v>
      </c>
      <c r="P28" s="13">
        <v>2022</v>
      </c>
      <c r="Q28" s="13">
        <v>2023</v>
      </c>
      <c r="R28" s="13">
        <v>2024</v>
      </c>
      <c r="S28" s="13">
        <v>2025</v>
      </c>
      <c r="T28" s="13">
        <v>2026</v>
      </c>
      <c r="U28" s="13">
        <v>2027</v>
      </c>
      <c r="V28" s="13">
        <v>2028</v>
      </c>
      <c r="W28" s="13">
        <v>2029</v>
      </c>
      <c r="X28" s="177">
        <v>2030</v>
      </c>
      <c r="Y28" s="13">
        <v>2031</v>
      </c>
      <c r="Z28" s="13">
        <v>2032</v>
      </c>
      <c r="AA28" s="13">
        <v>2033</v>
      </c>
      <c r="AB28" s="13">
        <v>2034</v>
      </c>
      <c r="AC28" s="13">
        <v>2035</v>
      </c>
      <c r="AD28" s="13">
        <v>2036</v>
      </c>
      <c r="AE28" s="13">
        <v>2037</v>
      </c>
      <c r="AF28" s="13">
        <v>2038</v>
      </c>
      <c r="AG28" s="13">
        <v>2039</v>
      </c>
      <c r="AH28" s="177">
        <v>2040</v>
      </c>
      <c r="AK28" s="77"/>
    </row>
    <row r="29" spans="1:37">
      <c r="A29" s="9" t="s">
        <v>282</v>
      </c>
      <c r="B29" s="35">
        <v>0</v>
      </c>
      <c r="C29" s="331" t="s">
        <v>376</v>
      </c>
      <c r="D29" s="331">
        <f t="shared" ref="D29:AH29" si="25">D13-D14</f>
        <v>0</v>
      </c>
      <c r="E29" s="331">
        <f t="shared" si="25"/>
        <v>0</v>
      </c>
      <c r="F29" s="331">
        <f t="shared" si="25"/>
        <v>0</v>
      </c>
      <c r="G29" s="331">
        <f t="shared" si="25"/>
        <v>0</v>
      </c>
      <c r="H29" s="287">
        <f t="shared" si="25"/>
        <v>0</v>
      </c>
      <c r="I29" s="50">
        <f t="shared" si="25"/>
        <v>0</v>
      </c>
      <c r="J29" s="50">
        <f t="shared" si="25"/>
        <v>0</v>
      </c>
      <c r="K29" s="50">
        <f t="shared" si="25"/>
        <v>0</v>
      </c>
      <c r="L29" s="50">
        <f t="shared" si="25"/>
        <v>0</v>
      </c>
      <c r="M29" s="50">
        <f t="shared" si="25"/>
        <v>0</v>
      </c>
      <c r="N29" s="178">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5">
        <f t="shared" si="25"/>
        <v>0</v>
      </c>
      <c r="Y29" s="175">
        <f t="shared" si="25"/>
        <v>0</v>
      </c>
      <c r="Z29" s="175">
        <f t="shared" si="25"/>
        <v>0</v>
      </c>
      <c r="AA29" s="175">
        <f t="shared" si="25"/>
        <v>0</v>
      </c>
      <c r="AB29" s="175">
        <f t="shared" si="25"/>
        <v>0</v>
      </c>
      <c r="AC29" s="175">
        <f t="shared" si="25"/>
        <v>0</v>
      </c>
      <c r="AD29" s="175">
        <f t="shared" si="25"/>
        <v>0</v>
      </c>
      <c r="AE29" s="175">
        <f t="shared" si="25"/>
        <v>0</v>
      </c>
      <c r="AF29" s="175">
        <f t="shared" si="25"/>
        <v>0</v>
      </c>
      <c r="AG29" s="175">
        <f t="shared" si="25"/>
        <v>0</v>
      </c>
      <c r="AH29" s="185">
        <f t="shared" si="25"/>
        <v>0</v>
      </c>
      <c r="AI29" s="128"/>
    </row>
    <row r="30" spans="1:37" s="20" customFormat="1">
      <c r="A30" s="20" t="s">
        <v>122</v>
      </c>
      <c r="B30" s="35">
        <v>0</v>
      </c>
      <c r="C30" s="331">
        <f>C23*C47</f>
        <v>0</v>
      </c>
      <c r="D30" s="331">
        <f t="shared" ref="D30:AH30" si="26">D24*D14</f>
        <v>0</v>
      </c>
      <c r="E30" s="331">
        <f t="shared" si="26"/>
        <v>0</v>
      </c>
      <c r="F30" s="331">
        <f t="shared" si="26"/>
        <v>0</v>
      </c>
      <c r="G30" s="331">
        <f t="shared" si="26"/>
        <v>0</v>
      </c>
      <c r="H30" s="287">
        <f t="shared" si="26"/>
        <v>0</v>
      </c>
      <c r="I30" s="118">
        <f t="shared" si="26"/>
        <v>0</v>
      </c>
      <c r="J30" s="118">
        <f t="shared" si="26"/>
        <v>0</v>
      </c>
      <c r="K30" s="118">
        <f t="shared" si="26"/>
        <v>0</v>
      </c>
      <c r="L30" s="118">
        <f t="shared" si="26"/>
        <v>0</v>
      </c>
      <c r="M30" s="118">
        <f t="shared" si="26"/>
        <v>0</v>
      </c>
      <c r="N30" s="178">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5">
        <f t="shared" si="26"/>
        <v>0</v>
      </c>
      <c r="Y30" s="175">
        <f t="shared" si="26"/>
        <v>0</v>
      </c>
      <c r="Z30" s="175">
        <f t="shared" si="26"/>
        <v>0</v>
      </c>
      <c r="AA30" s="175">
        <f t="shared" si="26"/>
        <v>0</v>
      </c>
      <c r="AB30" s="175">
        <f t="shared" si="26"/>
        <v>0</v>
      </c>
      <c r="AC30" s="175">
        <f t="shared" si="26"/>
        <v>0</v>
      </c>
      <c r="AD30" s="175">
        <f t="shared" si="26"/>
        <v>0</v>
      </c>
      <c r="AE30" s="175">
        <f t="shared" si="26"/>
        <v>0</v>
      </c>
      <c r="AF30" s="175">
        <f t="shared" si="26"/>
        <v>0</v>
      </c>
      <c r="AG30" s="175">
        <f t="shared" si="26"/>
        <v>0</v>
      </c>
      <c r="AH30" s="185">
        <f t="shared" si="26"/>
        <v>0</v>
      </c>
      <c r="AI30" s="128"/>
    </row>
    <row r="31" spans="1:37">
      <c r="A31" s="9" t="s">
        <v>49</v>
      </c>
      <c r="B31" s="35">
        <v>0</v>
      </c>
      <c r="C31" s="331">
        <f>'Output - Jobs vs Yr (BAU)'!C7</f>
        <v>4211.99</v>
      </c>
      <c r="D31" s="331">
        <f t="shared" ref="D31:AH31" si="27">D26*D14</f>
        <v>4247.9619808823163</v>
      </c>
      <c r="E31" s="331">
        <f t="shared" si="27"/>
        <v>4184.1538269004077</v>
      </c>
      <c r="F31" s="331">
        <f t="shared" si="27"/>
        <v>3929.9108471656746</v>
      </c>
      <c r="G31" s="331">
        <f t="shared" si="27"/>
        <v>3778.1322540556844</v>
      </c>
      <c r="H31" s="287">
        <f>'Output - Jobs vs Yr (BAU)'!H7</f>
        <v>3517.5951865295042</v>
      </c>
      <c r="I31" s="175">
        <f t="shared" si="27"/>
        <v>3831.3060390643859</v>
      </c>
      <c r="J31" s="175">
        <f t="shared" si="27"/>
        <v>4113.4828921709941</v>
      </c>
      <c r="K31" s="175">
        <f t="shared" si="27"/>
        <v>4052.5719067461114</v>
      </c>
      <c r="L31" s="175">
        <f t="shared" si="27"/>
        <v>3950.9766731331806</v>
      </c>
      <c r="M31" s="175">
        <f t="shared" si="27"/>
        <v>3836.0219711936493</v>
      </c>
      <c r="N31" s="185">
        <f t="shared" si="27"/>
        <v>3694.4169085828316</v>
      </c>
      <c r="O31" s="175">
        <f t="shared" si="27"/>
        <v>3743.1850254901856</v>
      </c>
      <c r="P31" s="175">
        <f t="shared" si="27"/>
        <v>3728.8547632208447</v>
      </c>
      <c r="Q31" s="175">
        <f t="shared" si="27"/>
        <v>3757.494601182957</v>
      </c>
      <c r="R31" s="175">
        <f t="shared" si="27"/>
        <v>3779.2072919155794</v>
      </c>
      <c r="S31" s="175">
        <f t="shared" si="27"/>
        <v>3805.8924976386807</v>
      </c>
      <c r="T31" s="175">
        <f t="shared" si="27"/>
        <v>3800.4044019051648</v>
      </c>
      <c r="U31" s="175">
        <f t="shared" si="27"/>
        <v>3801.6944923593733</v>
      </c>
      <c r="V31" s="175">
        <f t="shared" si="27"/>
        <v>3887.2032867940306</v>
      </c>
      <c r="W31" s="175">
        <f t="shared" si="27"/>
        <v>3874.7110932269356</v>
      </c>
      <c r="X31" s="185">
        <f t="shared" si="27"/>
        <v>3931.4349079874719</v>
      </c>
      <c r="Y31" s="175">
        <f t="shared" si="27"/>
        <v>3944.4235315127162</v>
      </c>
      <c r="Z31" s="175">
        <f t="shared" si="27"/>
        <v>3967.7298835152387</v>
      </c>
      <c r="AA31" s="175">
        <f t="shared" si="27"/>
        <v>4007.7655792363903</v>
      </c>
      <c r="AB31" s="175">
        <f t="shared" si="27"/>
        <v>4031.9336577070735</v>
      </c>
      <c r="AC31" s="175">
        <f t="shared" si="27"/>
        <v>4006.9110347629253</v>
      </c>
      <c r="AD31" s="175">
        <f t="shared" si="27"/>
        <v>4030.3976419328924</v>
      </c>
      <c r="AE31" s="175">
        <f t="shared" si="27"/>
        <v>4050.5974265856034</v>
      </c>
      <c r="AF31" s="175">
        <f t="shared" si="27"/>
        <v>4016.6568138554844</v>
      </c>
      <c r="AG31" s="175">
        <f t="shared" si="27"/>
        <v>3994.3557612640921</v>
      </c>
      <c r="AH31" s="185">
        <f t="shared" si="27"/>
        <v>3951.025913910431</v>
      </c>
      <c r="AI31" s="128"/>
    </row>
    <row r="32" spans="1:37">
      <c r="A32" s="9" t="s">
        <v>59</v>
      </c>
      <c r="B32" s="35">
        <v>0</v>
      </c>
      <c r="C32" s="331">
        <f>EIA_electricity_aeo2014!E52*1000</f>
        <v>0</v>
      </c>
      <c r="D32" s="331">
        <f t="shared" ref="D32:AH32" si="28">D18*D14</f>
        <v>0</v>
      </c>
      <c r="E32" s="331">
        <f t="shared" si="28"/>
        <v>0</v>
      </c>
      <c r="F32" s="331">
        <f t="shared" si="28"/>
        <v>0</v>
      </c>
      <c r="G32" s="331">
        <f t="shared" si="28"/>
        <v>0</v>
      </c>
      <c r="H32" s="287">
        <f>EIA_electricity_aeo2014!J52*1000</f>
        <v>0</v>
      </c>
      <c r="I32" s="175">
        <f t="shared" si="28"/>
        <v>0</v>
      </c>
      <c r="J32" s="175">
        <f t="shared" si="28"/>
        <v>0</v>
      </c>
      <c r="K32" s="175">
        <f t="shared" si="28"/>
        <v>0</v>
      </c>
      <c r="L32" s="175">
        <f t="shared" si="28"/>
        <v>0</v>
      </c>
      <c r="M32" s="175">
        <f t="shared" si="28"/>
        <v>0</v>
      </c>
      <c r="N32" s="185">
        <f t="shared" si="28"/>
        <v>0</v>
      </c>
      <c r="O32" s="175">
        <f t="shared" si="28"/>
        <v>0</v>
      </c>
      <c r="P32" s="175">
        <f t="shared" si="28"/>
        <v>0</v>
      </c>
      <c r="Q32" s="175">
        <f t="shared" si="28"/>
        <v>0</v>
      </c>
      <c r="R32" s="175">
        <f t="shared" si="28"/>
        <v>0</v>
      </c>
      <c r="S32" s="175">
        <f t="shared" si="28"/>
        <v>0</v>
      </c>
      <c r="T32" s="175">
        <f t="shared" si="28"/>
        <v>0</v>
      </c>
      <c r="U32" s="175">
        <f t="shared" si="28"/>
        <v>0</v>
      </c>
      <c r="V32" s="175">
        <f t="shared" si="28"/>
        <v>0</v>
      </c>
      <c r="W32" s="175">
        <f t="shared" si="28"/>
        <v>0</v>
      </c>
      <c r="X32" s="185">
        <f t="shared" si="28"/>
        <v>0</v>
      </c>
      <c r="Y32" s="175">
        <f t="shared" si="28"/>
        <v>0</v>
      </c>
      <c r="Z32" s="175">
        <f t="shared" si="28"/>
        <v>0</v>
      </c>
      <c r="AA32" s="175">
        <f t="shared" si="28"/>
        <v>0</v>
      </c>
      <c r="AB32" s="175">
        <f t="shared" si="28"/>
        <v>0</v>
      </c>
      <c r="AC32" s="175">
        <f t="shared" si="28"/>
        <v>0</v>
      </c>
      <c r="AD32" s="175">
        <f t="shared" si="28"/>
        <v>0</v>
      </c>
      <c r="AE32" s="175">
        <f t="shared" si="28"/>
        <v>0</v>
      </c>
      <c r="AF32" s="175">
        <f t="shared" si="28"/>
        <v>0</v>
      </c>
      <c r="AG32" s="175">
        <f t="shared" si="28"/>
        <v>0</v>
      </c>
      <c r="AH32" s="185">
        <f t="shared" si="28"/>
        <v>0</v>
      </c>
      <c r="AI32" s="129"/>
    </row>
    <row r="33" spans="1:36">
      <c r="A33" s="9"/>
      <c r="B33" s="35"/>
      <c r="C33" s="331"/>
      <c r="D33" s="331"/>
      <c r="E33" s="331"/>
      <c r="F33" s="331"/>
      <c r="G33" s="331"/>
      <c r="H33" s="287"/>
      <c r="I33" s="118"/>
      <c r="J33" s="118"/>
      <c r="K33" s="118"/>
      <c r="L33" s="118"/>
      <c r="M33" s="118"/>
      <c r="N33" s="185"/>
      <c r="O33" s="118"/>
      <c r="P33" s="118"/>
      <c r="Q33" s="118"/>
      <c r="R33" s="118"/>
      <c r="S33" s="118"/>
      <c r="T33" s="118"/>
      <c r="U33" s="118"/>
      <c r="V33" s="118"/>
      <c r="W33" s="118"/>
      <c r="X33" s="185"/>
      <c r="AI33" s="129"/>
    </row>
    <row r="34" spans="1:36">
      <c r="A34" s="9" t="s">
        <v>121</v>
      </c>
      <c r="B34" s="35">
        <v>1</v>
      </c>
      <c r="C34" s="331">
        <f>EIA_RE_aeo2014!E76*1000</f>
        <v>3367</v>
      </c>
      <c r="D34" s="331">
        <f>MAX(D58*D$14,'Output - Jobs vs Yr (BAU)'!D10)</f>
        <v>3758.4990628825312</v>
      </c>
      <c r="E34" s="331">
        <f>MAX(E58*E$14,'Output - Jobs vs Yr (BAU)'!E10)</f>
        <v>4101.7490328813756</v>
      </c>
      <c r="F34" s="331">
        <f>MAX(F58*F$14,'Output - Jobs vs Yr (BAU)'!F10)</f>
        <v>4273.1853399806678</v>
      </c>
      <c r="G34" s="331">
        <f>MAX(G58*G$14,'Output - Jobs vs Yr (BAU)'!G10)</f>
        <v>4562.1266621165332</v>
      </c>
      <c r="H34" s="287">
        <f>'Output - Jobs vs Yr (BAU)'!H10</f>
        <v>3033.4726781882623</v>
      </c>
      <c r="I34" s="287">
        <f>MAX(I58*I$14,'Output - Jobs vs Yr (BAU)'!I10)</f>
        <v>3645.0307494183835</v>
      </c>
      <c r="J34" s="287">
        <f>MAX(J58*J$14,'Output - Jobs vs Yr (BAU)'!J10)</f>
        <v>4321.003136725275</v>
      </c>
      <c r="K34" s="287">
        <f>MAX(K58*K$14,'Output - Jobs vs Yr (BAU)'!K10)</f>
        <v>4704.443572405351</v>
      </c>
      <c r="L34" s="287">
        <f>MAX(L58*L$14,'Output - Jobs vs Yr (BAU)'!L10)</f>
        <v>5073.2993254668618</v>
      </c>
      <c r="M34" s="287">
        <f>MAX(M58*M$14,'Output - Jobs vs Yr (BAU)'!M10)</f>
        <v>5453.9033448732225</v>
      </c>
      <c r="N34" s="288">
        <f>MAX(Inputs!$E17*N$21,'Output - Jobs vs Yr (BAU)'!N10)</f>
        <v>5822.0109129413368</v>
      </c>
      <c r="O34" s="287">
        <f>MAX(O58*O$14,'Output - Jobs vs Yr (BAU)'!O10)</f>
        <v>5904.9991012546834</v>
      </c>
      <c r="P34" s="287">
        <f>MAX(P58*P$14,'Output - Jobs vs Yr (BAU)'!P10)</f>
        <v>5888.7741538082</v>
      </c>
      <c r="Q34" s="287">
        <f>MAX(Q58*Q$14,'Output - Jobs vs Yr (BAU)'!Q10)</f>
        <v>5940.7036370069673</v>
      </c>
      <c r="R34" s="287">
        <f>MAX(R58*R$14,'Output - Jobs vs Yr (BAU)'!R10)</f>
        <v>5982.0395093208281</v>
      </c>
      <c r="S34" s="287">
        <f>MAX(S58*S$14,'Output - Jobs vs Yr (BAU)'!S10)</f>
        <v>6031.6040304397366</v>
      </c>
      <c r="T34" s="287">
        <f>MAX(T58*T$14,'Output - Jobs vs Yr (BAU)'!T10)</f>
        <v>6030.4860814985896</v>
      </c>
      <c r="U34" s="287">
        <f>MAX(U58*U$14,'Output - Jobs vs Yr (BAU)'!U10)</f>
        <v>6040.3783450149904</v>
      </c>
      <c r="V34" s="287">
        <f>MAX(V58*V$14,'Output - Jobs vs Yr (BAU)'!V10)</f>
        <v>6184.5284156839271</v>
      </c>
      <c r="W34" s="287">
        <f>MAX(W58*W$14,'Output - Jobs vs Yr (BAU)'!W10)</f>
        <v>6173.1783865078069</v>
      </c>
      <c r="X34" s="288">
        <f>Inputs!F17*'Output -Jobs vs Yr'!$X$14</f>
        <v>6272.4655882823163</v>
      </c>
      <c r="Y34" s="287">
        <f>MAX(Y58*Y$14,'Output - Jobs vs Yr (BAU)'!Y10)</f>
        <v>6357.2572737165947</v>
      </c>
      <c r="Z34" s="287">
        <f>MAX(Z58*Z$14,'Output - Jobs vs Yr (BAU)'!Z10)</f>
        <v>6460.1385113903307</v>
      </c>
      <c r="AA34" s="287">
        <f>MAX(AA58*AA$14,'Output - Jobs vs Yr (BAU)'!AA10)</f>
        <v>6592.1963094316616</v>
      </c>
      <c r="AB34" s="287">
        <f>MAX(AB58*AB$14,'Output - Jobs vs Yr (BAU)'!AB10)</f>
        <v>6700.1428630908385</v>
      </c>
      <c r="AC34" s="287">
        <f>MAX(AC58*AC$14,'Output - Jobs vs Yr (BAU)'!AC10)</f>
        <v>6727.2597887351767</v>
      </c>
      <c r="AD34" s="287">
        <f>MAX(AD58*AD$14,'Output - Jobs vs Yr (BAU)'!AD10)</f>
        <v>6836.7442725876008</v>
      </c>
      <c r="AE34" s="287">
        <f>MAX(AE58*AE$14,'Output - Jobs vs Yr (BAU)'!AE10)</f>
        <v>6942.3861793931701</v>
      </c>
      <c r="AF34" s="287">
        <f>MAX(AF58*AF$14,'Output - Jobs vs Yr (BAU)'!AF10)</f>
        <v>6955.9771806149192</v>
      </c>
      <c r="AG34" s="287">
        <f>MAX(AG58*AG$14,'Output - Jobs vs Yr (BAU)'!AG10)</f>
        <v>6989.7167556996565</v>
      </c>
      <c r="AH34" s="288">
        <f>Inputs!I17*'Output -Jobs vs Yr'!$AH$14</f>
        <v>6986.4730951928177</v>
      </c>
      <c r="AI34" s="128"/>
    </row>
    <row r="35" spans="1:36" s="20" customFormat="1">
      <c r="A35" s="9" t="s">
        <v>50</v>
      </c>
      <c r="B35" s="35">
        <v>1</v>
      </c>
      <c r="C35" s="331">
        <f>EIA_RE_aeo2014!E74*1000</f>
        <v>0</v>
      </c>
      <c r="D35" s="331">
        <f>MAX(D59*D$14,'Output - Jobs vs Yr (BAU)'!D11)</f>
        <v>0</v>
      </c>
      <c r="E35" s="331">
        <f>MAX(E59*E$14,'Output - Jobs vs Yr (BAU)'!E11)</f>
        <v>1.0000000000000001E-5</v>
      </c>
      <c r="F35" s="331">
        <f>MAX(F59*F$14,'Output - Jobs vs Yr (BAU)'!F11)</f>
        <v>1.0000000000000001E-5</v>
      </c>
      <c r="G35" s="331">
        <f>MAX(G59*G$14,'Output - Jobs vs Yr (BAU)'!G11)</f>
        <v>1.0000000000000001E-5</v>
      </c>
      <c r="H35" s="287">
        <f>'Output - Jobs vs Yr (BAU)'!H11</f>
        <v>1.0000000000000001E-5</v>
      </c>
      <c r="I35" s="287">
        <f>MAX(I59*I$14,'Output - Jobs vs Yr (BAU)'!I11)</f>
        <v>1.1237229120818202E-5</v>
      </c>
      <c r="J35" s="287">
        <f>MAX(J59*J$14,'Output - Jobs vs Yr (BAU)'!J11)</f>
        <v>1.2457782621047876E-5</v>
      </c>
      <c r="K35" s="287">
        <f>MAX(K59*K$14,'Output - Jobs vs Yr (BAU)'!K11)</f>
        <v>1.2684184717853756E-5</v>
      </c>
      <c r="L35" s="287">
        <f>MAX(L59*L$14,'Output - Jobs vs Yr (BAU)'!L11)</f>
        <v>1.2792131289342722E-5</v>
      </c>
      <c r="M35" s="287">
        <f>MAX(M59*M$14,'Output - Jobs vs Yr (BAU)'!M11)</f>
        <v>1.2860503912669823E-5</v>
      </c>
      <c r="N35" s="288">
        <f>MAX(Inputs!$E19*N$21,'Output - Jobs vs Yr (BAU)'!N11)</f>
        <v>1.2838718932502391E-5</v>
      </c>
      <c r="O35" s="287">
        <f>MAX(O59*O$14,'Output - Jobs vs Yr (BAU)'!O11)</f>
        <v>1.3021724777116027E-5</v>
      </c>
      <c r="P35" s="287">
        <f>MAX(P59*P$14,'Output - Jobs vs Yr (BAU)'!P11)</f>
        <v>1.2985945465968225E-5</v>
      </c>
      <c r="Q35" s="287">
        <f>MAX(Q59*Q$14,'Output - Jobs vs Yr (BAU)'!Q11)</f>
        <v>1.3100460544876288E-5</v>
      </c>
      <c r="R35" s="287">
        <f>MAX(R59*R$14,'Output - Jobs vs Yr (BAU)'!R11)</f>
        <v>1.3191614555819106E-5</v>
      </c>
      <c r="S35" s="287">
        <f>MAX(S59*S$14,'Output - Jobs vs Yr (BAU)'!S11)</f>
        <v>1.3300914412034635E-5</v>
      </c>
      <c r="T35" s="287">
        <f>MAX(T59*T$14,'Output - Jobs vs Yr (BAU)'!T11)</f>
        <v>1.3298449107099471E-5</v>
      </c>
      <c r="U35" s="287">
        <f>MAX(U59*U$14,'Output - Jobs vs Yr (BAU)'!U11)</f>
        <v>1.3320263561382096E-5</v>
      </c>
      <c r="V35" s="287">
        <f>MAX(V59*V$14,'Output - Jobs vs Yr (BAU)'!V11)</f>
        <v>1.3638143803980926E-5</v>
      </c>
      <c r="W35" s="287">
        <f>MAX(W59*W$14,'Output - Jobs vs Yr (BAU)'!W11)</f>
        <v>1.361311467974071E-5</v>
      </c>
      <c r="X35" s="288">
        <f>Inputs!F19*'Output -Jobs vs Yr'!$X$14</f>
        <v>1.3832063166138101E-5</v>
      </c>
      <c r="Y35" s="287">
        <f>MAX(Y59*Y$14,'Output - Jobs vs Yr (BAU)'!Y11)</f>
        <v>1.4019046088943011E-5</v>
      </c>
      <c r="Z35" s="287">
        <f>MAX(Z59*Z$14,'Output - Jobs vs Yr (BAU)'!Z11)</f>
        <v>1.4245920155940211E-5</v>
      </c>
      <c r="AA35" s="287">
        <f>MAX(AA59*AA$14,'Output - Jobs vs Yr (BAU)'!AA11)</f>
        <v>1.4537134476430252E-5</v>
      </c>
      <c r="AB35" s="287">
        <f>MAX(AB59*AB$14,'Output - Jobs vs Yr (BAU)'!AB11)</f>
        <v>1.4775178596045667E-5</v>
      </c>
      <c r="AC35" s="287">
        <f>MAX(AC59*AC$14,'Output - Jobs vs Yr (BAU)'!AC11)</f>
        <v>1.4834976935806137E-5</v>
      </c>
      <c r="AD35" s="287">
        <f>MAX(AD59*AD$14,'Output - Jobs vs Yr (BAU)'!AD11)</f>
        <v>1.5076412504490296E-5</v>
      </c>
      <c r="AE35" s="287">
        <f>MAX(AE59*AE$14,'Output - Jobs vs Yr (BAU)'!AE11)</f>
        <v>1.5309374408762147E-5</v>
      </c>
      <c r="AF35" s="287">
        <f>MAX(AF59*AF$14,'Output - Jobs vs Yr (BAU)'!AF11)</f>
        <v>1.5339345332435526E-5</v>
      </c>
      <c r="AG35" s="287">
        <f>MAX(AG59*AG$14,'Output - Jobs vs Yr (BAU)'!AG11)</f>
        <v>1.541374796202389E-5</v>
      </c>
      <c r="AH35" s="288">
        <f>Inputs!I19*'Output -Jobs vs Yr'!$AH$14</f>
        <v>1.5406595030471115E-5</v>
      </c>
      <c r="AI35" s="128"/>
    </row>
    <row r="36" spans="1:36">
      <c r="A36" s="9" t="s">
        <v>119</v>
      </c>
      <c r="B36" s="35">
        <v>1</v>
      </c>
      <c r="C36" s="331">
        <v>0</v>
      </c>
      <c r="D36" s="331">
        <v>0</v>
      </c>
      <c r="E36" s="331">
        <v>0</v>
      </c>
      <c r="F36" s="331">
        <v>0</v>
      </c>
      <c r="G36" s="331">
        <v>0</v>
      </c>
      <c r="H36" s="287">
        <v>0</v>
      </c>
      <c r="I36" s="118">
        <v>0</v>
      </c>
      <c r="J36" s="118">
        <v>0</v>
      </c>
      <c r="K36" s="118">
        <v>0</v>
      </c>
      <c r="L36" s="118">
        <v>0</v>
      </c>
      <c r="M36" s="118">
        <v>0</v>
      </c>
      <c r="N36" s="185">
        <v>0</v>
      </c>
      <c r="O36" s="118">
        <v>0</v>
      </c>
      <c r="P36" s="118">
        <v>0</v>
      </c>
      <c r="Q36" s="118">
        <v>0</v>
      </c>
      <c r="R36" s="118">
        <v>0</v>
      </c>
      <c r="S36" s="118">
        <v>0</v>
      </c>
      <c r="T36" s="118">
        <v>0</v>
      </c>
      <c r="U36" s="118">
        <v>0</v>
      </c>
      <c r="V36" s="118">
        <v>0</v>
      </c>
      <c r="W36" s="118">
        <v>0</v>
      </c>
      <c r="X36" s="185">
        <v>0</v>
      </c>
      <c r="Y36" s="175">
        <v>0</v>
      </c>
      <c r="Z36" s="175">
        <v>0</v>
      </c>
      <c r="AA36" s="175">
        <v>0</v>
      </c>
      <c r="AB36" s="175">
        <v>0</v>
      </c>
      <c r="AC36" s="175">
        <v>0</v>
      </c>
      <c r="AD36" s="175">
        <v>0</v>
      </c>
      <c r="AE36" s="175">
        <v>0</v>
      </c>
      <c r="AF36" s="175">
        <v>0</v>
      </c>
      <c r="AG36" s="175">
        <v>0</v>
      </c>
      <c r="AH36" s="185">
        <v>0</v>
      </c>
      <c r="AI36" s="128"/>
    </row>
    <row r="37" spans="1:36">
      <c r="A37" s="9" t="s">
        <v>51</v>
      </c>
      <c r="B37" s="35">
        <v>1</v>
      </c>
      <c r="C37" s="331">
        <f>EIA_RE_aeo2014!E75*1000</f>
        <v>232</v>
      </c>
      <c r="D37" s="331">
        <f>MAX(D61*D$14,'Output - Jobs vs Yr (BAU)'!D12)</f>
        <v>242.18782512287439</v>
      </c>
      <c r="E37" s="331">
        <f>MAX(E61*E$14,'Output - Jobs vs Yr (BAU)'!E12)</f>
        <v>247.17237902815145</v>
      </c>
      <c r="F37" s="331">
        <f>MAX(F61*F$14,'Output - Jobs vs Yr (BAU)'!F12)</f>
        <v>240.81058653436611</v>
      </c>
      <c r="G37" s="331">
        <f>MAX(G61*G$14,'Output - Jobs vs Yr (BAU)'!G12)</f>
        <v>262.68635259952293</v>
      </c>
      <c r="H37" s="287">
        <f>'Output - Jobs vs Yr (BAU)'!H12</f>
        <v>262.50939566077619</v>
      </c>
      <c r="I37" s="118">
        <f>MAX(I61*I$14,'Output - Jobs vs Yr (BAU)'!I12)</f>
        <v>294.98433475366659</v>
      </c>
      <c r="J37" s="118">
        <f>MAX(J61*J$14,'Output - Jobs vs Yr (BAU)'!J12)</f>
        <v>327.02076551841685</v>
      </c>
      <c r="K37" s="118">
        <f>MAX(K61*K$14,'Output - Jobs vs Yr (BAU)'!K12)</f>
        <v>332.95995594275394</v>
      </c>
      <c r="L37" s="118">
        <f>MAX(L61*L$14,'Output - Jobs vs Yr (BAU)'!L12)</f>
        <v>335.78958410231451</v>
      </c>
      <c r="M37" s="118">
        <f>MAX(M61*M$14,'Output - Jobs vs Yr (BAU)'!M12)</f>
        <v>337.58035339448492</v>
      </c>
      <c r="N37" s="185">
        <f>MAX(Inputs!$E20*N$21,'Output - Jobs vs Yr (BAU)'!N12)</f>
        <v>337.00452638523234</v>
      </c>
      <c r="O37" s="175">
        <f>MAX(O61*O$14,'Output - Jobs vs Yr (BAU)'!O12)</f>
        <v>341.80826095672541</v>
      </c>
      <c r="P37" s="175">
        <f>MAX(P61*P$14,'Output - Jobs vs Yr (BAU)'!P12)</f>
        <v>340.86908705073472</v>
      </c>
      <c r="Q37" s="175">
        <f>MAX(Q61*Q$14,'Output - Jobs vs Yr (BAU)'!Q12)</f>
        <v>343.87500221518934</v>
      </c>
      <c r="R37" s="175">
        <f>MAX(R61*R$14,'Output - Jobs vs Yr (BAU)'!R12)</f>
        <v>346.2677108995527</v>
      </c>
      <c r="S37" s="175">
        <f>MAX(S61*S$14,'Output - Jobs vs Yr (BAU)'!S12)</f>
        <v>349.13673128013278</v>
      </c>
      <c r="T37" s="175">
        <f>MAX(T61*T$14,'Output - Jobs vs Yr (BAU)'!T12)</f>
        <v>349.07201930018846</v>
      </c>
      <c r="U37" s="175">
        <f>MAX(U61*U$14,'Output - Jobs vs Yr (BAU)'!U12)</f>
        <v>349.64462859808788</v>
      </c>
      <c r="V37" s="175">
        <f>MAX(V61*V$14,'Output - Jobs vs Yr (BAU)'!V12)</f>
        <v>357.98869167536577</v>
      </c>
      <c r="W37" s="175">
        <f>MAX(W61*W$14,'Output - Jobs vs Yr (BAU)'!W12)</f>
        <v>357.33170025708199</v>
      </c>
      <c r="X37" s="185">
        <f>Inputs!F20*'Output -Jobs vs Yr'!$X$14</f>
        <v>363.07889601306374</v>
      </c>
      <c r="Y37" s="175">
        <f>MAX(Y61*Y$14,'Output - Jobs vs Yr (BAU)'!Y12)</f>
        <v>367.98702521764272</v>
      </c>
      <c r="Z37" s="175">
        <f>MAX(Z61*Z$14,'Output - Jobs vs Yr (BAU)'!Z12)</f>
        <v>373.94226015186365</v>
      </c>
      <c r="AA37" s="175">
        <f>MAX(AA61*AA$14,'Output - Jobs vs Yr (BAU)'!AA12)</f>
        <v>381.58636737699283</v>
      </c>
      <c r="AB37" s="175">
        <f>MAX(AB61*AB$14,'Output - Jobs vs Yr (BAU)'!AB12)</f>
        <v>387.83480588643732</v>
      </c>
      <c r="AC37" s="175">
        <f>MAX(AC61*AC$14,'Output - Jobs vs Yr (BAU)'!AC12)</f>
        <v>389.40445713244929</v>
      </c>
      <c r="AD37" s="175">
        <f>MAX(AD61*AD$14,'Output - Jobs vs Yr (BAU)'!AD12)</f>
        <v>395.74191805084132</v>
      </c>
      <c r="AE37" s="175">
        <f>MAX(AE61*AE$14,'Output - Jobs vs Yr (BAU)'!AE12)</f>
        <v>401.85695309660309</v>
      </c>
      <c r="AF37" s="175">
        <f>MAX(AF61*AF$14,'Output - Jobs vs Yr (BAU)'!AF12)</f>
        <v>402.64366219047577</v>
      </c>
      <c r="AG37" s="175">
        <f>MAX(AG61*AG$14,'Output - Jobs vs Yr (BAU)'!AG12)</f>
        <v>404.59666256988015</v>
      </c>
      <c r="AH37" s="185">
        <f>Inputs!I20*'Output -Jobs vs Yr'!$AH$14</f>
        <v>404.40890471624368</v>
      </c>
      <c r="AI37" s="128"/>
    </row>
    <row r="38" spans="1:36" s="20" customFormat="1">
      <c r="A38" s="9" t="s">
        <v>347</v>
      </c>
      <c r="B38" s="35">
        <v>1</v>
      </c>
      <c r="C38" s="331">
        <f>'Output - Jobs vs Yr (BAU)'!C13</f>
        <v>490.46999999999997</v>
      </c>
      <c r="D38" s="331">
        <f>MAX(D62*D$14,'Output - Jobs vs Yr (BAU)'!D13)</f>
        <v>532.2790114967105</v>
      </c>
      <c r="E38" s="331">
        <f>MAX(E62*E$14,'Output - Jobs vs Yr (BAU)'!E13)</f>
        <v>564.74129186268772</v>
      </c>
      <c r="F38" s="331">
        <f>MAX(F62*F$14,'Output - Jobs vs Yr (BAU)'!F13)</f>
        <v>571.98909837970791</v>
      </c>
      <c r="G38" s="331">
        <f>MAX(G62*G$14,'Output - Jobs vs Yr (BAU)'!G13)</f>
        <v>593.68889269675481</v>
      </c>
      <c r="H38" s="287">
        <f>'Output - Jobs vs Yr (BAU)'!H13</f>
        <v>518.67457290862615</v>
      </c>
      <c r="I38" s="118">
        <f>MAX(I62*I$14,'Output - Jobs vs Yr (BAU)'!I13)</f>
        <v>605.91489659765114</v>
      </c>
      <c r="J38" s="118">
        <f>MAX(J62*J$14,'Output - Jobs vs Yr (BAU)'!J13)</f>
        <v>698.31372555468909</v>
      </c>
      <c r="K38" s="118">
        <f>MAX(K62*K$14,'Output - Jobs vs Yr (BAU)'!K13)</f>
        <v>739.14530677884159</v>
      </c>
      <c r="L38" s="118">
        <f>MAX(L62*L$14,'Output - Jobs vs Yr (BAU)'!L13)</f>
        <v>774.9391636102846</v>
      </c>
      <c r="M38" s="118">
        <f>MAX(M62*M$14,'Output - Jobs vs Yr (BAU)'!M13)</f>
        <v>809.91627003124552</v>
      </c>
      <c r="N38" s="185">
        <f>MAX(Inputs!$E21*N$21,'Output - Jobs vs Yr (BAU)'!N13)</f>
        <v>840.54557221419691</v>
      </c>
      <c r="O38" s="175">
        <f>MAX(O62*O$14,'Output - Jobs vs Yr (BAU)'!O13)</f>
        <v>852.52688851125254</v>
      </c>
      <c r="P38" s="175">
        <f>MAX(P62*P$14,'Output - Jobs vs Yr (BAU)'!P13)</f>
        <v>850.18443193748772</v>
      </c>
      <c r="Q38" s="175">
        <f>MAX(Q62*Q$14,'Output - Jobs vs Yr (BAU)'!Q13)</f>
        <v>857.68168637805752</v>
      </c>
      <c r="R38" s="175">
        <f>MAX(R62*R$14,'Output - Jobs vs Yr (BAU)'!R13)</f>
        <v>863.64950144514989</v>
      </c>
      <c r="S38" s="175">
        <f>MAX(S62*S$14,'Output - Jobs vs Yr (BAU)'!S13)</f>
        <v>870.8053174318236</v>
      </c>
      <c r="T38" s="175">
        <f>MAX(T62*T$14,'Output - Jobs vs Yr (BAU)'!T13)</f>
        <v>870.64391494624022</v>
      </c>
      <c r="U38" s="175">
        <f>MAX(U62*U$14,'Output - Jobs vs Yr (BAU)'!U13)</f>
        <v>872.07209816716181</v>
      </c>
      <c r="V38" s="175">
        <f>MAX(V62*V$14,'Output - Jobs vs Yr (BAU)'!V13)</f>
        <v>892.88358503088614</v>
      </c>
      <c r="W38" s="175">
        <f>MAX(W62*W$14,'Output - Jobs vs Yr (BAU)'!W13)</f>
        <v>891.2449387089971</v>
      </c>
      <c r="X38" s="185">
        <f>Inputs!F21*'Output -Jobs vs Yr'!$X$14</f>
        <v>905.5794047684127</v>
      </c>
      <c r="Y38" s="175">
        <f>MAX(Y62*Y$14,'Output - Jobs vs Yr (BAU)'!Y13)</f>
        <v>917.82109871541957</v>
      </c>
      <c r="Z38" s="175">
        <f>MAX(Z62*Z$14,'Output - Jobs vs Yr (BAU)'!Z13)</f>
        <v>932.67444923016228</v>
      </c>
      <c r="AA38" s="175">
        <f>MAX(AA62*AA$14,'Output - Jobs vs Yr (BAU)'!AA13)</f>
        <v>951.74012929841206</v>
      </c>
      <c r="AB38" s="175">
        <f>MAX(AB62*AB$14,'Output - Jobs vs Yr (BAU)'!AB13)</f>
        <v>967.32477849793815</v>
      </c>
      <c r="AC38" s="175">
        <f>MAX(AC62*AC$14,'Output - Jobs vs Yr (BAU)'!AC13)</f>
        <v>971.23975085426696</v>
      </c>
      <c r="AD38" s="175">
        <f>MAX(AD62*AD$14,'Output - Jobs vs Yr (BAU)'!AD13)</f>
        <v>987.0464368094157</v>
      </c>
      <c r="AE38" s="175">
        <f>MAX(AE62*AE$14,'Output - Jobs vs Yr (BAU)'!AE13)</f>
        <v>1002.2983554906921</v>
      </c>
      <c r="AF38" s="175">
        <f>MAX(AF62*AF$14,'Output - Jobs vs Yr (BAU)'!AF13)</f>
        <v>1004.260539359758</v>
      </c>
      <c r="AG38" s="175">
        <f>MAX(AG62*AG$14,'Output - Jobs vs Yr (BAU)'!AG13)</f>
        <v>1009.1316484782287</v>
      </c>
      <c r="AH38" s="185">
        <f>Inputs!I21*'Output -Jobs vs Yr'!$AH$14</f>
        <v>1008.6633490336623</v>
      </c>
      <c r="AI38" s="128"/>
    </row>
    <row r="39" spans="1:36" s="20" customFormat="1">
      <c r="A39" s="9" t="s">
        <v>348</v>
      </c>
      <c r="B39" s="35">
        <v>1</v>
      </c>
      <c r="C39" s="331">
        <f>'Output - Jobs vs Yr (BAU)'!C14</f>
        <v>0</v>
      </c>
      <c r="D39" s="331">
        <f>MAX(D63*D$14,'Output - Jobs vs Yr (BAU)'!D14)</f>
        <v>0</v>
      </c>
      <c r="E39" s="331">
        <f>MAX(E63*E$14,'Output - Jobs vs Yr (BAU)'!E14)</f>
        <v>0.1</v>
      </c>
      <c r="F39" s="331">
        <f>MAX(F63*F$14,'Output - Jobs vs Yr (BAU)'!F14)</f>
        <v>0.1</v>
      </c>
      <c r="G39" s="331">
        <f>MAX(G63*G$14,'Output - Jobs vs Yr (BAU)'!G14)</f>
        <v>0.1</v>
      </c>
      <c r="H39" s="287">
        <f>'Output - Jobs vs Yr (BAU)'!H14</f>
        <v>0.1</v>
      </c>
      <c r="I39" s="118">
        <f>MAX(I63*I$14,'Output - Jobs vs Yr (BAU)'!I14)</f>
        <v>0.112372291208182</v>
      </c>
      <c r="J39" s="118">
        <f>MAX(J63*J$14,'Output - Jobs vs Yr (BAU)'!J14)</f>
        <v>0.12457782621047876</v>
      </c>
      <c r="K39" s="118">
        <f>MAX(K63*K$14,'Output - Jobs vs Yr (BAU)'!K14)</f>
        <v>0.12684184717853755</v>
      </c>
      <c r="L39" s="118">
        <f>MAX(L63*L$14,'Output - Jobs vs Yr (BAU)'!L14)</f>
        <v>0.1279213128934272</v>
      </c>
      <c r="M39" s="118">
        <f>MAX(M63*M$14,'Output - Jobs vs Yr (BAU)'!M14)</f>
        <v>0.12860503912669821</v>
      </c>
      <c r="N39" s="185">
        <f>MAX(Inputs!$E22*N$21,'Output - Jobs vs Yr (BAU)'!N14)</f>
        <v>0.12838718932502388</v>
      </c>
      <c r="O39" s="175">
        <f>MAX(O63*O$14,'Output - Jobs vs Yr (BAU)'!O14)</f>
        <v>0.13021724777116023</v>
      </c>
      <c r="P39" s="175">
        <f>MAX(P63*P$14,'Output - Jobs vs Yr (BAU)'!P14)</f>
        <v>0.12985945465968221</v>
      </c>
      <c r="Q39" s="175">
        <f>MAX(Q63*Q$14,'Output - Jobs vs Yr (BAU)'!Q14)</f>
        <v>0.13100460544876286</v>
      </c>
      <c r="R39" s="175">
        <f>MAX(R63*R$14,'Output - Jobs vs Yr (BAU)'!R14)</f>
        <v>0.13191614555819103</v>
      </c>
      <c r="S39" s="175">
        <f>MAX(S63*S$14,'Output - Jobs vs Yr (BAU)'!S14)</f>
        <v>0.13300914412034631</v>
      </c>
      <c r="T39" s="175">
        <f>MAX(T63*T$14,'Output - Jobs vs Yr (BAU)'!T14)</f>
        <v>0.13298449107099466</v>
      </c>
      <c r="U39" s="175">
        <f>MAX(U63*U$14,'Output - Jobs vs Yr (BAU)'!U14)</f>
        <v>0.13320263561382092</v>
      </c>
      <c r="V39" s="175">
        <f>MAX(V63*V$14,'Output - Jobs vs Yr (BAU)'!V14)</f>
        <v>0.13638143803980923</v>
      </c>
      <c r="W39" s="175">
        <f>MAX(W63*W$14,'Output - Jobs vs Yr (BAU)'!W14)</f>
        <v>0.13613114679740707</v>
      </c>
      <c r="X39" s="185">
        <f>Inputs!F22*'Output -Jobs vs Yr'!$X$14</f>
        <v>0.138320631661381</v>
      </c>
      <c r="Y39" s="175">
        <f>MAX(Y63*Y$14,'Output - Jobs vs Yr (BAU)'!Y14)</f>
        <v>0.14019046088943013</v>
      </c>
      <c r="Z39" s="175">
        <f>MAX(Z63*Z$14,'Output - Jobs vs Yr (BAU)'!Z14)</f>
        <v>0.14245920155940212</v>
      </c>
      <c r="AA39" s="175">
        <f>MAX(AA63*AA$14,'Output - Jobs vs Yr (BAU)'!AA14)</f>
        <v>0.14537134476430252</v>
      </c>
      <c r="AB39" s="175">
        <f>MAX(AB63*AB$14,'Output - Jobs vs Yr (BAU)'!AB14)</f>
        <v>0.14775178596045666</v>
      </c>
      <c r="AC39" s="175">
        <f>MAX(AC63*AC$14,'Output - Jobs vs Yr (BAU)'!AC14)</f>
        <v>0.14834976935806135</v>
      </c>
      <c r="AD39" s="175">
        <f>MAX(AD63*AD$14,'Output - Jobs vs Yr (BAU)'!AD14)</f>
        <v>0.15076412504490294</v>
      </c>
      <c r="AE39" s="175">
        <f>MAX(AE63*AE$14,'Output - Jobs vs Yr (BAU)'!AE14)</f>
        <v>0.15309374408762144</v>
      </c>
      <c r="AF39" s="175">
        <f>MAX(AF63*AF$14,'Output - Jobs vs Yr (BAU)'!AF14)</f>
        <v>0.15339345332435522</v>
      </c>
      <c r="AG39" s="175">
        <f>MAX(AG63*AG$14,'Output - Jobs vs Yr (BAU)'!AG14)</f>
        <v>0.15413747962023891</v>
      </c>
      <c r="AH39" s="185">
        <f>Inputs!I22*'Output -Jobs vs Yr'!$AH$14</f>
        <v>0.15406595030471115</v>
      </c>
      <c r="AI39" s="128"/>
    </row>
    <row r="40" spans="1:36" s="20" customFormat="1">
      <c r="A40" s="9" t="s">
        <v>344</v>
      </c>
      <c r="B40" s="35">
        <v>1</v>
      </c>
      <c r="C40" s="331">
        <f>'Output - Jobs vs Yr (BAU)'!C15</f>
        <v>0.01</v>
      </c>
      <c r="D40" s="331">
        <f>MAX(D64*D$14,'Output - Jobs vs Yr (BAU)'!D15)</f>
        <v>1.0439253821694642E-2</v>
      </c>
      <c r="E40" s="331">
        <f>MAX(E64*E$14,'Output - Jobs vs Yr (BAU)'!E15)</f>
        <v>1.0654233793736215E-2</v>
      </c>
      <c r="F40" s="331">
        <f>MAX(F64*F$14,'Output - Jobs vs Yr (BAU)'!F15)</f>
        <v>1.0380134845033884E-2</v>
      </c>
      <c r="G40" s="331">
        <f>MAX(G64*G$14,'Output - Jobs vs Yr (BAU)'!G15)</f>
        <v>1.0363745310458519E-2</v>
      </c>
      <c r="H40" s="287">
        <f>'Output - Jobs vs Yr (BAU)'!H15</f>
        <v>0.01</v>
      </c>
      <c r="I40" s="118">
        <f>MAX(I64*I$14,'Output - Jobs vs Yr (BAU)'!I15)</f>
        <v>1.1237229120818199E-2</v>
      </c>
      <c r="J40" s="118">
        <f>MAX(J64*J$14,'Output - Jobs vs Yr (BAU)'!J15)</f>
        <v>1.2457782621047873E-2</v>
      </c>
      <c r="K40" s="118">
        <f>MAX(K64*K$14,'Output - Jobs vs Yr (BAU)'!K15)</f>
        <v>1.2684184717853753E-2</v>
      </c>
      <c r="L40" s="118">
        <f>MAX(L64*L$14,'Output - Jobs vs Yr (BAU)'!L15)</f>
        <v>1.2792131289342718E-2</v>
      </c>
      <c r="M40" s="118">
        <f>MAX(M64*M$14,'Output - Jobs vs Yr (BAU)'!M15)</f>
        <v>1.2860503912669819E-2</v>
      </c>
      <c r="N40" s="185">
        <f>MAX(Inputs!$E18*N$21,'Output - Jobs vs Yr (BAU)'!N15)</f>
        <v>1.283871893250239E-2</v>
      </c>
      <c r="O40" s="175">
        <f>MAX(O64*O$14,'Output - Jobs vs Yr (BAU)'!O15)</f>
        <v>1.3021724777116021E-2</v>
      </c>
      <c r="P40" s="175">
        <f>MAX(P64*P$14,'Output - Jobs vs Yr (BAU)'!P15)</f>
        <v>1.2985945465968218E-2</v>
      </c>
      <c r="Q40" s="175">
        <f>MAX(Q64*Q$14,'Output - Jobs vs Yr (BAU)'!Q15)</f>
        <v>1.3100460544876281E-2</v>
      </c>
      <c r="R40" s="175">
        <f>MAX(R64*R$14,'Output - Jobs vs Yr (BAU)'!R15)</f>
        <v>1.31916145558191E-2</v>
      </c>
      <c r="S40" s="175">
        <f>MAX(S64*S$14,'Output - Jobs vs Yr (BAU)'!S15)</f>
        <v>1.3300914412034629E-2</v>
      </c>
      <c r="T40" s="175">
        <f>MAX(T64*T$14,'Output - Jobs vs Yr (BAU)'!T15)</f>
        <v>1.3298449107099463E-2</v>
      </c>
      <c r="U40" s="175">
        <f>MAX(U64*U$14,'Output - Jobs vs Yr (BAU)'!U15)</f>
        <v>1.3320263561382089E-2</v>
      </c>
      <c r="V40" s="175">
        <f>MAX(V64*V$14,'Output - Jobs vs Yr (BAU)'!V15)</f>
        <v>1.363814380398092E-2</v>
      </c>
      <c r="W40" s="175">
        <f>MAX(W64*W$14,'Output - Jobs vs Yr (BAU)'!W15)</f>
        <v>1.3613114679740702E-2</v>
      </c>
      <c r="X40" s="185">
        <f>Inputs!F18*'Output -Jobs vs Yr'!$X$14</f>
        <v>1.38320631661381E-2</v>
      </c>
      <c r="Y40" s="175">
        <f>MAX(Y64*Y$14,'Output - Jobs vs Yr (BAU)'!Y15)</f>
        <v>1.4019046088943011E-2</v>
      </c>
      <c r="Z40" s="175">
        <f>MAX(Z64*Z$14,'Output - Jobs vs Yr (BAU)'!Z15)</f>
        <v>1.4245920155940209E-2</v>
      </c>
      <c r="AA40" s="175">
        <f>MAX(AA64*AA$14,'Output - Jobs vs Yr (BAU)'!AA15)</f>
        <v>1.453713447643025E-2</v>
      </c>
      <c r="AB40" s="175">
        <f>MAX(AB64*AB$14,'Output - Jobs vs Yr (BAU)'!AB15)</f>
        <v>1.4775178596045664E-2</v>
      </c>
      <c r="AC40" s="175">
        <f>MAX(AC64*AC$14,'Output - Jobs vs Yr (BAU)'!AC15)</f>
        <v>1.4834976935806135E-2</v>
      </c>
      <c r="AD40" s="175">
        <f>MAX(AD64*AD$14,'Output - Jobs vs Yr (BAU)'!AD15)</f>
        <v>1.5076412504490296E-2</v>
      </c>
      <c r="AE40" s="175">
        <f>MAX(AE64*AE$14,'Output - Jobs vs Yr (BAU)'!AE15)</f>
        <v>1.5309374408762146E-2</v>
      </c>
      <c r="AF40" s="175">
        <f>MAX(AF64*AF$14,'Output - Jobs vs Yr (BAU)'!AF15)</f>
        <v>1.5339345332435524E-2</v>
      </c>
      <c r="AG40" s="175">
        <f>MAX(AG64*AG$14,'Output - Jobs vs Yr (BAU)'!AG15)</f>
        <v>1.541374796202389E-2</v>
      </c>
      <c r="AH40" s="185">
        <f>Inputs!I18*'Output -Jobs vs Yr'!$AH$14</f>
        <v>1.5406595030471116E-2</v>
      </c>
      <c r="AI40" s="128"/>
    </row>
    <row r="41" spans="1:36" s="253" customFormat="1">
      <c r="A41" s="10" t="s">
        <v>120</v>
      </c>
      <c r="B41" s="37">
        <v>1</v>
      </c>
      <c r="C41" s="331">
        <v>0</v>
      </c>
      <c r="D41" s="331">
        <v>0</v>
      </c>
      <c r="E41" s="331">
        <v>0</v>
      </c>
      <c r="F41" s="331">
        <v>0</v>
      </c>
      <c r="G41" s="331">
        <v>0</v>
      </c>
      <c r="H41" s="287">
        <v>1</v>
      </c>
      <c r="I41" s="287">
        <v>2</v>
      </c>
      <c r="J41" s="287">
        <v>3</v>
      </c>
      <c r="K41" s="287">
        <v>4</v>
      </c>
      <c r="L41" s="287">
        <v>5</v>
      </c>
      <c r="M41" s="287">
        <v>6</v>
      </c>
      <c r="N41" s="288">
        <v>7</v>
      </c>
      <c r="O41" s="287">
        <v>8</v>
      </c>
      <c r="P41" s="287">
        <v>9</v>
      </c>
      <c r="Q41" s="287">
        <v>10</v>
      </c>
      <c r="R41" s="287">
        <v>11</v>
      </c>
      <c r="S41" s="287">
        <v>12</v>
      </c>
      <c r="T41" s="287">
        <v>13</v>
      </c>
      <c r="U41" s="287">
        <v>14</v>
      </c>
      <c r="V41" s="287">
        <v>15</v>
      </c>
      <c r="W41" s="287">
        <v>16</v>
      </c>
      <c r="X41" s="288">
        <v>17</v>
      </c>
      <c r="Y41" s="253">
        <v>18</v>
      </c>
      <c r="Z41" s="253">
        <v>19</v>
      </c>
      <c r="AA41" s="253">
        <v>20</v>
      </c>
      <c r="AB41" s="253">
        <v>21</v>
      </c>
      <c r="AC41" s="253">
        <v>22</v>
      </c>
      <c r="AD41" s="198">
        <v>23</v>
      </c>
      <c r="AE41" s="253">
        <v>24</v>
      </c>
      <c r="AF41" s="253">
        <v>25</v>
      </c>
      <c r="AG41" s="253">
        <v>26</v>
      </c>
      <c r="AH41" s="288">
        <v>27</v>
      </c>
      <c r="AI41" s="253">
        <f>EXP(0.01)</f>
        <v>1.0100501670841679</v>
      </c>
      <c r="AJ41" s="483">
        <v>0.01</v>
      </c>
    </row>
    <row r="42" spans="1:36" s="20" customFormat="1">
      <c r="A42" s="9" t="s">
        <v>53</v>
      </c>
      <c r="B42" s="35">
        <v>1</v>
      </c>
      <c r="C42" s="331">
        <f>EIA_RE_aeo2014!E78*1000</f>
        <v>299</v>
      </c>
      <c r="D42" s="331">
        <f>MAX(D66*D$14,'Output - Jobs vs Yr (BAU)'!D16)</f>
        <v>499</v>
      </c>
      <c r="E42" s="331">
        <f>MAX(E66*E$14,'Output - Jobs vs Yr (BAU)'!E16)</f>
        <v>583.91233070900296</v>
      </c>
      <c r="F42" s="331">
        <f>MAX(F66*F$14,'Output - Jobs vs Yr (BAU)'!F16)</f>
        <v>870.53749814229786</v>
      </c>
      <c r="G42" s="331">
        <f>MAX(G66*G$14,'Output - Jobs vs Yr (BAU)'!G16)</f>
        <v>1445.8319848116309</v>
      </c>
      <c r="H42" s="287">
        <f>'Output - Jobs vs Yr (BAU)'!H16</f>
        <v>1467.2631053167781</v>
      </c>
      <c r="I42" s="118">
        <f>MAX(I66*I$14,'Output - Jobs vs Yr (BAU)'!I16)</f>
        <v>3627.041722052878</v>
      </c>
      <c r="J42" s="118">
        <f>MAX(J66*J$14,'Output - Jobs vs Yr (BAU)'!J16)</f>
        <v>5085.4727256893457</v>
      </c>
      <c r="K42" s="118">
        <f>MAX(K66*K$14,'Output - Jobs vs Yr (BAU)'!K16)</f>
        <v>5085.3582317626269</v>
      </c>
      <c r="L42" s="118">
        <f>MAX(L66*L$14,'Output - Jobs vs Yr (BAU)'!L16)</f>
        <v>5083.7881249898028</v>
      </c>
      <c r="M42" s="118">
        <f>MAX(M66*M$14,'Output - Jobs vs Yr (BAU)'!M16)</f>
        <v>5316.0851952933826</v>
      </c>
      <c r="N42" s="185">
        <f>MAX(Inputs!$E23*N$21,'Output - Jobs vs Yr (BAU)'!N16)</f>
        <v>6528.6115286494241</v>
      </c>
      <c r="O42" s="175">
        <f>MAX(O66*O$14,'Output - Jobs vs Yr (BAU)'!O16)</f>
        <v>6621.6717532120265</v>
      </c>
      <c r="P42" s="175">
        <f>MAX(P66*P$14,'Output - Jobs vs Yr (BAU)'!P16)</f>
        <v>6603.4776308486707</v>
      </c>
      <c r="Q42" s="175">
        <f>MAX(Q66*Q$14,'Output - Jobs vs Yr (BAU)'!Q16)</f>
        <v>6661.7096451402758</v>
      </c>
      <c r="R42" s="175">
        <f>MAX(R66*R$14,'Output - Jobs vs Yr (BAU)'!R16)</f>
        <v>6708.0623326515934</v>
      </c>
      <c r="S42" s="175">
        <f>MAX(S66*S$14,'Output - Jobs vs Yr (BAU)'!S16)</f>
        <v>6763.6423562598629</v>
      </c>
      <c r="T42" s="175">
        <f>MAX(T66*T$14,'Output - Jobs vs Yr (BAU)'!T16)</f>
        <v>6762.3887250910539</v>
      </c>
      <c r="U42" s="175">
        <f>MAX(U66*U$14,'Output - Jobs vs Yr (BAU)'!U16)</f>
        <v>6773.4815840024057</v>
      </c>
      <c r="V42" s="175">
        <f>MAX(V66*V$14,'Output - Jobs vs Yr (BAU)'!V16)</f>
        <v>6935.1267315806999</v>
      </c>
      <c r="W42" s="175">
        <f>MAX(W66*W$14,'Output - Jobs vs Yr (BAU)'!W16)</f>
        <v>6922.3991822102562</v>
      </c>
      <c r="X42" s="185">
        <f>Inputs!F23*'Output -Jobs vs Yr'!$X$14</f>
        <v>7033.7365843287525</v>
      </c>
      <c r="Y42" s="175">
        <f>MAX(Y66*Y$14,'Output - Jobs vs Yr (BAU)'!Y16)</f>
        <v>7128.8191912385664</v>
      </c>
      <c r="Z42" s="175">
        <f>MAX(Z66*Z$14,'Output - Jobs vs Yr (BAU)'!Z16)</f>
        <v>7244.1868269922998</v>
      </c>
      <c r="AA42" s="175">
        <f>MAX(AA66*AA$14,'Output - Jobs vs Yr (BAU)'!AA16)</f>
        <v>7392.2720978089974</v>
      </c>
      <c r="AB42" s="175">
        <f>MAX(AB66*AB$14,'Output - Jobs vs Yr (BAU)'!AB16)</f>
        <v>7513.3198122903905</v>
      </c>
      <c r="AC42" s="175">
        <f>MAX(AC66*AC$14,'Output - Jobs vs Yr (BAU)'!AC16)</f>
        <v>7543.7278407242839</v>
      </c>
      <c r="AD42" s="175">
        <f>MAX(AD66*AD$14,'Output - Jobs vs Yr (BAU)'!AD16)</f>
        <v>7666.5001395357367</v>
      </c>
      <c r="AE42" s="175">
        <f>MAX(AE66*AE$14,'Output - Jobs vs Yr (BAU)'!AE16)</f>
        <v>7784.963498844505</v>
      </c>
      <c r="AF42" s="175">
        <f>MAX(AF66*AF$14,'Output - Jobs vs Yr (BAU)'!AF16)</f>
        <v>7800.2040005524241</v>
      </c>
      <c r="AG42" s="175">
        <f>MAX(AG66*AG$14,'Output - Jobs vs Yr (BAU)'!AG16)</f>
        <v>7838.0384502234674</v>
      </c>
      <c r="AH42" s="185">
        <f>Inputs!I23*'Output -Jobs vs Yr'!$AH$14</f>
        <v>7834.4011160280088</v>
      </c>
      <c r="AI42" s="128"/>
    </row>
    <row r="43" spans="1:36">
      <c r="A43" s="10" t="s">
        <v>332</v>
      </c>
      <c r="B43" s="37"/>
      <c r="C43" s="331">
        <f>SUM(C31:C42)</f>
        <v>8600.4699999999993</v>
      </c>
      <c r="D43" s="331">
        <f t="shared" ref="D43:AG43" si="29">SUM(D31:D42)</f>
        <v>9279.9383196382532</v>
      </c>
      <c r="E43" s="331">
        <f t="shared" si="29"/>
        <v>9681.8395256154199</v>
      </c>
      <c r="F43" s="331">
        <f t="shared" si="29"/>
        <v>9886.5437603375594</v>
      </c>
      <c r="G43" s="331">
        <f t="shared" si="29"/>
        <v>10642.576520025437</v>
      </c>
      <c r="H43" s="287">
        <f t="shared" si="29"/>
        <v>8800.6249486039469</v>
      </c>
      <c r="I43" s="83">
        <f t="shared" si="29"/>
        <v>12006.401362644523</v>
      </c>
      <c r="J43" s="83">
        <f t="shared" si="29"/>
        <v>14548.430293725336</v>
      </c>
      <c r="K43" s="83">
        <f t="shared" si="29"/>
        <v>14918.618512351764</v>
      </c>
      <c r="L43" s="83">
        <f t="shared" si="29"/>
        <v>15223.933597538758</v>
      </c>
      <c r="M43" s="83">
        <f t="shared" si="29"/>
        <v>15759.648613189531</v>
      </c>
      <c r="N43" s="185">
        <f t="shared" si="29"/>
        <v>17229.730687519997</v>
      </c>
      <c r="O43" s="83">
        <f t="shared" si="29"/>
        <v>17472.334281419146</v>
      </c>
      <c r="P43" s="83">
        <f t="shared" si="29"/>
        <v>17421.302925252006</v>
      </c>
      <c r="Q43" s="83">
        <f t="shared" si="29"/>
        <v>17571.608690089903</v>
      </c>
      <c r="R43" s="83">
        <f t="shared" si="29"/>
        <v>17690.371467184432</v>
      </c>
      <c r="S43" s="83">
        <f t="shared" si="29"/>
        <v>17833.227256409678</v>
      </c>
      <c r="T43" s="83">
        <f t="shared" si="29"/>
        <v>17826.141438979867</v>
      </c>
      <c r="U43" s="83">
        <f t="shared" si="29"/>
        <v>17851.417684361455</v>
      </c>
      <c r="V43" s="83">
        <f t="shared" si="29"/>
        <v>18272.880743984897</v>
      </c>
      <c r="W43" s="83">
        <f t="shared" si="29"/>
        <v>18235.01505878567</v>
      </c>
      <c r="X43" s="185">
        <f t="shared" si="29"/>
        <v>18523.447547906908</v>
      </c>
      <c r="Y43" s="175">
        <f t="shared" si="29"/>
        <v>18734.462343926964</v>
      </c>
      <c r="Z43" s="175">
        <f t="shared" si="29"/>
        <v>18997.828650647531</v>
      </c>
      <c r="AA43" s="175">
        <f t="shared" si="29"/>
        <v>19345.720406168828</v>
      </c>
      <c r="AB43" s="175">
        <f t="shared" si="29"/>
        <v>19621.71845921241</v>
      </c>
      <c r="AC43" s="175">
        <f t="shared" si="29"/>
        <v>19660.706071790373</v>
      </c>
      <c r="AD43" s="175">
        <f t="shared" si="29"/>
        <v>19939.596264530446</v>
      </c>
      <c r="AE43" s="175">
        <f t="shared" si="29"/>
        <v>20206.270831838447</v>
      </c>
      <c r="AF43" s="175">
        <f t="shared" si="29"/>
        <v>20204.910944711064</v>
      </c>
      <c r="AG43" s="175">
        <f t="shared" si="29"/>
        <v>20262.008844876655</v>
      </c>
      <c r="AH43" s="185">
        <f>SUM(AH31:AH42)</f>
        <v>20212.141866833092</v>
      </c>
      <c r="AI43" s="128"/>
    </row>
    <row r="44" spans="1:36">
      <c r="A44" s="10" t="s">
        <v>124</v>
      </c>
      <c r="B44" s="37"/>
      <c r="C44" s="332">
        <f>SUMPRODUCT($B34:$B42,C34:C42)</f>
        <v>4388.4799999999996</v>
      </c>
      <c r="D44" s="332">
        <f>SUMPRODUCT($B34:$B42,D34:D42)</f>
        <v>5031.9763387559378</v>
      </c>
      <c r="E44" s="332">
        <f t="shared" ref="E44:AG44" si="30">SUMPRODUCT($B34:$B42*E34:E42)</f>
        <v>5497.6856987150113</v>
      </c>
      <c r="F44" s="332">
        <f t="shared" si="30"/>
        <v>5956.6329131718849</v>
      </c>
      <c r="G44" s="332">
        <f t="shared" si="30"/>
        <v>6864.4442659697525</v>
      </c>
      <c r="H44" s="403">
        <f t="shared" si="30"/>
        <v>5283.0297620744432</v>
      </c>
      <c r="I44" s="14">
        <f>SUMPRODUCT($B34:$B42*I34:I42)</f>
        <v>8175.0953235801371</v>
      </c>
      <c r="J44" s="14">
        <f t="shared" si="30"/>
        <v>10434.94740155434</v>
      </c>
      <c r="K44" s="14">
        <f t="shared" si="30"/>
        <v>10866.046605605654</v>
      </c>
      <c r="L44" s="14">
        <f t="shared" si="30"/>
        <v>11272.956924405578</v>
      </c>
      <c r="M44" s="14">
        <f t="shared" si="30"/>
        <v>11923.626641995877</v>
      </c>
      <c r="N44" s="183">
        <f t="shared" si="30"/>
        <v>13535.313778937167</v>
      </c>
      <c r="O44" s="14">
        <f t="shared" si="30"/>
        <v>13729.149255928962</v>
      </c>
      <c r="P44" s="14">
        <f t="shared" si="30"/>
        <v>13692.448162031164</v>
      </c>
      <c r="Q44" s="14">
        <f t="shared" si="30"/>
        <v>13814.114088906943</v>
      </c>
      <c r="R44" s="14">
        <f t="shared" si="30"/>
        <v>13911.164175268854</v>
      </c>
      <c r="S44" s="14">
        <f t="shared" si="30"/>
        <v>14027.334758771003</v>
      </c>
      <c r="T44" s="14">
        <f t="shared" si="30"/>
        <v>14025.737037074698</v>
      </c>
      <c r="U44" s="14">
        <f t="shared" si="30"/>
        <v>14049.723192002086</v>
      </c>
      <c r="V44" s="14">
        <f t="shared" si="30"/>
        <v>14385.677457190868</v>
      </c>
      <c r="W44" s="14">
        <f t="shared" si="30"/>
        <v>14360.303965558734</v>
      </c>
      <c r="X44" s="188">
        <f t="shared" si="30"/>
        <v>14592.012639919436</v>
      </c>
      <c r="Y44" s="14">
        <f t="shared" si="30"/>
        <v>14790.038812414248</v>
      </c>
      <c r="Z44" s="14">
        <f t="shared" si="30"/>
        <v>15030.098767132291</v>
      </c>
      <c r="AA44" s="14">
        <f t="shared" si="30"/>
        <v>15337.954826932439</v>
      </c>
      <c r="AB44" s="14">
        <f t="shared" si="30"/>
        <v>15589.784801505341</v>
      </c>
      <c r="AC44" s="14">
        <f t="shared" si="30"/>
        <v>15653.795037027448</v>
      </c>
      <c r="AD44" s="14">
        <f t="shared" si="30"/>
        <v>15909.198622597556</v>
      </c>
      <c r="AE44" s="14">
        <f t="shared" si="30"/>
        <v>16155.673405252841</v>
      </c>
      <c r="AF44" s="14">
        <f t="shared" si="30"/>
        <v>16188.254130855581</v>
      </c>
      <c r="AG44" s="14">
        <f t="shared" si="30"/>
        <v>16267.653083612564</v>
      </c>
      <c r="AH44" s="188">
        <f>SUMPRODUCT($B34:$B42*AH34:AH42)</f>
        <v>16261.115952922661</v>
      </c>
      <c r="AI44" s="128"/>
    </row>
    <row r="45" spans="1:36">
      <c r="A45" s="10" t="s">
        <v>117</v>
      </c>
      <c r="B45" s="37"/>
      <c r="C45" s="333">
        <f t="shared" ref="C45:AG45" si="31">C44/C14</f>
        <v>0.26842498012110833</v>
      </c>
      <c r="D45" s="333">
        <f t="shared" si="31"/>
        <v>0.29566815551771181</v>
      </c>
      <c r="E45" s="333">
        <f t="shared" si="31"/>
        <v>0.31740935080085264</v>
      </c>
      <c r="F45" s="333">
        <f t="shared" si="31"/>
        <v>0.35398632585722889</v>
      </c>
      <c r="G45" s="333">
        <f t="shared" si="31"/>
        <v>0.40973579758843104</v>
      </c>
      <c r="H45" s="285">
        <f t="shared" si="31"/>
        <v>0.30562796778344875</v>
      </c>
      <c r="I45" s="23">
        <f t="shared" si="31"/>
        <v>0.42205615536980784</v>
      </c>
      <c r="J45" s="23">
        <f t="shared" si="31"/>
        <v>0.4873183641898694</v>
      </c>
      <c r="K45" s="23">
        <f t="shared" si="31"/>
        <v>0.4998030248047623</v>
      </c>
      <c r="L45" s="23">
        <f t="shared" si="31"/>
        <v>0.51559824080484618</v>
      </c>
      <c r="M45" s="23">
        <f t="shared" si="31"/>
        <v>0.54399321516193233</v>
      </c>
      <c r="N45" s="179">
        <f t="shared" si="31"/>
        <v>0.62032080864407191</v>
      </c>
      <c r="O45" s="23">
        <f t="shared" si="31"/>
        <v>0.6251916064739127</v>
      </c>
      <c r="P45" s="23">
        <f t="shared" si="31"/>
        <v>0.63010636448447366</v>
      </c>
      <c r="Q45" s="208">
        <f t="shared" si="31"/>
        <v>0.63505468150465716</v>
      </c>
      <c r="R45" s="208">
        <f t="shared" si="31"/>
        <v>0.64004201099484348</v>
      </c>
      <c r="S45" s="208">
        <f t="shared" si="31"/>
        <v>0.64506715902788747</v>
      </c>
      <c r="T45" s="208">
        <f t="shared" si="31"/>
        <v>0.65013609374529757</v>
      </c>
      <c r="U45" s="208">
        <f t="shared" si="31"/>
        <v>0.65524368184000703</v>
      </c>
      <c r="V45" s="208">
        <f t="shared" si="31"/>
        <v>0.66037596268670085</v>
      </c>
      <c r="W45" s="208">
        <f t="shared" si="31"/>
        <v>0.6655652586832661</v>
      </c>
      <c r="X45" s="186">
        <f t="shared" si="31"/>
        <v>0.67078147445092462</v>
      </c>
      <c r="Y45" s="173">
        <f t="shared" si="31"/>
        <v>0.67376120385654348</v>
      </c>
      <c r="Z45" s="173">
        <f t="shared" si="31"/>
        <v>0.67675083794667723</v>
      </c>
      <c r="AA45" s="173">
        <f t="shared" si="31"/>
        <v>0.6797487909777421</v>
      </c>
      <c r="AB45" s="173">
        <f t="shared" si="31"/>
        <v>0.68276225211040698</v>
      </c>
      <c r="AC45" s="173">
        <f t="shared" si="31"/>
        <v>0.68579957630946264</v>
      </c>
      <c r="AD45" s="173">
        <f t="shared" si="31"/>
        <v>0.68883794249301278</v>
      </c>
      <c r="AE45" s="173">
        <f t="shared" si="31"/>
        <v>0.69188945725841233</v>
      </c>
      <c r="AF45" s="173">
        <f t="shared" si="31"/>
        <v>0.69496767508646395</v>
      </c>
      <c r="AG45" s="173">
        <f t="shared" si="31"/>
        <v>0.69805619987401513</v>
      </c>
      <c r="AH45" s="186">
        <f>AH44/AH14</f>
        <v>0.70116421491966707</v>
      </c>
      <c r="AI45" s="128"/>
    </row>
    <row r="46" spans="1:36" s="253" customFormat="1">
      <c r="A46" s="10" t="s">
        <v>333</v>
      </c>
      <c r="B46" s="37"/>
      <c r="C46" s="331">
        <f>SUM(EIA_electricity_aeo2014!E50,EIA_electricity_aeo2014!E55)*1000</f>
        <v>772</v>
      </c>
      <c r="D46" s="331">
        <f>SUM(EIA_electricity_aeo2014!F50,EIA_electricity_aeo2014!F55)*1000</f>
        <v>595</v>
      </c>
      <c r="E46" s="331">
        <f>SUM(EIA_electricity_aeo2014!G50,EIA_electricity_aeo2014!G55)*1000</f>
        <v>330.64519386120787</v>
      </c>
      <c r="F46" s="331">
        <f>SUM(EIA_electricity_aeo2014!H50,EIA_electricity_aeo2014!H55)*1000</f>
        <v>320.58930060105178</v>
      </c>
      <c r="G46" s="331">
        <f>SUM(EIA_electricity_aeo2014!I50,EIA_electricity_aeo2014!I55)*1000</f>
        <v>330.44643043322691</v>
      </c>
      <c r="H46" s="287">
        <f>SUM(EIA_electricity_aeo2014!J50,EIA_electricity_aeo2014!J55)*1000</f>
        <v>330.32949668812842</v>
      </c>
      <c r="I46" s="287">
        <f>SUM(EIA_electricity_aeo2014!K50,EIA_electricity_aeo2014!K55)*1000</f>
        <v>331.06199779073103</v>
      </c>
      <c r="J46" s="287">
        <f>SUM(EIA_electricity_aeo2014!L50,EIA_electricity_aeo2014!L55)*1000</f>
        <v>328.53403624970383</v>
      </c>
      <c r="K46" s="287">
        <f>SUM(EIA_electricity_aeo2014!M50,EIA_electricity_aeo2014!M55)*1000</f>
        <v>295.23437700668694</v>
      </c>
      <c r="L46" s="287">
        <f>SUM(EIA_electricity_aeo2014!N50,EIA_electricity_aeo2014!N55)*1000</f>
        <v>296.91289430974592</v>
      </c>
      <c r="M46" s="287">
        <f>SUM(EIA_electricity_aeo2014!O50,EIA_electricity_aeo2014!O55)*1000</f>
        <v>299.82680182803034</v>
      </c>
      <c r="N46" s="287">
        <f>SUM(EIA_electricity_aeo2014!P50,EIA_electricity_aeo2014!P55)*1000</f>
        <v>300.05234333954144</v>
      </c>
      <c r="O46" s="287">
        <f>SUM(EIA_electricity_aeo2014!Q50,EIA_electricity_aeo2014!Q55)*1000</f>
        <v>297.74197676510391</v>
      </c>
      <c r="P46" s="287">
        <f>SUM(EIA_electricity_aeo2014!R50,EIA_electricity_aeo2014!R55)*1000</f>
        <v>295.20792828690799</v>
      </c>
      <c r="Q46" s="287">
        <f>SUM(EIA_electricity_aeo2014!S50,EIA_electricity_aeo2014!S55)*1000</f>
        <v>295.13168993622861</v>
      </c>
      <c r="R46" s="287">
        <f>SUM(EIA_electricity_aeo2014!T50,EIA_electricity_aeo2014!T55)*1000</f>
        <v>292.45794064759269</v>
      </c>
      <c r="S46" s="287">
        <f>SUM(EIA_electricity_aeo2014!U50,EIA_electricity_aeo2014!U55)*1000</f>
        <v>292.56261040388051</v>
      </c>
      <c r="T46" s="287">
        <f>SUM(EIA_electricity_aeo2014!V50,EIA_electricity_aeo2014!V55)*1000</f>
        <v>291.85986718327172</v>
      </c>
      <c r="U46" s="287">
        <f>SUM(EIA_electricity_aeo2014!W50,EIA_electricity_aeo2014!W55)*1000</f>
        <v>293.55263116097092</v>
      </c>
      <c r="V46" s="287">
        <f>SUM(EIA_electricity_aeo2014!X50,EIA_electricity_aeo2014!X55)*1000</f>
        <v>293.60447859983759</v>
      </c>
      <c r="W46" s="287">
        <f>SUM(EIA_electricity_aeo2014!Y50,EIA_electricity_aeo2014!Y55)*1000</f>
        <v>293.68600014779605</v>
      </c>
      <c r="X46" s="287">
        <f>SUM(EIA_electricity_aeo2014!Z50,EIA_electricity_aeo2014!Z55)*1000</f>
        <v>293.62068747054957</v>
      </c>
      <c r="Y46" s="287">
        <f>SUM(EIA_electricity_aeo2014!AA50,EIA_electricity_aeo2014!AA55)*1000</f>
        <v>293.5781324683777</v>
      </c>
      <c r="Z46" s="287">
        <f>SUM(EIA_electricity_aeo2014!AB50,EIA_electricity_aeo2014!AB55)*1000</f>
        <v>292.6802219225504</v>
      </c>
      <c r="AA46" s="287">
        <f>SUM(EIA_electricity_aeo2014!AC50,EIA_electricity_aeo2014!AC55)*1000</f>
        <v>292.45619881583252</v>
      </c>
      <c r="AB46" s="287">
        <f>SUM(EIA_electricity_aeo2014!AD50,EIA_electricity_aeo2014!AD55)*1000</f>
        <v>292.30759016501491</v>
      </c>
      <c r="AC46" s="287">
        <f>SUM(EIA_electricity_aeo2014!AE50,EIA_electricity_aeo2014!AE55)*1000</f>
        <v>291.60196101394672</v>
      </c>
      <c r="AD46" s="287">
        <f>SUM(EIA_electricity_aeo2014!AF50,EIA_electricity_aeo2014!AF55)*1000</f>
        <v>292.32501624735409</v>
      </c>
      <c r="AE46" s="287">
        <f>SUM(EIA_electricity_aeo2014!AG50,EIA_electricity_aeo2014!AG55)*1000</f>
        <v>292.00310238280611</v>
      </c>
      <c r="AF46" s="287">
        <f>SUM(EIA_electricity_aeo2014!AH50,EIA_electricity_aeo2014!AH55)*1000</f>
        <v>292.16515742170378</v>
      </c>
      <c r="AG46" s="287">
        <f>SUM(EIA_electricity_aeo2014!AI50,EIA_electricity_aeo2014!AI55)*1000</f>
        <v>292.19398150930675</v>
      </c>
      <c r="AH46" s="287">
        <f>SUM(EIA_electricity_aeo2014!AJ50,EIA_electricity_aeo2014!AJ55)*1000</f>
        <v>292.22385834631137</v>
      </c>
      <c r="AI46" s="293"/>
    </row>
    <row r="47" spans="1:36" s="253" customFormat="1">
      <c r="A47" s="10" t="s">
        <v>142</v>
      </c>
      <c r="B47" s="37"/>
      <c r="C47" s="331">
        <f>(C$14-C$43-C$46)*0.7</f>
        <v>4883.5709999999999</v>
      </c>
      <c r="D47" s="331">
        <f>(D$14-D$30-D$43-D$46)*EIA_electricity_aeo2014!F60</f>
        <v>73.458617916495953</v>
      </c>
      <c r="E47" s="331">
        <f>(E$14-E$30-E$43-E$46)*EIA_electricity_aeo2014!G60</f>
        <v>76.218712351137356</v>
      </c>
      <c r="F47" s="331">
        <f>(F$14-F$30-F$43-F$46)*EIA_electricity_aeo2014!H60</f>
        <v>36.608804803255332</v>
      </c>
      <c r="G47" s="331">
        <f>(G$14-G$30-G$43-G$46)*EIA_electricity_aeo2014!I60</f>
        <v>35.673506364023318</v>
      </c>
      <c r="H47" s="287">
        <f>(H$14-H$30-H$43-H$46)*EIA_electricity_aeo2014!J60</f>
        <v>48.198240821891225</v>
      </c>
      <c r="I47" s="287">
        <f>(I$14-I$30-I$43-I$46)*EIA_electricity_aeo2014!K60</f>
        <v>41.056405942569647</v>
      </c>
      <c r="J47" s="287">
        <f>(J$14-J$30-J$43-J$46)*EIA_electricity_aeo2014!L60</f>
        <v>5.0689579709020407</v>
      </c>
      <c r="K47" s="287">
        <f>(K$14-K$30-K$43-K$46)*EIA_electricity_aeo2014!M60</f>
        <v>18.740204839328619</v>
      </c>
      <c r="L47" s="287">
        <f>(L$14-L$30-L$43-L$46)*EIA_electricity_aeo2014!N60</f>
        <v>34.374781020188131</v>
      </c>
      <c r="M47" s="287">
        <f>(M$14-M$30-M$43-M$46)*EIA_electricity_aeo2014!O60</f>
        <v>38.137687332135116</v>
      </c>
      <c r="N47" s="288">
        <f>(N$14-N$43-N$46)*EIA_electricity_aeo2014!P60 - N30</f>
        <v>29.478635845239467</v>
      </c>
      <c r="O47" s="287">
        <f>(O$14-O$43-O$46)*EIA_electricity_aeo2014!Q60 - O30</f>
        <v>29.854274549914837</v>
      </c>
      <c r="P47" s="287">
        <f>(P$14-P$43-P$46)*EIA_electricity_aeo2014!R60 - P30</f>
        <v>29.905132523410902</v>
      </c>
      <c r="Q47" s="287">
        <f>(Q$14-Q$43-Q$46)*EIA_electricity_aeo2014!S60 - Q30</f>
        <v>29.946451515917076</v>
      </c>
      <c r="R47" s="287">
        <f>(R$14-R$43-R$46)*EIA_electricity_aeo2014!T60 - R30</f>
        <v>29.329330683052561</v>
      </c>
      <c r="S47" s="287">
        <f>(S$14-S$43-S$46)*EIA_electricity_aeo2014!U60 - S30</f>
        <v>28.551800279872303</v>
      </c>
      <c r="T47" s="287">
        <f>(T$14-T$43-T$46)*EIA_electricity_aeo2014!V60 - T30</f>
        <v>28.122516180668217</v>
      </c>
      <c r="U47" s="287">
        <f>(U$14-U$43-U$46)*EIA_electricity_aeo2014!W60 - U30</f>
        <v>43.345438804437563</v>
      </c>
      <c r="V47" s="287">
        <f>(V$14-V$43-V$46)*EIA_electricity_aeo2014!X60 - V30</f>
        <v>46.200007934617801</v>
      </c>
      <c r="W47" s="287">
        <f>(W$14-W$43-W$46)*EIA_electricity_aeo2014!Y60 - W30</f>
        <v>46.031169100801534</v>
      </c>
      <c r="X47" s="288">
        <f>(X$14-X$43-X$46)*EIA_electricity_aeo2014!Z60 - X30</f>
        <v>43.895900001662675</v>
      </c>
      <c r="Y47" s="287">
        <f>(Y$14-Y$43-Y$46)*EIA_electricity_aeo2014!AA60 - Y30</f>
        <v>42.84613324162941</v>
      </c>
      <c r="Z47" s="287">
        <f>(Z$14-Z$43-Z$46)*EIA_electricity_aeo2014!AB60 - Z30</f>
        <v>36.86532678770115</v>
      </c>
      <c r="AA47" s="287">
        <f>(AA$14-AA$43-AA$46)*EIA_electricity_aeo2014!AC60 - AA30</f>
        <v>35.309599735766923</v>
      </c>
      <c r="AB47" s="287">
        <f>(AB$14-AB$43-AB$46)*EIA_electricity_aeo2014!AD60 - AB30</f>
        <v>33.336936807991826</v>
      </c>
      <c r="AC47" s="287">
        <f>(AC$14-AC$43-AC$46)*EIA_electricity_aeo2014!AE60 - AC30</f>
        <v>32.387379769469433</v>
      </c>
      <c r="AD47" s="287">
        <f>(AD$14-AD$43-AD$46)*EIA_electricity_aeo2014!AF60 - AD30</f>
        <v>37.031960972992316</v>
      </c>
      <c r="AE47" s="287">
        <f>(AE$14-AE$43-AE$46)*EIA_electricity_aeo2014!AG60 - AE30</f>
        <v>36.548079651344587</v>
      </c>
      <c r="AF47" s="287">
        <f>(AF$14-AF$43-AF$46)*EIA_electricity_aeo2014!AH60 - AF30</f>
        <v>36.921332306368456</v>
      </c>
      <c r="AG47" s="287">
        <f>(AG$14-AG$43-AG$46)*EIA_electricity_aeo2014!AI60 - AG30</f>
        <v>36.803939982534942</v>
      </c>
      <c r="AH47" s="288">
        <f>(AH$14-AH$43-AH$46)*EIA_electricity_aeo2014!AJ60 - AH30</f>
        <v>37.173476099400524</v>
      </c>
      <c r="AI47" s="293"/>
      <c r="AJ47" s="399"/>
    </row>
    <row r="48" spans="1:36" s="253" customFormat="1">
      <c r="A48" s="10" t="s">
        <v>222</v>
      </c>
      <c r="B48" s="37"/>
      <c r="C48" s="331">
        <f>(C$14-C$43-C$46)* 0.3</f>
        <v>2092.9590000000003</v>
      </c>
      <c r="D48" s="331">
        <f t="shared" ref="D48:AH48" si="32">(D$14-SUM(D30:D42,D46:D47))</f>
        <v>7070.6030624452542</v>
      </c>
      <c r="E48" s="331">
        <f t="shared" si="32"/>
        <v>7231.7872369060024</v>
      </c>
      <c r="F48" s="331">
        <f>(F$14-SUM(F30:F42,F46:F47))</f>
        <v>6583.5547784068585</v>
      </c>
      <c r="G48" s="331">
        <f t="shared" si="32"/>
        <v>5744.646322528286</v>
      </c>
      <c r="H48" s="287">
        <f t="shared" si="32"/>
        <v>8106.6664108402383</v>
      </c>
      <c r="I48" s="287">
        <f t="shared" si="32"/>
        <v>6991.1665172331232</v>
      </c>
      <c r="J48" s="287">
        <f t="shared" si="32"/>
        <v>6530.9652123294691</v>
      </c>
      <c r="K48" s="287">
        <f t="shared" si="32"/>
        <v>6508.0648577028714</v>
      </c>
      <c r="L48" s="287">
        <f t="shared" si="32"/>
        <v>6308.6177247364049</v>
      </c>
      <c r="M48" s="287">
        <f t="shared" si="32"/>
        <v>5821.0915977567747</v>
      </c>
      <c r="N48" s="288">
        <f t="shared" si="32"/>
        <v>4260.5992670648448</v>
      </c>
      <c r="O48" s="287">
        <f t="shared" si="32"/>
        <v>4159.9760203328369</v>
      </c>
      <c r="P48" s="287">
        <f t="shared" si="32"/>
        <v>3983.9599215572453</v>
      </c>
      <c r="Q48" s="287">
        <f t="shared" si="32"/>
        <v>3855.9503684179326</v>
      </c>
      <c r="R48" s="287">
        <f t="shared" si="32"/>
        <v>3722.6085678468298</v>
      </c>
      <c r="S48" s="287">
        <f t="shared" si="32"/>
        <v>3591.1999597816939</v>
      </c>
      <c r="T48" s="287">
        <f t="shared" si="32"/>
        <v>3427.4161979854289</v>
      </c>
      <c r="U48" s="287">
        <f t="shared" si="32"/>
        <v>3253.6661851993413</v>
      </c>
      <c r="V48" s="287">
        <f t="shared" si="32"/>
        <v>3171.3866770400673</v>
      </c>
      <c r="W48" s="287">
        <f t="shared" si="32"/>
        <v>3001.3698569344087</v>
      </c>
      <c r="X48" s="288">
        <f t="shared" si="32"/>
        <v>2892.7860734558599</v>
      </c>
      <c r="Y48" s="287">
        <f t="shared" si="32"/>
        <v>2880.5684871502999</v>
      </c>
      <c r="Z48" s="287">
        <f t="shared" si="32"/>
        <v>2881.8317954732847</v>
      </c>
      <c r="AA48" s="287">
        <f t="shared" si="32"/>
        <v>2890.6654797136398</v>
      </c>
      <c r="AB48" s="287">
        <f t="shared" si="32"/>
        <v>2886.0387628385943</v>
      </c>
      <c r="AC48" s="287">
        <f t="shared" si="32"/>
        <v>2840.9165851270882</v>
      </c>
      <c r="AD48" s="287">
        <f t="shared" si="32"/>
        <v>2826.7527889299017</v>
      </c>
      <c r="AE48" s="287">
        <f t="shared" si="32"/>
        <v>2815.256869059267</v>
      </c>
      <c r="AF48" s="287">
        <f t="shared" si="32"/>
        <v>2759.5379502699907</v>
      </c>
      <c r="AG48" s="287">
        <f t="shared" si="32"/>
        <v>2713.2101241176024</v>
      </c>
      <c r="AH48" s="288">
        <f t="shared" si="32"/>
        <v>2650.0550171821451</v>
      </c>
      <c r="AI48" s="293"/>
    </row>
    <row r="49" spans="1:35" s="253" customFormat="1">
      <c r="A49" s="10" t="s">
        <v>334</v>
      </c>
      <c r="B49" s="37"/>
      <c r="C49" s="331">
        <f>SUM(C43,C46:C48)</f>
        <v>16349</v>
      </c>
      <c r="D49" s="331">
        <f t="shared" ref="D49:M49" si="33">SUM(D43,D46:D48)+D30</f>
        <v>17019.000000000004</v>
      </c>
      <c r="E49" s="331">
        <f t="shared" si="33"/>
        <v>17320.490668733768</v>
      </c>
      <c r="F49" s="331">
        <f t="shared" si="33"/>
        <v>16827.296644148726</v>
      </c>
      <c r="G49" s="331">
        <f t="shared" si="33"/>
        <v>16753.342779350973</v>
      </c>
      <c r="H49" s="287">
        <f>SUM(H43,H46:H48)+H30</f>
        <v>17285.819096954205</v>
      </c>
      <c r="I49" s="287">
        <f t="shared" si="33"/>
        <v>19369.686283610947</v>
      </c>
      <c r="J49" s="287">
        <f t="shared" si="33"/>
        <v>21412.998500275411</v>
      </c>
      <c r="K49" s="287">
        <f t="shared" si="33"/>
        <v>21740.657951900652</v>
      </c>
      <c r="L49" s="287">
        <f t="shared" si="33"/>
        <v>21863.838997605097</v>
      </c>
      <c r="M49" s="287">
        <f t="shared" si="33"/>
        <v>21918.704700106471</v>
      </c>
      <c r="N49" s="288">
        <f t="shared" ref="N49:AH49" si="34">SUM(N43,N46:N48)+N30</f>
        <v>21819.860933769625</v>
      </c>
      <c r="O49" s="287">
        <f t="shared" si="34"/>
        <v>21959.906553067001</v>
      </c>
      <c r="P49" s="287">
        <f t="shared" si="34"/>
        <v>21730.375907619571</v>
      </c>
      <c r="Q49" s="287">
        <f t="shared" si="34"/>
        <v>21752.63719995998</v>
      </c>
      <c r="R49" s="287">
        <f t="shared" si="34"/>
        <v>21734.767306361908</v>
      </c>
      <c r="S49" s="287">
        <f t="shared" si="34"/>
        <v>21745.541626875125</v>
      </c>
      <c r="T49" s="287">
        <f t="shared" si="34"/>
        <v>21573.540020329237</v>
      </c>
      <c r="U49" s="287">
        <f t="shared" si="34"/>
        <v>21441.981939526206</v>
      </c>
      <c r="V49" s="287">
        <f t="shared" si="34"/>
        <v>21784.071907559421</v>
      </c>
      <c r="W49" s="287">
        <f t="shared" si="34"/>
        <v>21576.102084968676</v>
      </c>
      <c r="X49" s="288">
        <f t="shared" si="34"/>
        <v>21753.750208834979</v>
      </c>
      <c r="Y49" s="287">
        <f t="shared" si="34"/>
        <v>21951.455096787271</v>
      </c>
      <c r="Z49" s="287">
        <f t="shared" si="34"/>
        <v>22209.205994831067</v>
      </c>
      <c r="AA49" s="287">
        <f t="shared" si="34"/>
        <v>22564.151684434066</v>
      </c>
      <c r="AB49" s="287">
        <f t="shared" si="34"/>
        <v>22833.401749024011</v>
      </c>
      <c r="AC49" s="287">
        <f t="shared" si="34"/>
        <v>22825.611997700878</v>
      </c>
      <c r="AD49" s="287">
        <f t="shared" si="34"/>
        <v>23095.706030680692</v>
      </c>
      <c r="AE49" s="287">
        <f t="shared" si="34"/>
        <v>23350.078882931863</v>
      </c>
      <c r="AF49" s="287">
        <f t="shared" si="34"/>
        <v>23293.535384709125</v>
      </c>
      <c r="AG49" s="287">
        <f t="shared" si="34"/>
        <v>23304.216890486099</v>
      </c>
      <c r="AH49" s="288">
        <f t="shared" si="34"/>
        <v>23191.594218460948</v>
      </c>
      <c r="AI49" s="293"/>
    </row>
    <row r="50" spans="1:35">
      <c r="A50" s="10"/>
      <c r="B50" s="37"/>
      <c r="C50" s="333" t="b">
        <f t="shared" ref="C50:AH50" si="35">(C49=C14)</f>
        <v>1</v>
      </c>
      <c r="D50" s="333" t="b">
        <f t="shared" si="35"/>
        <v>1</v>
      </c>
      <c r="E50" s="333" t="b">
        <f t="shared" si="35"/>
        <v>1</v>
      </c>
      <c r="F50" s="333" t="b">
        <f t="shared" si="35"/>
        <v>1</v>
      </c>
      <c r="G50" s="333" t="b">
        <f t="shared" si="35"/>
        <v>1</v>
      </c>
      <c r="H50" s="285" t="b">
        <f t="shared" si="35"/>
        <v>1</v>
      </c>
      <c r="I50" s="91" t="b">
        <f t="shared" si="35"/>
        <v>1</v>
      </c>
      <c r="J50" s="91" t="b">
        <f t="shared" si="35"/>
        <v>1</v>
      </c>
      <c r="K50" s="91" t="b">
        <f t="shared" si="35"/>
        <v>1</v>
      </c>
      <c r="L50" s="91" t="b">
        <f t="shared" si="35"/>
        <v>1</v>
      </c>
      <c r="M50" s="91" t="b">
        <f t="shared" si="35"/>
        <v>1</v>
      </c>
      <c r="N50" s="186"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6" t="b">
        <f t="shared" si="35"/>
        <v>1</v>
      </c>
      <c r="Y50" s="173" t="b">
        <f t="shared" si="35"/>
        <v>1</v>
      </c>
      <c r="Z50" s="173" t="b">
        <f t="shared" si="35"/>
        <v>1</v>
      </c>
      <c r="AA50" s="173" t="b">
        <f t="shared" si="35"/>
        <v>1</v>
      </c>
      <c r="AB50" s="173" t="b">
        <f t="shared" si="35"/>
        <v>1</v>
      </c>
      <c r="AC50" s="173" t="b">
        <f t="shared" si="35"/>
        <v>1</v>
      </c>
      <c r="AD50" s="173" t="b">
        <f t="shared" si="35"/>
        <v>1</v>
      </c>
      <c r="AE50" s="173" t="b">
        <f t="shared" si="35"/>
        <v>1</v>
      </c>
      <c r="AF50" s="173" t="b">
        <f t="shared" si="35"/>
        <v>1</v>
      </c>
      <c r="AG50" s="173" t="b">
        <f t="shared" si="35"/>
        <v>1</v>
      </c>
      <c r="AH50" s="186" t="b">
        <f t="shared" si="35"/>
        <v>1</v>
      </c>
      <c r="AI50" s="128"/>
    </row>
    <row r="51" spans="1:35">
      <c r="A51" s="10" t="s">
        <v>542</v>
      </c>
      <c r="B51" s="37"/>
      <c r="C51" s="333"/>
      <c r="D51" s="333">
        <f>D44/C44-1</f>
        <v>0.14663307996298003</v>
      </c>
      <c r="E51" s="333">
        <f t="shared" ref="E51:X51" si="36">E44/D44-1</f>
        <v>9.2549990025233564E-2</v>
      </c>
      <c r="F51" s="333">
        <f t="shared" si="36"/>
        <v>8.3480075000312404E-2</v>
      </c>
      <c r="G51" s="333">
        <f>G44/F44-1</f>
        <v>0.15240344100950498</v>
      </c>
      <c r="H51" s="285"/>
      <c r="I51" s="165">
        <f t="shared" ref="I51:N51" si="37">I44/H44-1</f>
        <v>0.54742556672065601</v>
      </c>
      <c r="J51" s="173">
        <f t="shared" si="37"/>
        <v>0.27643128165807629</v>
      </c>
      <c r="K51" s="173">
        <f t="shared" si="37"/>
        <v>4.1313021279541839E-2</v>
      </c>
      <c r="L51" s="173">
        <f t="shared" si="37"/>
        <v>3.7447871665671428E-2</v>
      </c>
      <c r="M51" s="173">
        <f t="shared" si="37"/>
        <v>5.7719524872983374E-2</v>
      </c>
      <c r="N51" s="173">
        <f t="shared" si="37"/>
        <v>0.13516752791175213</v>
      </c>
      <c r="O51" s="173">
        <f t="shared" ref="O51:R51" si="38">O44/N44-1</f>
        <v>1.4320722826051568E-2</v>
      </c>
      <c r="P51" s="173">
        <f t="shared" si="38"/>
        <v>-2.6732241899073417E-3</v>
      </c>
      <c r="Q51" s="173">
        <f t="shared" si="38"/>
        <v>8.8856226027684837E-3</v>
      </c>
      <c r="R51" s="173">
        <f t="shared" si="38"/>
        <v>7.0254296248968284E-3</v>
      </c>
      <c r="S51" s="165">
        <f t="shared" si="36"/>
        <v>8.3508886846923591E-3</v>
      </c>
      <c r="T51" s="165">
        <f t="shared" si="36"/>
        <v>-1.1390058936933123E-4</v>
      </c>
      <c r="U51" s="165">
        <f t="shared" si="36"/>
        <v>1.7101529041920749E-3</v>
      </c>
      <c r="V51" s="165">
        <f t="shared" si="36"/>
        <v>2.3911806702357374E-2</v>
      </c>
      <c r="W51" s="165">
        <f t="shared" si="36"/>
        <v>-1.7638023449114693E-3</v>
      </c>
      <c r="X51" s="186">
        <f t="shared" si="36"/>
        <v>1.6135360011628075E-2</v>
      </c>
      <c r="Y51" s="173">
        <f t="shared" ref="Y51:AH51" si="39">Y44/X44-1</f>
        <v>1.3570860811418894E-2</v>
      </c>
      <c r="Z51" s="173">
        <f t="shared" si="39"/>
        <v>1.6231191666417066E-2</v>
      </c>
      <c r="AA51" s="173">
        <f t="shared" si="39"/>
        <v>2.0482637178230956E-2</v>
      </c>
      <c r="AB51" s="173">
        <f t="shared" si="39"/>
        <v>1.641874535519583E-2</v>
      </c>
      <c r="AC51" s="173">
        <f t="shared" si="39"/>
        <v>4.1059088587243053E-3</v>
      </c>
      <c r="AD51" s="173">
        <f t="shared" si="39"/>
        <v>1.631576144736635E-2</v>
      </c>
      <c r="AE51" s="173">
        <f t="shared" si="39"/>
        <v>1.5492595730446812E-2</v>
      </c>
      <c r="AF51" s="173">
        <f t="shared" si="39"/>
        <v>2.0166739439129167E-3</v>
      </c>
      <c r="AG51" s="173">
        <f t="shared" si="39"/>
        <v>4.9047261128452035E-3</v>
      </c>
      <c r="AH51" s="186">
        <f t="shared" si="39"/>
        <v>-4.0184842007040533E-4</v>
      </c>
      <c r="AI51" s="128"/>
    </row>
    <row r="52" spans="1:35">
      <c r="A52" s="10"/>
      <c r="B52" s="37"/>
      <c r="C52" s="333"/>
      <c r="D52" s="333"/>
      <c r="E52" s="333"/>
      <c r="F52" s="333"/>
      <c r="G52" s="333"/>
      <c r="H52" s="285"/>
      <c r="I52" s="173"/>
      <c r="J52" s="173"/>
      <c r="K52" s="173"/>
      <c r="L52" s="173"/>
      <c r="M52" s="173"/>
      <c r="N52" s="186"/>
      <c r="O52" s="173"/>
      <c r="P52" s="173"/>
      <c r="Q52" s="173"/>
      <c r="R52" s="173"/>
      <c r="S52" s="173"/>
      <c r="T52" s="173"/>
      <c r="U52" s="173"/>
      <c r="V52" s="173"/>
      <c r="W52" s="173"/>
      <c r="X52" s="186"/>
      <c r="Y52" s="20"/>
      <c r="Z52" s="20"/>
      <c r="AA52" s="20"/>
      <c r="AB52" s="20"/>
      <c r="AC52" s="20"/>
      <c r="AD52" s="20"/>
      <c r="AE52" s="20"/>
      <c r="AF52" s="20"/>
      <c r="AG52" s="20"/>
      <c r="AH52" s="280"/>
      <c r="AI52" s="128"/>
    </row>
    <row r="53" spans="1:35">
      <c r="A53" s="1" t="s">
        <v>541</v>
      </c>
      <c r="B53" s="37"/>
      <c r="C53" s="333"/>
      <c r="D53" s="333"/>
      <c r="E53" s="333"/>
      <c r="F53" s="333"/>
      <c r="G53" s="333"/>
      <c r="H53" s="285"/>
      <c r="I53" s="165"/>
      <c r="J53" s="165"/>
      <c r="K53" s="165"/>
      <c r="L53" s="165"/>
      <c r="M53" s="165"/>
      <c r="N53" s="185" t="s">
        <v>0</v>
      </c>
      <c r="O53" s="175" t="s">
        <v>0</v>
      </c>
      <c r="P53" s="165"/>
      <c r="Q53" s="165"/>
      <c r="R53" s="165"/>
      <c r="S53" s="165"/>
      <c r="T53" s="165"/>
      <c r="U53" s="165"/>
      <c r="V53" s="165"/>
      <c r="W53" s="165"/>
      <c r="X53" s="186"/>
      <c r="Y53" s="20"/>
      <c r="Z53" s="20"/>
      <c r="AA53" s="20"/>
      <c r="AB53" s="20"/>
      <c r="AC53" s="20"/>
      <c r="AD53" s="20"/>
      <c r="AE53" s="20"/>
      <c r="AF53" s="20"/>
      <c r="AG53" s="20"/>
      <c r="AH53" s="280"/>
      <c r="AI53" s="128"/>
    </row>
    <row r="54" spans="1:35">
      <c r="A54" s="9" t="s">
        <v>282</v>
      </c>
      <c r="B54" s="37"/>
      <c r="C54" s="333"/>
      <c r="D54" s="333"/>
      <c r="E54" s="333"/>
      <c r="F54" s="333"/>
      <c r="G54" s="333"/>
      <c r="H54" s="285"/>
      <c r="I54" s="165"/>
      <c r="J54" s="165"/>
      <c r="K54" s="165"/>
      <c r="L54" s="165"/>
      <c r="M54" s="165"/>
      <c r="N54" s="186" t="s">
        <v>0</v>
      </c>
      <c r="O54" s="165"/>
      <c r="P54" s="165"/>
      <c r="Q54" s="165"/>
      <c r="R54" s="165"/>
      <c r="S54" s="165"/>
      <c r="T54" s="165"/>
      <c r="U54" s="165"/>
      <c r="V54" s="165"/>
      <c r="W54" s="165"/>
      <c r="X54" s="186"/>
      <c r="Y54" s="20"/>
      <c r="Z54" s="20"/>
      <c r="AA54" s="20"/>
      <c r="AB54" s="20"/>
      <c r="AC54" s="20"/>
      <c r="AD54" s="20"/>
      <c r="AE54" s="20"/>
      <c r="AF54" s="20"/>
      <c r="AG54" s="20"/>
      <c r="AH54" s="280"/>
      <c r="AI54" s="128"/>
    </row>
    <row r="55" spans="1:35">
      <c r="A55" s="20" t="s">
        <v>122</v>
      </c>
      <c r="B55" s="37"/>
      <c r="C55" s="333"/>
      <c r="D55" s="333"/>
      <c r="E55" s="333"/>
      <c r="F55" s="333"/>
      <c r="G55" s="333"/>
      <c r="H55" s="285"/>
      <c r="I55" s="165"/>
      <c r="J55" s="165"/>
      <c r="K55" s="165"/>
      <c r="L55" s="165"/>
      <c r="M55" s="165"/>
      <c r="N55" s="186"/>
      <c r="O55" s="165"/>
      <c r="P55" s="165"/>
      <c r="Q55" s="165"/>
      <c r="R55" s="165"/>
      <c r="S55" s="165"/>
      <c r="T55" s="165"/>
      <c r="U55" s="165"/>
      <c r="V55" s="165"/>
      <c r="W55" s="165"/>
      <c r="X55" s="186"/>
      <c r="Y55" s="20"/>
      <c r="Z55" s="20"/>
      <c r="AA55" s="20"/>
      <c r="AB55" s="20"/>
      <c r="AC55" s="20"/>
      <c r="AD55" s="20"/>
      <c r="AE55" s="20"/>
      <c r="AF55" s="20"/>
      <c r="AG55" s="20"/>
      <c r="AH55" s="280"/>
      <c r="AI55" s="128"/>
    </row>
    <row r="56" spans="1:35">
      <c r="A56" s="9" t="s">
        <v>49</v>
      </c>
      <c r="B56" s="37"/>
      <c r="C56" s="337">
        <f t="shared" ref="C56:M56" si="40">C31/C$49</f>
        <v>0.25762982445409505</v>
      </c>
      <c r="D56" s="337">
        <f t="shared" si="40"/>
        <v>0.24960115053071952</v>
      </c>
      <c r="E56" s="337">
        <f t="shared" si="40"/>
        <v>0.24157247660734396</v>
      </c>
      <c r="F56" s="337">
        <f t="shared" si="40"/>
        <v>0.23354380268396846</v>
      </c>
      <c r="G56" s="337">
        <f t="shared" si="40"/>
        <v>0.22551512876059293</v>
      </c>
      <c r="H56" s="397">
        <f t="shared" si="40"/>
        <v>0.20349600830598252</v>
      </c>
      <c r="I56" s="174">
        <f t="shared" si="40"/>
        <v>0.19779907547114614</v>
      </c>
      <c r="J56" s="174">
        <f t="shared" si="40"/>
        <v>0.19210214263630976</v>
      </c>
      <c r="K56" s="174">
        <f t="shared" si="40"/>
        <v>0.18640520980147338</v>
      </c>
      <c r="L56" s="174">
        <f t="shared" si="40"/>
        <v>0.18070827696663699</v>
      </c>
      <c r="M56" s="174">
        <f t="shared" si="40"/>
        <v>0.17501134413180061</v>
      </c>
      <c r="N56" s="179">
        <f>N26</f>
        <v>0.1693144112969642</v>
      </c>
      <c r="O56" s="116">
        <f t="shared" ref="O56:AH56" si="41">O31/O$49</f>
        <v>0.1704554168500047</v>
      </c>
      <c r="P56" s="116">
        <f t="shared" si="41"/>
        <v>0.17159642240304521</v>
      </c>
      <c r="Q56" s="116">
        <f t="shared" si="41"/>
        <v>0.17273742795608571</v>
      </c>
      <c r="R56" s="116">
        <f t="shared" si="41"/>
        <v>0.17387843350912621</v>
      </c>
      <c r="S56" s="116">
        <f t="shared" si="41"/>
        <v>0.17501943906216672</v>
      </c>
      <c r="T56" s="116">
        <f t="shared" si="41"/>
        <v>0.17616044461520722</v>
      </c>
      <c r="U56" s="116">
        <f t="shared" si="41"/>
        <v>0.17730145016824772</v>
      </c>
      <c r="V56" s="116">
        <f t="shared" si="41"/>
        <v>0.17844245572128822</v>
      </c>
      <c r="W56" s="116">
        <f t="shared" si="41"/>
        <v>0.17958346127432873</v>
      </c>
      <c r="X56" s="179">
        <f t="shared" si="41"/>
        <v>0.18072446682736915</v>
      </c>
      <c r="Y56" s="174">
        <f t="shared" si="41"/>
        <v>0.179688476874137</v>
      </c>
      <c r="Z56" s="174">
        <f t="shared" si="41"/>
        <v>0.17865248692090485</v>
      </c>
      <c r="AA56" s="174">
        <f t="shared" si="41"/>
        <v>0.1776164969676727</v>
      </c>
      <c r="AB56" s="174">
        <f t="shared" si="41"/>
        <v>0.17658050701444056</v>
      </c>
      <c r="AC56" s="174">
        <f t="shared" si="41"/>
        <v>0.17554451706120841</v>
      </c>
      <c r="AD56" s="174">
        <f t="shared" si="41"/>
        <v>0.17450852710797626</v>
      </c>
      <c r="AE56" s="174">
        <f t="shared" si="41"/>
        <v>0.17347253715474412</v>
      </c>
      <c r="AF56" s="174">
        <f t="shared" si="41"/>
        <v>0.17243654720151197</v>
      </c>
      <c r="AG56" s="174">
        <f t="shared" si="41"/>
        <v>0.17140055724827982</v>
      </c>
      <c r="AH56" s="179">
        <f t="shared" si="41"/>
        <v>0.17036456729504776</v>
      </c>
      <c r="AI56" s="128"/>
    </row>
    <row r="57" spans="1:35">
      <c r="A57" s="9" t="s">
        <v>59</v>
      </c>
      <c r="B57" s="37"/>
      <c r="C57" s="337">
        <f t="shared" ref="C57:M57" si="42">C32/C$49</f>
        <v>0</v>
      </c>
      <c r="D57" s="337">
        <f t="shared" si="42"/>
        <v>0</v>
      </c>
      <c r="E57" s="337">
        <f t="shared" si="42"/>
        <v>0</v>
      </c>
      <c r="F57" s="337">
        <f t="shared" si="42"/>
        <v>0</v>
      </c>
      <c r="G57" s="337">
        <f t="shared" si="42"/>
        <v>0</v>
      </c>
      <c r="H57" s="397">
        <f t="shared" si="42"/>
        <v>0</v>
      </c>
      <c r="I57" s="116">
        <f t="shared" si="42"/>
        <v>0</v>
      </c>
      <c r="J57" s="116">
        <f t="shared" si="42"/>
        <v>0</v>
      </c>
      <c r="K57" s="116">
        <f t="shared" si="42"/>
        <v>0</v>
      </c>
      <c r="L57" s="116">
        <f t="shared" si="42"/>
        <v>0</v>
      </c>
      <c r="M57" s="116">
        <f t="shared" si="42"/>
        <v>0</v>
      </c>
      <c r="N57" s="179">
        <f>N18</f>
        <v>0</v>
      </c>
      <c r="O57" s="116">
        <f t="shared" ref="O57:AH57" si="43">O32/O$49</f>
        <v>0</v>
      </c>
      <c r="P57" s="116">
        <f t="shared" si="43"/>
        <v>0</v>
      </c>
      <c r="Q57" s="116">
        <f t="shared" si="43"/>
        <v>0</v>
      </c>
      <c r="R57" s="116">
        <f t="shared" si="43"/>
        <v>0</v>
      </c>
      <c r="S57" s="116">
        <f t="shared" si="43"/>
        <v>0</v>
      </c>
      <c r="T57" s="116">
        <f t="shared" si="43"/>
        <v>0</v>
      </c>
      <c r="U57" s="116">
        <f t="shared" si="43"/>
        <v>0</v>
      </c>
      <c r="V57" s="116">
        <f t="shared" si="43"/>
        <v>0</v>
      </c>
      <c r="W57" s="116">
        <f>W32/W$49</f>
        <v>0</v>
      </c>
      <c r="X57" s="179">
        <f t="shared" si="43"/>
        <v>0</v>
      </c>
      <c r="Y57" s="174">
        <f t="shared" si="43"/>
        <v>0</v>
      </c>
      <c r="Z57" s="174">
        <f t="shared" si="43"/>
        <v>0</v>
      </c>
      <c r="AA57" s="174">
        <f t="shared" si="43"/>
        <v>0</v>
      </c>
      <c r="AB57" s="174">
        <f t="shared" si="43"/>
        <v>0</v>
      </c>
      <c r="AC57" s="174">
        <f t="shared" si="43"/>
        <v>0</v>
      </c>
      <c r="AD57" s="174">
        <f t="shared" si="43"/>
        <v>0</v>
      </c>
      <c r="AE57" s="174">
        <f t="shared" si="43"/>
        <v>0</v>
      </c>
      <c r="AF57" s="174">
        <f t="shared" si="43"/>
        <v>0</v>
      </c>
      <c r="AG57" s="174">
        <f t="shared" si="43"/>
        <v>0</v>
      </c>
      <c r="AH57" s="179">
        <f t="shared" si="43"/>
        <v>0</v>
      </c>
      <c r="AI57" s="128"/>
    </row>
    <row r="58" spans="1:35">
      <c r="A58" s="9" t="s">
        <v>121</v>
      </c>
      <c r="B58" s="37"/>
      <c r="C58" s="337">
        <f>C34/C$49</f>
        <v>0.20594531775643771</v>
      </c>
      <c r="D58" s="337">
        <f t="shared" ref="D58:G59" si="44">C58*($N71)</f>
        <v>0.22084135747591108</v>
      </c>
      <c r="E58" s="337">
        <f t="shared" si="44"/>
        <v>0.23681482882501029</v>
      </c>
      <c r="F58" s="337">
        <f t="shared" si="44"/>
        <v>0.25394366251138512</v>
      </c>
      <c r="G58" s="337">
        <f t="shared" si="44"/>
        <v>0.27231142597640273</v>
      </c>
      <c r="H58" s="397">
        <f>H34/H$49</f>
        <v>0.17548909086539996</v>
      </c>
      <c r="I58" s="116">
        <f t="shared" ref="I58:N59" si="45">H58*($N71)</f>
        <v>0.18818222949240598</v>
      </c>
      <c r="J58" s="116">
        <f t="shared" si="45"/>
        <v>0.20179346375378948</v>
      </c>
      <c r="K58" s="116">
        <f t="shared" si="45"/>
        <v>0.21638919957314678</v>
      </c>
      <c r="L58" s="116">
        <f t="shared" si="45"/>
        <v>0.23204064601932795</v>
      </c>
      <c r="M58" s="116">
        <f t="shared" si="45"/>
        <v>0.24882416271828006</v>
      </c>
      <c r="N58" s="179">
        <f t="shared" si="45"/>
        <v>0.26682163239321444</v>
      </c>
      <c r="O58" s="116">
        <f t="shared" ref="O58:W58" si="46">N58*$X71</f>
        <v>0.26889909968355352</v>
      </c>
      <c r="P58" s="116">
        <f t="shared" si="46"/>
        <v>0.27099274208797058</v>
      </c>
      <c r="Q58" s="116">
        <f t="shared" si="46"/>
        <v>0.27310268554554373</v>
      </c>
      <c r="R58" s="116">
        <f t="shared" si="46"/>
        <v>0.27522905697591005</v>
      </c>
      <c r="S58" s="116">
        <f t="shared" si="46"/>
        <v>0.27737198428689996</v>
      </c>
      <c r="T58" s="116">
        <f t="shared" si="46"/>
        <v>0.27953159638223146</v>
      </c>
      <c r="U58" s="116">
        <f t="shared" si="46"/>
        <v>0.28170802316926408</v>
      </c>
      <c r="V58" s="116">
        <f t="shared" si="46"/>
        <v>0.28390139556681304</v>
      </c>
      <c r="W58" s="116">
        <f t="shared" si="46"/>
        <v>0.28611184551302465</v>
      </c>
      <c r="X58" s="179">
        <f t="shared" ref="X58:X66" si="47">X34/X$49</f>
        <v>0.28833950597331226</v>
      </c>
      <c r="Y58" s="174">
        <f>X58*$AH71</f>
        <v>0.2896052788157546</v>
      </c>
      <c r="Z58" s="174">
        <f t="shared" ref="Z58:AG58" si="48">Y58*$AH71</f>
        <v>0.29087660823596539</v>
      </c>
      <c r="AA58" s="174">
        <f t="shared" si="48"/>
        <v>0.29215351862659672</v>
      </c>
      <c r="AB58" s="174">
        <f t="shared" si="48"/>
        <v>0.29343603448738115</v>
      </c>
      <c r="AC58" s="174">
        <f t="shared" si="48"/>
        <v>0.29472418042560189</v>
      </c>
      <c r="AD58" s="174">
        <f t="shared" si="48"/>
        <v>0.29601798115656497</v>
      </c>
      <c r="AE58" s="174">
        <f t="shared" si="48"/>
        <v>0.29731746150407334</v>
      </c>
      <c r="AF58" s="174">
        <f t="shared" si="48"/>
        <v>0.29862264640090319</v>
      </c>
      <c r="AG58" s="174">
        <f t="shared" si="48"/>
        <v>0.29993356088928241</v>
      </c>
      <c r="AH58" s="179">
        <f t="shared" ref="AH58:AH66" si="49">AH34/AH$49</f>
        <v>0.30125023012137098</v>
      </c>
      <c r="AI58" s="128"/>
    </row>
    <row r="59" spans="1:35">
      <c r="A59" s="9" t="s">
        <v>50</v>
      </c>
      <c r="B59" s="37"/>
      <c r="C59" s="337">
        <f t="shared" ref="C59:C65" si="50">C35/C$49</f>
        <v>0</v>
      </c>
      <c r="D59" s="337">
        <f t="shared" si="44"/>
        <v>0</v>
      </c>
      <c r="E59" s="337">
        <f t="shared" si="44"/>
        <v>0</v>
      </c>
      <c r="F59" s="337">
        <f t="shared" si="44"/>
        <v>0</v>
      </c>
      <c r="G59" s="337">
        <f t="shared" si="44"/>
        <v>0</v>
      </c>
      <c r="H59" s="397">
        <f>H35/H$49</f>
        <v>5.7850888892861439E-10</v>
      </c>
      <c r="I59" s="116">
        <f t="shared" si="45"/>
        <v>5.8014512761242973E-10</v>
      </c>
      <c r="J59" s="116">
        <f t="shared" si="45"/>
        <v>5.8178599418888702E-10</v>
      </c>
      <c r="K59" s="116">
        <f t="shared" si="45"/>
        <v>5.8343150174739101E-10</v>
      </c>
      <c r="L59" s="116">
        <f t="shared" si="45"/>
        <v>5.8508166341436816E-10</v>
      </c>
      <c r="M59" s="116">
        <f t="shared" si="45"/>
        <v>5.867364923533713E-10</v>
      </c>
      <c r="N59" s="179">
        <f t="shared" si="45"/>
        <v>5.8839600176518463E-10</v>
      </c>
      <c r="O59" s="116">
        <f t="shared" ref="O59:V59" si="51">N59*$X72</f>
        <v>5.9297723993717839E-10</v>
      </c>
      <c r="P59" s="116">
        <f t="shared" si="51"/>
        <v>5.9759414752760045E-10</v>
      </c>
      <c r="Q59" s="116">
        <f t="shared" si="51"/>
        <v>6.0224700225774878E-10</v>
      </c>
      <c r="R59" s="116">
        <f t="shared" si="51"/>
        <v>6.0693608401125303E-10</v>
      </c>
      <c r="S59" s="116">
        <f t="shared" si="51"/>
        <v>6.1166167485091067E-10</v>
      </c>
      <c r="T59" s="116">
        <f t="shared" si="51"/>
        <v>6.1642405903565384E-10</v>
      </c>
      <c r="U59" s="116">
        <f t="shared" si="51"/>
        <v>6.2122352303764825E-10</v>
      </c>
      <c r="V59" s="116">
        <f t="shared" si="51"/>
        <v>6.2606035555952568E-10</v>
      </c>
      <c r="W59" s="116">
        <f>V59*$X72</f>
        <v>6.3093484755175012E-10</v>
      </c>
      <c r="X59" s="179">
        <f t="shared" si="47"/>
        <v>6.3584729223011869E-10</v>
      </c>
      <c r="Y59" s="174">
        <f>X59*$AH72</f>
        <v>6.3863857895209799E-10</v>
      </c>
      <c r="Z59" s="174">
        <f t="shared" ref="Z59:AG59" si="52">Y59*$AH72</f>
        <v>6.4144211905890653E-10</v>
      </c>
      <c r="AA59" s="174">
        <f t="shared" si="52"/>
        <v>6.4425796634130628E-10</v>
      </c>
      <c r="AB59" s="174">
        <f t="shared" si="52"/>
        <v>6.4708617482619364E-10</v>
      </c>
      <c r="AC59" s="174">
        <f t="shared" si="52"/>
        <v>6.4992679877763619E-10</v>
      </c>
      <c r="AD59" s="174">
        <f t="shared" si="52"/>
        <v>6.5277989269791349E-10</v>
      </c>
      <c r="AE59" s="174">
        <f t="shared" si="52"/>
        <v>6.5564551132856318E-10</v>
      </c>
      <c r="AF59" s="174">
        <f t="shared" si="52"/>
        <v>6.5852370965143095E-10</v>
      </c>
      <c r="AG59" s="174">
        <f t="shared" si="52"/>
        <v>6.6141454288972585E-10</v>
      </c>
      <c r="AH59" s="179">
        <f t="shared" si="49"/>
        <v>6.6431806650907905E-10</v>
      </c>
      <c r="AI59" s="128"/>
    </row>
    <row r="60" spans="1:35">
      <c r="A60" s="9" t="s">
        <v>119</v>
      </c>
      <c r="B60" s="37"/>
      <c r="C60" s="337">
        <f t="shared" si="50"/>
        <v>0</v>
      </c>
      <c r="D60" s="337">
        <v>0</v>
      </c>
      <c r="E60" s="337">
        <v>0</v>
      </c>
      <c r="F60" s="337">
        <v>0</v>
      </c>
      <c r="G60" s="337">
        <v>0</v>
      </c>
      <c r="H60" s="397">
        <f t="shared" ref="H60:H66" si="53">H36/H$49</f>
        <v>0</v>
      </c>
      <c r="I60" s="174">
        <v>0</v>
      </c>
      <c r="J60" s="174">
        <v>0</v>
      </c>
      <c r="K60" s="174">
        <v>0</v>
      </c>
      <c r="L60" s="174">
        <v>0</v>
      </c>
      <c r="M60" s="174">
        <v>0</v>
      </c>
      <c r="N60" s="179">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9">
        <f t="shared" si="47"/>
        <v>0</v>
      </c>
      <c r="Y60" s="174">
        <f t="shared" ref="Y60:AG66" si="55">X60*$AH73</f>
        <v>0</v>
      </c>
      <c r="Z60" s="174">
        <f t="shared" si="55"/>
        <v>0</v>
      </c>
      <c r="AA60" s="174">
        <f t="shared" si="55"/>
        <v>0</v>
      </c>
      <c r="AB60" s="174">
        <f t="shared" si="55"/>
        <v>0</v>
      </c>
      <c r="AC60" s="174">
        <f t="shared" si="55"/>
        <v>0</v>
      </c>
      <c r="AD60" s="174">
        <f t="shared" si="55"/>
        <v>0</v>
      </c>
      <c r="AE60" s="174">
        <f t="shared" si="55"/>
        <v>0</v>
      </c>
      <c r="AF60" s="174">
        <f t="shared" si="55"/>
        <v>0</v>
      </c>
      <c r="AG60" s="174">
        <f t="shared" si="55"/>
        <v>0</v>
      </c>
      <c r="AH60" s="179">
        <f t="shared" si="49"/>
        <v>0</v>
      </c>
      <c r="AI60" s="128"/>
    </row>
    <row r="61" spans="1:35">
      <c r="A61" s="9" t="s">
        <v>51</v>
      </c>
      <c r="B61" s="37"/>
      <c r="C61" s="337">
        <f t="shared" si="50"/>
        <v>1.4190470365159949E-2</v>
      </c>
      <c r="D61" s="337">
        <f t="shared" ref="D61:M61" si="56">C61*($N74)</f>
        <v>1.4230438047057661E-2</v>
      </c>
      <c r="E61" s="337">
        <f t="shared" si="56"/>
        <v>1.4270518298557026E-2</v>
      </c>
      <c r="F61" s="337">
        <f t="shared" si="56"/>
        <v>1.4310711436712089E-2</v>
      </c>
      <c r="G61" s="337">
        <f t="shared" si="56"/>
        <v>1.4351017779469882E-2</v>
      </c>
      <c r="H61" s="397">
        <f t="shared" si="53"/>
        <v>1.5186401881703764E-2</v>
      </c>
      <c r="I61" s="116">
        <f t="shared" si="56"/>
        <v>1.5229174620306492E-2</v>
      </c>
      <c r="J61" s="116">
        <f t="shared" si="56"/>
        <v>1.5272067828996988E-2</v>
      </c>
      <c r="K61" s="116">
        <f t="shared" si="56"/>
        <v>1.5315081847081141E-2</v>
      </c>
      <c r="L61" s="116">
        <f t="shared" si="56"/>
        <v>1.5358217014820498E-2</v>
      </c>
      <c r="M61" s="116">
        <f t="shared" si="56"/>
        <v>1.5401473673434959E-2</v>
      </c>
      <c r="N61" s="179">
        <f>M61*($N74)</f>
        <v>1.5444852165105478E-2</v>
      </c>
      <c r="O61" s="116">
        <f t="shared" ref="O61:W61" si="57">N61*$X74</f>
        <v>1.5565105440259136E-2</v>
      </c>
      <c r="P61" s="116">
        <f t="shared" si="57"/>
        <v>1.5686295004736291E-2</v>
      </c>
      <c r="Q61" s="116">
        <f t="shared" si="57"/>
        <v>1.5808428148464775E-2</v>
      </c>
      <c r="R61" s="116">
        <f t="shared" si="57"/>
        <v>1.5931512218131633E-2</v>
      </c>
      <c r="S61" s="116">
        <f t="shared" si="57"/>
        <v>1.6055554617625055E-2</v>
      </c>
      <c r="T61" s="116">
        <f t="shared" si="57"/>
        <v>1.6180562808479737E-2</v>
      </c>
      <c r="U61" s="116">
        <f t="shared" si="57"/>
        <v>1.6306544310325719E-2</v>
      </c>
      <c r="V61" s="116">
        <f t="shared" si="57"/>
        <v>1.6433506701340715E-2</v>
      </c>
      <c r="W61" s="116">
        <f t="shared" si="57"/>
        <v>1.656145761870596E-2</v>
      </c>
      <c r="X61" s="179">
        <f t="shared" si="47"/>
        <v>1.6690404759065604E-2</v>
      </c>
      <c r="Y61" s="174">
        <f t="shared" si="55"/>
        <v>1.6763673460147972E-2</v>
      </c>
      <c r="Z61" s="174">
        <f t="shared" si="55"/>
        <v>1.6837263801276568E-2</v>
      </c>
      <c r="AA61" s="174">
        <f t="shared" si="55"/>
        <v>1.6911177194409266E-2</v>
      </c>
      <c r="AB61" s="174">
        <f t="shared" si="55"/>
        <v>1.6985415057702249E-2</v>
      </c>
      <c r="AC61" s="174">
        <f t="shared" si="55"/>
        <v>1.7059978815537225E-2</v>
      </c>
      <c r="AD61" s="174">
        <f t="shared" si="55"/>
        <v>1.7134869898548746E-2</v>
      </c>
      <c r="AE61" s="174">
        <f t="shared" si="55"/>
        <v>1.7210089743651669E-2</v>
      </c>
      <c r="AF61" s="174">
        <f t="shared" si="55"/>
        <v>1.7285639794068716E-2</v>
      </c>
      <c r="AG61" s="174">
        <f t="shared" si="55"/>
        <v>1.7361521499358167E-2</v>
      </c>
      <c r="AH61" s="179">
        <f t="shared" si="49"/>
        <v>1.7437736315441675E-2</v>
      </c>
      <c r="AI61" s="128"/>
    </row>
    <row r="62" spans="1:35">
      <c r="A62" s="9" t="s">
        <v>347</v>
      </c>
      <c r="B62" s="37"/>
      <c r="C62" s="340">
        <f t="shared" si="50"/>
        <v>0.03</v>
      </c>
      <c r="D62" s="340">
        <f t="shared" ref="D62:N62" si="58">C62*($N75)</f>
        <v>3.1275575033592476E-2</v>
      </c>
      <c r="E62" s="340">
        <f t="shared" si="58"/>
        <v>3.2605386456062431E-2</v>
      </c>
      <c r="F62" s="340">
        <f t="shared" si="58"/>
        <v>3.3991740353528678E-2</v>
      </c>
      <c r="G62" s="340">
        <f t="shared" si="58"/>
        <v>3.5437040864972645E-2</v>
      </c>
      <c r="H62" s="397">
        <f t="shared" si="53"/>
        <v>3.0005785088889285E-2</v>
      </c>
      <c r="I62" s="116">
        <f t="shared" si="58"/>
        <v>3.1281606099646905E-2</v>
      </c>
      <c r="J62" s="116">
        <f t="shared" si="58"/>
        <v>3.261167395802636E-2</v>
      </c>
      <c r="K62" s="116">
        <f t="shared" si="58"/>
        <v>3.399829519484357E-2</v>
      </c>
      <c r="L62" s="116">
        <f t="shared" si="58"/>
        <v>3.544387441268522E-2</v>
      </c>
      <c r="M62" s="116">
        <f t="shared" si="58"/>
        <v>3.6950918455838831E-2</v>
      </c>
      <c r="N62" s="179">
        <f t="shared" si="58"/>
        <v>3.8522040757524814E-2</v>
      </c>
      <c r="O62" s="116">
        <f t="shared" ref="O62:W62" si="59">N62*$X75</f>
        <v>3.8821972509358676E-2</v>
      </c>
      <c r="P62" s="116">
        <f t="shared" si="59"/>
        <v>3.9124239523135804E-2</v>
      </c>
      <c r="Q62" s="116">
        <f t="shared" si="59"/>
        <v>3.942885998115371E-2</v>
      </c>
      <c r="R62" s="116">
        <f t="shared" si="59"/>
        <v>3.9735852207276864E-2</v>
      </c>
      <c r="S62" s="116">
        <f t="shared" si="59"/>
        <v>4.0045234668038936E-2</v>
      </c>
      <c r="T62" s="116">
        <f t="shared" si="59"/>
        <v>4.0357025973753617E-2</v>
      </c>
      <c r="U62" s="116">
        <f t="shared" si="59"/>
        <v>4.067124487963409E-2</v>
      </c>
      <c r="V62" s="116">
        <f t="shared" si="59"/>
        <v>4.0987910286921211E-2</v>
      </c>
      <c r="W62" s="116">
        <f t="shared" si="59"/>
        <v>4.1307041244020466E-2</v>
      </c>
      <c r="X62" s="179">
        <f t="shared" si="47"/>
        <v>4.1628656947647787E-2</v>
      </c>
      <c r="Y62" s="174">
        <f t="shared" si="55"/>
        <v>4.1811401324814604E-2</v>
      </c>
      <c r="Z62" s="174">
        <f t="shared" si="55"/>
        <v>4.1994947925974094E-2</v>
      </c>
      <c r="AA62" s="174">
        <f t="shared" si="55"/>
        <v>4.2179300272785006E-2</v>
      </c>
      <c r="AB62" s="174">
        <f t="shared" si="55"/>
        <v>4.2364461902365702E-2</v>
      </c>
      <c r="AC62" s="174">
        <f t="shared" si="55"/>
        <v>4.2550436367362048E-2</v>
      </c>
      <c r="AD62" s="174">
        <f t="shared" si="55"/>
        <v>4.2737227236015557E-2</v>
      </c>
      <c r="AE62" s="174">
        <f t="shared" si="55"/>
        <v>4.2924838092231847E-2</v>
      </c>
      <c r="AF62" s="174">
        <f t="shared" si="55"/>
        <v>4.3113272535649429E-2</v>
      </c>
      <c r="AG62" s="174">
        <f t="shared" si="55"/>
        <v>4.3302534181708749E-2</v>
      </c>
      <c r="AH62" s="179">
        <f t="shared" si="49"/>
        <v>4.3492626661721559E-2</v>
      </c>
      <c r="AI62" s="128"/>
    </row>
    <row r="63" spans="1:35">
      <c r="A63" s="9" t="s">
        <v>348</v>
      </c>
      <c r="B63" s="37"/>
      <c r="C63" s="340">
        <f t="shared" si="50"/>
        <v>0</v>
      </c>
      <c r="D63" s="340">
        <f t="shared" ref="D63:N63" si="60">C63*($N76)</f>
        <v>0</v>
      </c>
      <c r="E63" s="340">
        <f t="shared" si="60"/>
        <v>0</v>
      </c>
      <c r="F63" s="340">
        <f t="shared" si="60"/>
        <v>0</v>
      </c>
      <c r="G63" s="340">
        <f t="shared" si="60"/>
        <v>0</v>
      </c>
      <c r="H63" s="397">
        <f t="shared" si="53"/>
        <v>5.7850888892861435E-6</v>
      </c>
      <c r="I63" s="116">
        <f t="shared" si="60"/>
        <v>5.8014512761242963E-6</v>
      </c>
      <c r="J63" s="116">
        <f t="shared" si="60"/>
        <v>5.8178599418888697E-6</v>
      </c>
      <c r="K63" s="116">
        <f t="shared" si="60"/>
        <v>5.8343150174739098E-6</v>
      </c>
      <c r="L63" s="116">
        <f t="shared" si="60"/>
        <v>5.8508166341436813E-6</v>
      </c>
      <c r="M63" s="116">
        <f t="shared" si="60"/>
        <v>5.8673649235337119E-6</v>
      </c>
      <c r="N63" s="179">
        <f t="shared" si="60"/>
        <v>5.8839600176518452E-6</v>
      </c>
      <c r="O63" s="116">
        <f t="shared" ref="O63:W63" si="61">N63*$X76</f>
        <v>5.9297723993717821E-6</v>
      </c>
      <c r="P63" s="116">
        <f t="shared" si="61"/>
        <v>5.9759414752760028E-6</v>
      </c>
      <c r="Q63" s="116">
        <f t="shared" si="61"/>
        <v>6.0224700225774861E-6</v>
      </c>
      <c r="R63" s="116">
        <f t="shared" si="61"/>
        <v>6.0693608401125284E-6</v>
      </c>
      <c r="S63" s="116">
        <f t="shared" si="61"/>
        <v>6.1166167485091051E-6</v>
      </c>
      <c r="T63" s="116">
        <f t="shared" si="61"/>
        <v>6.1642405903565368E-6</v>
      </c>
      <c r="U63" s="116">
        <f t="shared" si="61"/>
        <v>6.2122352303764813E-6</v>
      </c>
      <c r="V63" s="116">
        <f t="shared" si="61"/>
        <v>6.2606035555952559E-6</v>
      </c>
      <c r="W63" s="116">
        <f t="shared" si="61"/>
        <v>6.3093484755175004E-6</v>
      </c>
      <c r="X63" s="179">
        <f t="shared" si="47"/>
        <v>6.3584729223011871E-6</v>
      </c>
      <c r="Y63" s="174">
        <f t="shared" si="55"/>
        <v>6.3863857895209807E-6</v>
      </c>
      <c r="Z63" s="174">
        <f t="shared" si="55"/>
        <v>6.4144211905890656E-6</v>
      </c>
      <c r="AA63" s="174">
        <f t="shared" si="55"/>
        <v>6.4425796634130628E-6</v>
      </c>
      <c r="AB63" s="174">
        <f t="shared" si="55"/>
        <v>6.4708617482619364E-6</v>
      </c>
      <c r="AC63" s="174">
        <f t="shared" si="55"/>
        <v>6.4992679877763614E-6</v>
      </c>
      <c r="AD63" s="174">
        <f t="shared" si="55"/>
        <v>6.5277989269791346E-6</v>
      </c>
      <c r="AE63" s="174">
        <f t="shared" si="55"/>
        <v>6.5564551132856313E-6</v>
      </c>
      <c r="AF63" s="174">
        <f t="shared" si="55"/>
        <v>6.585237096514309E-6</v>
      </c>
      <c r="AG63" s="174">
        <f t="shared" si="55"/>
        <v>6.6141454288972577E-6</v>
      </c>
      <c r="AH63" s="179">
        <f t="shared" si="49"/>
        <v>6.6431806650907916E-6</v>
      </c>
      <c r="AI63" s="128"/>
    </row>
    <row r="64" spans="1:35">
      <c r="A64" s="9" t="s">
        <v>344</v>
      </c>
      <c r="B64" s="37"/>
      <c r="C64" s="337">
        <f t="shared" si="50"/>
        <v>6.1165820539482536E-7</v>
      </c>
      <c r="D64" s="337">
        <f t="shared" ref="D64:N64" si="62">C64*($N77)</f>
        <v>6.1338820269667073E-7</v>
      </c>
      <c r="E64" s="337">
        <f t="shared" si="62"/>
        <v>6.1512309307546329E-7</v>
      </c>
      <c r="F64" s="337">
        <f t="shared" si="62"/>
        <v>6.1686289037064778E-7</v>
      </c>
      <c r="G64" s="337">
        <f t="shared" si="62"/>
        <v>6.1860760846081203E-7</v>
      </c>
      <c r="H64" s="397">
        <f t="shared" si="53"/>
        <v>5.7850888892861429E-7</v>
      </c>
      <c r="I64" s="116">
        <f t="shared" si="62"/>
        <v>5.8014512761242957E-7</v>
      </c>
      <c r="J64" s="116">
        <f t="shared" si="62"/>
        <v>5.8178599418888686E-7</v>
      </c>
      <c r="K64" s="116">
        <f t="shared" si="62"/>
        <v>5.8343150174739087E-7</v>
      </c>
      <c r="L64" s="116">
        <f t="shared" si="62"/>
        <v>5.8508166341436798E-7</v>
      </c>
      <c r="M64" s="116">
        <f t="shared" si="62"/>
        <v>5.8673649235337109E-7</v>
      </c>
      <c r="N64" s="179">
        <f t="shared" si="62"/>
        <v>5.8839600176518442E-7</v>
      </c>
      <c r="O64" s="116">
        <f t="shared" ref="O64:W64" si="63">N64*$X77</f>
        <v>5.9297723993717811E-7</v>
      </c>
      <c r="P64" s="116">
        <f t="shared" si="63"/>
        <v>5.9759414752760015E-7</v>
      </c>
      <c r="Q64" s="116">
        <f t="shared" si="63"/>
        <v>6.0224700225774849E-7</v>
      </c>
      <c r="R64" s="116">
        <f t="shared" si="63"/>
        <v>6.0693608401125272E-7</v>
      </c>
      <c r="S64" s="116">
        <f t="shared" si="63"/>
        <v>6.1166167485091034E-7</v>
      </c>
      <c r="T64" s="116">
        <f t="shared" si="63"/>
        <v>6.1642405903565349E-7</v>
      </c>
      <c r="U64" s="116">
        <f t="shared" si="63"/>
        <v>6.2122352303764794E-7</v>
      </c>
      <c r="V64" s="116">
        <f t="shared" si="63"/>
        <v>6.260603555595254E-7</v>
      </c>
      <c r="W64" s="116">
        <f t="shared" si="63"/>
        <v>6.309348475517498E-7</v>
      </c>
      <c r="X64" s="179">
        <f t="shared" si="47"/>
        <v>6.3584729223011867E-7</v>
      </c>
      <c r="Y64" s="174">
        <f t="shared" si="55"/>
        <v>6.3863857895209794E-7</v>
      </c>
      <c r="Z64" s="174">
        <f t="shared" si="55"/>
        <v>6.414421190589065E-7</v>
      </c>
      <c r="AA64" s="174">
        <f t="shared" si="55"/>
        <v>6.4425796634130622E-7</v>
      </c>
      <c r="AB64" s="174">
        <f t="shared" si="55"/>
        <v>6.4708617482619355E-7</v>
      </c>
      <c r="AC64" s="174">
        <f t="shared" si="55"/>
        <v>6.499267987776361E-7</v>
      </c>
      <c r="AD64" s="174">
        <f t="shared" si="55"/>
        <v>6.5277989269791346E-7</v>
      </c>
      <c r="AE64" s="174">
        <f t="shared" si="55"/>
        <v>6.5564551132856317E-7</v>
      </c>
      <c r="AF64" s="174">
        <f t="shared" si="55"/>
        <v>6.5852370965143097E-7</v>
      </c>
      <c r="AG64" s="174">
        <f t="shared" si="55"/>
        <v>6.6141454288972579E-7</v>
      </c>
      <c r="AH64" s="179">
        <f t="shared" si="49"/>
        <v>6.6431806650907912E-7</v>
      </c>
      <c r="AI64" s="128"/>
    </row>
    <row r="65" spans="1:35">
      <c r="A65" s="9" t="s">
        <v>120</v>
      </c>
      <c r="B65" s="37"/>
      <c r="C65" s="337">
        <f t="shared" si="50"/>
        <v>0</v>
      </c>
      <c r="D65" s="337">
        <v>0</v>
      </c>
      <c r="E65" s="337">
        <v>0</v>
      </c>
      <c r="F65" s="337">
        <v>0</v>
      </c>
      <c r="G65" s="337">
        <v>0</v>
      </c>
      <c r="H65" s="397">
        <f t="shared" si="53"/>
        <v>5.7850888892861427E-5</v>
      </c>
      <c r="I65" s="174">
        <v>0</v>
      </c>
      <c r="J65" s="174">
        <v>0</v>
      </c>
      <c r="K65" s="174">
        <v>0</v>
      </c>
      <c r="L65" s="174">
        <v>0</v>
      </c>
      <c r="M65" s="174">
        <v>0</v>
      </c>
      <c r="N65" s="179">
        <v>0</v>
      </c>
      <c r="O65" s="116">
        <f t="shared" ref="O65:AG65" si="64">O41/O$49</f>
        <v>3.6430027517046472E-4</v>
      </c>
      <c r="P65" s="116">
        <f t="shared" si="64"/>
        <v>4.1416678838235039E-4</v>
      </c>
      <c r="Q65" s="116">
        <f t="shared" si="64"/>
        <v>4.597143743112857E-4</v>
      </c>
      <c r="R65" s="116">
        <f t="shared" si="64"/>
        <v>5.0610157656393354E-4</v>
      </c>
      <c r="S65" s="116">
        <f t="shared" si="64"/>
        <v>5.5183725500629994E-4</v>
      </c>
      <c r="T65" s="116">
        <f t="shared" si="64"/>
        <v>6.0259002406419179E-4</v>
      </c>
      <c r="U65" s="116">
        <f t="shared" si="64"/>
        <v>6.5292471747643637E-4</v>
      </c>
      <c r="V65" s="116">
        <f t="shared" si="64"/>
        <v>6.8857650046568017E-4</v>
      </c>
      <c r="W65" s="116">
        <f t="shared" si="64"/>
        <v>7.4156119288787783E-4</v>
      </c>
      <c r="X65" s="179">
        <f t="shared" si="47"/>
        <v>7.8147445092458998E-4</v>
      </c>
      <c r="Y65" s="174">
        <f t="shared" si="64"/>
        <v>8.1999119970112635E-4</v>
      </c>
      <c r="Z65" s="174">
        <f t="shared" si="64"/>
        <v>8.5550109285410867E-4</v>
      </c>
      <c r="AA65" s="174">
        <f t="shared" si="64"/>
        <v>8.8636170682175695E-4</v>
      </c>
      <c r="AB65" s="174">
        <f t="shared" si="64"/>
        <v>9.1970527347716034E-4</v>
      </c>
      <c r="AC65" s="174">
        <f t="shared" si="64"/>
        <v>9.638295789053087E-4</v>
      </c>
      <c r="AD65" s="174">
        <f t="shared" si="64"/>
        <v>9.9585611149736867E-4</v>
      </c>
      <c r="AE65" s="174">
        <f t="shared" si="64"/>
        <v>1.0278337867861854E-3</v>
      </c>
      <c r="AF65" s="174">
        <f t="shared" si="64"/>
        <v>1.0732591505371518E-3</v>
      </c>
      <c r="AG65" s="174">
        <f t="shared" si="64"/>
        <v>1.1156779102332527E-3</v>
      </c>
      <c r="AH65" s="179">
        <f t="shared" si="49"/>
        <v>1.1642149196672081E-3</v>
      </c>
      <c r="AI65" s="128"/>
    </row>
    <row r="66" spans="1:35">
      <c r="A66" s="9" t="s">
        <v>53</v>
      </c>
      <c r="B66" s="37"/>
      <c r="C66" s="337">
        <f>C42/C$49</f>
        <v>1.8288580341305278E-2</v>
      </c>
      <c r="D66" s="337">
        <f t="shared" ref="D66:N66" si="65">C66*($N79)</f>
        <v>2.256169880151827E-2</v>
      </c>
      <c r="E66" s="337">
        <f t="shared" si="65"/>
        <v>2.7833229442132894E-2</v>
      </c>
      <c r="F66" s="337">
        <f t="shared" si="65"/>
        <v>3.4336450813991073E-2</v>
      </c>
      <c r="G66" s="337">
        <f t="shared" si="65"/>
        <v>4.2359146895002947E-2</v>
      </c>
      <c r="H66" s="397">
        <f t="shared" si="53"/>
        <v>8.4882474882275766E-2</v>
      </c>
      <c r="I66" s="116">
        <f t="shared" si="65"/>
        <v>0.10471522644631165</v>
      </c>
      <c r="J66" s="116">
        <f t="shared" si="65"/>
        <v>0.12918189137286779</v>
      </c>
      <c r="K66" s="116">
        <f t="shared" si="65"/>
        <v>0.1593651814068078</v>
      </c>
      <c r="L66" s="116">
        <f t="shared" si="65"/>
        <v>0.19660078339864726</v>
      </c>
      <c r="M66" s="116">
        <f t="shared" si="65"/>
        <v>0.24253646682267493</v>
      </c>
      <c r="N66" s="179">
        <f t="shared" si="65"/>
        <v>0.29920500173974002</v>
      </c>
      <c r="O66" s="116">
        <f t="shared" ref="O66:W66" si="66">N66*$X79</f>
        <v>0.30153460522295433</v>
      </c>
      <c r="P66" s="116">
        <f t="shared" si="66"/>
        <v>0.30388234694703176</v>
      </c>
      <c r="Q66" s="116">
        <f t="shared" si="66"/>
        <v>0.30624836813591189</v>
      </c>
      <c r="R66" s="116">
        <f t="shared" si="66"/>
        <v>0.30863281111310081</v>
      </c>
      <c r="S66" s="116">
        <f t="shared" si="66"/>
        <v>0.31103581931023216</v>
      </c>
      <c r="T66" s="116">
        <f t="shared" si="66"/>
        <v>0.3134575372756952</v>
      </c>
      <c r="U66" s="116">
        <f t="shared" si="66"/>
        <v>0.31589811068332968</v>
      </c>
      <c r="V66" s="116">
        <f t="shared" si="66"/>
        <v>0.31835768634118861</v>
      </c>
      <c r="W66" s="116">
        <f t="shared" si="66"/>
        <v>0.32083641220036924</v>
      </c>
      <c r="X66" s="179">
        <f t="shared" si="47"/>
        <v>0.32333443736391254</v>
      </c>
      <c r="Y66" s="174">
        <f t="shared" si="55"/>
        <v>0.32475383339311809</v>
      </c>
      <c r="Z66" s="174">
        <f t="shared" si="55"/>
        <v>0.32617946038585527</v>
      </c>
      <c r="AA66" s="174">
        <f t="shared" si="55"/>
        <v>0.32761134569524164</v>
      </c>
      <c r="AB66" s="174">
        <f t="shared" si="55"/>
        <v>0.32904951679447147</v>
      </c>
      <c r="AC66" s="174">
        <f t="shared" si="55"/>
        <v>0.33049400127734274</v>
      </c>
      <c r="AD66" s="174">
        <f t="shared" si="55"/>
        <v>0.33194482685878662</v>
      </c>
      <c r="AE66" s="174">
        <f t="shared" si="55"/>
        <v>0.33340202137539915</v>
      </c>
      <c r="AF66" s="174">
        <f t="shared" si="55"/>
        <v>0.33486561278597549</v>
      </c>
      <c r="AG66" s="174">
        <f t="shared" si="55"/>
        <v>0.33633562917204618</v>
      </c>
      <c r="AH66" s="179">
        <f t="shared" si="49"/>
        <v>0.33781209873841606</v>
      </c>
      <c r="AI66" s="128"/>
    </row>
    <row r="67" spans="1:35" s="1" customFormat="1">
      <c r="A67" s="11" t="s">
        <v>540</v>
      </c>
      <c r="B67" s="36"/>
      <c r="C67" s="341">
        <f t="shared" ref="C67:AG67" si="67">SUM(C58:C66)</f>
        <v>0.26842498012110833</v>
      </c>
      <c r="D67" s="341">
        <f t="shared" si="67"/>
        <v>0.28890968274628215</v>
      </c>
      <c r="E67" s="341">
        <f t="shared" si="67"/>
        <v>0.31152457814485573</v>
      </c>
      <c r="F67" s="341">
        <f t="shared" si="67"/>
        <v>0.33658318197850734</v>
      </c>
      <c r="G67" s="341">
        <f t="shared" si="67"/>
        <v>0.3644592501234567</v>
      </c>
      <c r="H67" s="404">
        <f t="shared" si="67"/>
        <v>0.30562796778344875</v>
      </c>
      <c r="I67" s="85">
        <f t="shared" si="67"/>
        <v>0.33941461883521984</v>
      </c>
      <c r="J67" s="85">
        <f t="shared" si="67"/>
        <v>0.37886549714140266</v>
      </c>
      <c r="K67" s="85">
        <f t="shared" si="67"/>
        <v>0.42507417635182998</v>
      </c>
      <c r="L67" s="85">
        <f t="shared" si="67"/>
        <v>0.47944995732886009</v>
      </c>
      <c r="M67" s="85">
        <f t="shared" si="67"/>
        <v>0.54371947635838114</v>
      </c>
      <c r="N67" s="184">
        <f>SUM(N58:N66)</f>
        <v>0.62000000000000011</v>
      </c>
      <c r="O67" s="85">
        <f t="shared" si="67"/>
        <v>0.6251916064739127</v>
      </c>
      <c r="P67" s="85">
        <f t="shared" si="67"/>
        <v>0.63010636448447377</v>
      </c>
      <c r="Q67" s="85">
        <f t="shared" si="67"/>
        <v>0.63505468150465727</v>
      </c>
      <c r="R67" s="85">
        <f t="shared" si="67"/>
        <v>0.64004201099484348</v>
      </c>
      <c r="S67" s="85">
        <f t="shared" si="67"/>
        <v>0.64506715902788736</v>
      </c>
      <c r="T67" s="85">
        <f t="shared" si="67"/>
        <v>0.65013609374529768</v>
      </c>
      <c r="U67" s="85">
        <f t="shared" si="67"/>
        <v>0.65524368184000692</v>
      </c>
      <c r="V67" s="85">
        <f t="shared" si="67"/>
        <v>0.66037596268670073</v>
      </c>
      <c r="W67" s="85">
        <f t="shared" si="67"/>
        <v>0.6655652586832661</v>
      </c>
      <c r="X67" s="184">
        <f t="shared" si="67"/>
        <v>0.67078147445092462</v>
      </c>
      <c r="Y67" s="85">
        <f t="shared" si="67"/>
        <v>0.67376120385654348</v>
      </c>
      <c r="Z67" s="85">
        <f t="shared" si="67"/>
        <v>0.67675083794667712</v>
      </c>
      <c r="AA67" s="85">
        <f t="shared" si="67"/>
        <v>0.67974879097774221</v>
      </c>
      <c r="AB67" s="85">
        <f t="shared" si="67"/>
        <v>0.68276225211040698</v>
      </c>
      <c r="AC67" s="85">
        <f t="shared" si="67"/>
        <v>0.68579957630946253</v>
      </c>
      <c r="AD67" s="85">
        <f t="shared" si="67"/>
        <v>0.68883794249301278</v>
      </c>
      <c r="AE67" s="85">
        <f t="shared" si="67"/>
        <v>0.69188945725841233</v>
      </c>
      <c r="AF67" s="85">
        <f t="shared" si="67"/>
        <v>0.69496767508646395</v>
      </c>
      <c r="AG67" s="85">
        <f t="shared" si="67"/>
        <v>0.69805619987401513</v>
      </c>
      <c r="AH67" s="184">
        <f>SUM(AH58:AH66)</f>
        <v>0.70116421491966707</v>
      </c>
      <c r="AI67" s="197"/>
    </row>
    <row r="68" spans="1:35" s="253" customFormat="1">
      <c r="A68" s="10" t="s">
        <v>548</v>
      </c>
      <c r="B68" s="37"/>
      <c r="C68" s="333"/>
      <c r="D68" s="333">
        <f>D67/C67-1</f>
        <v>7.631444218020067E-2</v>
      </c>
      <c r="E68" s="333">
        <f t="shared" ref="E68:W68" si="68">E67/D67-1</f>
        <v>7.8276695968109156E-2</v>
      </c>
      <c r="F68" s="333">
        <f t="shared" si="68"/>
        <v>8.0438609315761855E-2</v>
      </c>
      <c r="G68" s="333">
        <f t="shared" si="68"/>
        <v>8.2820739827486056E-2</v>
      </c>
      <c r="H68" s="285"/>
      <c r="I68" s="285">
        <f t="shared" si="68"/>
        <v>0.11054829601101979</v>
      </c>
      <c r="J68" s="285">
        <f t="shared" si="68"/>
        <v>0.11623211292892366</v>
      </c>
      <c r="K68" s="285">
        <f t="shared" si="68"/>
        <v>0.12196592077948187</v>
      </c>
      <c r="L68" s="285">
        <f t="shared" si="68"/>
        <v>0.12792068773433041</v>
      </c>
      <c r="M68" s="285">
        <f t="shared" si="68"/>
        <v>0.13404844039945929</v>
      </c>
      <c r="N68" s="284">
        <f t="shared" si="68"/>
        <v>0.14029389594891084</v>
      </c>
      <c r="O68" s="285">
        <f t="shared" si="68"/>
        <v>8.3735588288913476E-3</v>
      </c>
      <c r="P68" s="285">
        <f t="shared" si="68"/>
        <v>7.8612028051374683E-3</v>
      </c>
      <c r="Q68" s="285">
        <f t="shared" si="68"/>
        <v>7.8531455942871808E-3</v>
      </c>
      <c r="R68" s="285">
        <f t="shared" si="68"/>
        <v>7.853385913744626E-3</v>
      </c>
      <c r="S68" s="285">
        <f t="shared" si="68"/>
        <v>7.8512784266038249E-3</v>
      </c>
      <c r="T68" s="285">
        <f t="shared" si="68"/>
        <v>7.8579953210595743E-3</v>
      </c>
      <c r="U68" s="285">
        <f t="shared" si="68"/>
        <v>7.8561829497658664E-3</v>
      </c>
      <c r="V68" s="285">
        <f t="shared" si="68"/>
        <v>7.8326292781363271E-3</v>
      </c>
      <c r="W68" s="285">
        <f t="shared" si="68"/>
        <v>7.8580934040255457E-3</v>
      </c>
      <c r="X68" s="285">
        <f>X67/W67-1</f>
        <v>7.8372717019186133E-3</v>
      </c>
      <c r="Y68" s="290">
        <f t="shared" ref="Y68:AG68" si="69">Y67/X67-1</f>
        <v>4.4421760574975266E-3</v>
      </c>
      <c r="Z68" s="290">
        <f t="shared" si="69"/>
        <v>4.4372309848375036E-3</v>
      </c>
      <c r="AA68" s="290">
        <f t="shared" si="69"/>
        <v>4.4299214171070744E-3</v>
      </c>
      <c r="AB68" s="290">
        <f t="shared" si="69"/>
        <v>4.4331982236116563E-3</v>
      </c>
      <c r="AC68" s="290">
        <f t="shared" si="69"/>
        <v>4.4485824892446235E-3</v>
      </c>
      <c r="AD68" s="290">
        <f t="shared" si="69"/>
        <v>4.4303996218557629E-3</v>
      </c>
      <c r="AE68" s="290">
        <f t="shared" si="69"/>
        <v>4.4299458220253829E-3</v>
      </c>
      <c r="AF68" s="290">
        <f t="shared" si="69"/>
        <v>4.4490023597829609E-3</v>
      </c>
      <c r="AG68" s="290">
        <f t="shared" si="69"/>
        <v>4.4441272569504253E-3</v>
      </c>
      <c r="AH68" s="284">
        <f>AH67/AG67-1</f>
        <v>4.452385132046599E-3</v>
      </c>
      <c r="AI68" s="293"/>
    </row>
    <row r="69" spans="1:35">
      <c r="A69" s="10"/>
      <c r="B69" s="37"/>
      <c r="C69" s="333"/>
      <c r="D69" s="333"/>
      <c r="E69" s="333"/>
      <c r="F69" s="333"/>
      <c r="G69" s="333"/>
      <c r="H69" s="285"/>
      <c r="I69" s="165"/>
      <c r="J69" s="165"/>
      <c r="K69" s="165"/>
      <c r="L69" s="165"/>
      <c r="M69" s="165"/>
      <c r="N69" s="186"/>
      <c r="O69" s="165"/>
      <c r="P69" s="165"/>
      <c r="Q69" s="165"/>
      <c r="R69" s="165"/>
      <c r="S69" s="165"/>
      <c r="T69" s="165"/>
      <c r="U69" s="165"/>
      <c r="V69" s="165"/>
      <c r="W69" s="165"/>
      <c r="X69" s="186"/>
      <c r="Y69" s="20"/>
      <c r="Z69" s="20"/>
      <c r="AA69" s="20"/>
      <c r="AB69" s="20"/>
      <c r="AC69" s="20"/>
      <c r="AD69" s="20"/>
      <c r="AE69" s="20"/>
      <c r="AF69" s="20"/>
      <c r="AG69" s="20"/>
      <c r="AH69" s="280"/>
      <c r="AI69" s="128"/>
    </row>
    <row r="70" spans="1:35">
      <c r="A70" s="11" t="s">
        <v>545</v>
      </c>
      <c r="B70" s="37"/>
      <c r="C70" s="333"/>
      <c r="D70" s="333"/>
      <c r="E70" s="333"/>
      <c r="F70" s="333"/>
      <c r="G70" s="333"/>
      <c r="H70" s="285"/>
      <c r="I70" s="165"/>
      <c r="J70" s="165"/>
      <c r="K70" s="165"/>
      <c r="L70" s="165"/>
      <c r="M70" s="165"/>
      <c r="N70" s="200" t="s">
        <v>710</v>
      </c>
      <c r="O70" s="165"/>
      <c r="P70" s="165"/>
      <c r="Q70" s="165"/>
      <c r="R70" s="165"/>
      <c r="S70" s="165"/>
      <c r="T70" s="165"/>
      <c r="U70" s="165"/>
      <c r="V70" s="165"/>
      <c r="W70" s="165"/>
      <c r="X70" s="200" t="s">
        <v>546</v>
      </c>
      <c r="Y70" s="20"/>
      <c r="Z70" s="20"/>
      <c r="AA70" s="20"/>
      <c r="AB70" s="20"/>
      <c r="AC70" s="20"/>
      <c r="AD70" s="20"/>
      <c r="AE70" s="20"/>
      <c r="AF70" s="20"/>
      <c r="AG70" s="20"/>
      <c r="AH70" s="280" t="s">
        <v>707</v>
      </c>
      <c r="AI70" s="128"/>
    </row>
    <row r="71" spans="1:35">
      <c r="A71" s="9" t="s">
        <v>121</v>
      </c>
      <c r="B71" s="37"/>
      <c r="C71" s="333"/>
      <c r="D71" s="333"/>
      <c r="E71" s="333"/>
      <c r="F71" s="333"/>
      <c r="G71" s="333"/>
      <c r="H71" s="285"/>
      <c r="I71" s="165"/>
      <c r="J71" s="165"/>
      <c r="K71" s="396"/>
      <c r="L71" s="396"/>
      <c r="M71" s="165"/>
      <c r="N71" s="187">
        <f>(N86/H86)^(1/6)</f>
        <v>1.0723300722820523</v>
      </c>
      <c r="O71" s="165"/>
      <c r="P71" s="165"/>
      <c r="Q71" s="165"/>
      <c r="R71" s="165"/>
      <c r="S71" s="165"/>
      <c r="T71" s="165"/>
      <c r="U71" s="165"/>
      <c r="V71" s="165"/>
      <c r="W71" s="165"/>
      <c r="X71" s="187">
        <f>(X86/N86)^(1/10)</f>
        <v>1.0077859777399065</v>
      </c>
      <c r="Y71" s="20"/>
      <c r="Z71" s="20"/>
      <c r="AA71" s="20"/>
      <c r="AB71" s="20"/>
      <c r="AC71" s="20"/>
      <c r="AD71" s="20"/>
      <c r="AE71" s="20"/>
      <c r="AF71" s="20"/>
      <c r="AG71" s="20"/>
      <c r="AH71" s="187">
        <f>(AH86/X86)^(1/10)</f>
        <v>1.0043898696370781</v>
      </c>
      <c r="AI71" s="128"/>
    </row>
    <row r="72" spans="1:35">
      <c r="A72" s="9" t="s">
        <v>50</v>
      </c>
      <c r="B72" s="37"/>
      <c r="C72" s="333"/>
      <c r="D72" s="333"/>
      <c r="E72" s="333"/>
      <c r="F72" s="333"/>
      <c r="G72" s="333"/>
      <c r="H72" s="285"/>
      <c r="I72" s="165"/>
      <c r="J72" s="165"/>
      <c r="K72" s="396"/>
      <c r="L72" s="396"/>
      <c r="M72" s="165"/>
      <c r="N72" s="187">
        <f>(N87/H87)^(1/6)</f>
        <v>1.002828372588787</v>
      </c>
      <c r="O72" s="165"/>
      <c r="P72" s="165"/>
      <c r="Q72" s="165"/>
      <c r="R72" s="165"/>
      <c r="S72" s="165"/>
      <c r="T72" s="165"/>
      <c r="U72" s="165"/>
      <c r="V72" s="165"/>
      <c r="W72" s="165"/>
      <c r="X72" s="187">
        <f>(X87/N87)^(1/10)</f>
        <v>1.0077859777399065</v>
      </c>
      <c r="Y72" s="20"/>
      <c r="Z72" s="20"/>
      <c r="AA72" s="20"/>
      <c r="AB72" s="20"/>
      <c r="AC72" s="20"/>
      <c r="AD72" s="20"/>
      <c r="AE72" s="20"/>
      <c r="AF72" s="20"/>
      <c r="AG72" s="20"/>
      <c r="AH72" s="187">
        <f>(AH87/X87)^(1/10)</f>
        <v>1.0043898696370781</v>
      </c>
      <c r="AI72" s="128"/>
    </row>
    <row r="73" spans="1:35">
      <c r="A73" s="9" t="s">
        <v>119</v>
      </c>
      <c r="B73" s="37"/>
      <c r="C73" s="333"/>
      <c r="D73" s="333"/>
      <c r="E73" s="333"/>
      <c r="F73" s="333"/>
      <c r="G73" s="333"/>
      <c r="H73" s="285"/>
      <c r="I73" s="165"/>
      <c r="J73" s="165"/>
      <c r="K73" s="396"/>
      <c r="L73" s="396"/>
      <c r="M73" s="165"/>
      <c r="N73" s="187"/>
      <c r="O73" s="165"/>
      <c r="P73" s="165"/>
      <c r="Q73" s="165"/>
      <c r="R73" s="165"/>
      <c r="S73" s="165"/>
      <c r="T73" s="165"/>
      <c r="U73" s="165"/>
      <c r="V73" s="165"/>
      <c r="W73" s="165"/>
      <c r="X73" s="187"/>
      <c r="AH73" s="187"/>
      <c r="AI73" s="128"/>
    </row>
    <row r="74" spans="1:35">
      <c r="A74" s="9" t="s">
        <v>51</v>
      </c>
      <c r="B74" s="37"/>
      <c r="C74" s="333"/>
      <c r="D74" s="333"/>
      <c r="E74" s="333"/>
      <c r="F74" s="333"/>
      <c r="G74" s="333"/>
      <c r="H74" s="285"/>
      <c r="I74" s="165"/>
      <c r="J74" s="165"/>
      <c r="K74" s="396"/>
      <c r="L74" s="396"/>
      <c r="M74" s="165"/>
      <c r="N74" s="180">
        <f>(N89/H89)^(1/6)</f>
        <v>1.0028165156523521</v>
      </c>
      <c r="O74" s="165"/>
      <c r="P74" s="165"/>
      <c r="Q74" s="165"/>
      <c r="R74" s="165"/>
      <c r="S74" s="165"/>
      <c r="T74" s="165"/>
      <c r="U74" s="165"/>
      <c r="V74" s="165"/>
      <c r="W74" s="165"/>
      <c r="X74" s="187">
        <f>(X89/N89)^(1/10)</f>
        <v>1.0077859777399065</v>
      </c>
      <c r="AH74" s="187">
        <f>(AH89/X89)^(1/10)</f>
        <v>1.0043898696370781</v>
      </c>
      <c r="AI74" s="128"/>
    </row>
    <row r="75" spans="1:35">
      <c r="A75" s="9" t="s">
        <v>347</v>
      </c>
      <c r="B75" s="37"/>
      <c r="C75" s="333"/>
      <c r="D75" s="333"/>
      <c r="E75" s="333"/>
      <c r="F75" s="333"/>
      <c r="G75" s="333"/>
      <c r="H75" s="285"/>
      <c r="I75" s="165"/>
      <c r="J75" s="165"/>
      <c r="K75" s="396"/>
      <c r="L75" s="396"/>
      <c r="M75" s="165"/>
      <c r="N75" s="180">
        <f>(N90/H90)^(1/6)</f>
        <v>1.0425191677864158</v>
      </c>
      <c r="O75" s="165"/>
      <c r="P75" s="165"/>
      <c r="Q75" s="165"/>
      <c r="R75" s="165"/>
      <c r="S75" s="165"/>
      <c r="T75" s="165"/>
      <c r="U75" s="165"/>
      <c r="V75" s="165"/>
      <c r="W75" s="165"/>
      <c r="X75" s="187">
        <f>(X90/N90)^(1/10)</f>
        <v>1.0077859777399065</v>
      </c>
      <c r="AH75" s="187">
        <f>(AH90/X90)^(1/10)</f>
        <v>1.0043898696370781</v>
      </c>
      <c r="AI75" s="128"/>
    </row>
    <row r="76" spans="1:35">
      <c r="A76" s="9" t="s">
        <v>348</v>
      </c>
      <c r="B76" s="37"/>
      <c r="C76" s="333"/>
      <c r="D76" s="333"/>
      <c r="E76" s="333"/>
      <c r="F76" s="333"/>
      <c r="G76" s="333"/>
      <c r="H76" s="285"/>
      <c r="I76" s="165"/>
      <c r="J76" s="165"/>
      <c r="K76" s="396"/>
      <c r="L76" s="396"/>
      <c r="M76" s="165"/>
      <c r="N76" s="180">
        <f>(N91/H91)^(1/6)</f>
        <v>1.002828372588787</v>
      </c>
      <c r="O76" s="165"/>
      <c r="P76" s="165"/>
      <c r="Q76" s="165"/>
      <c r="R76" s="165"/>
      <c r="S76" s="165"/>
      <c r="T76" s="165"/>
      <c r="U76" s="165"/>
      <c r="V76" s="165"/>
      <c r="W76" s="165"/>
      <c r="X76" s="187">
        <f>(X91/N91)^(1/10)</f>
        <v>1.0077859777399065</v>
      </c>
      <c r="AH76" s="187">
        <f>(AH91/X91)^(1/10)</f>
        <v>1.0043898696370781</v>
      </c>
      <c r="AI76" s="128"/>
    </row>
    <row r="77" spans="1:35">
      <c r="A77" s="9" t="s">
        <v>344</v>
      </c>
      <c r="B77" s="37"/>
      <c r="C77" s="333"/>
      <c r="D77" s="333"/>
      <c r="E77" s="333"/>
      <c r="F77" s="333"/>
      <c r="G77" s="333"/>
      <c r="H77" s="285"/>
      <c r="I77" s="165"/>
      <c r="J77" s="165"/>
      <c r="K77" s="396"/>
      <c r="L77" s="396"/>
      <c r="M77" s="165"/>
      <c r="N77" s="180">
        <f>(N92/H92)^(1/6)</f>
        <v>1.002828372588787</v>
      </c>
      <c r="O77" s="165"/>
      <c r="P77" s="165"/>
      <c r="Q77" s="165"/>
      <c r="R77" s="165"/>
      <c r="S77" s="165"/>
      <c r="T77" s="165"/>
      <c r="U77" s="165"/>
      <c r="V77" s="165"/>
      <c r="W77" s="165"/>
      <c r="X77" s="187">
        <f>(X92/N92)^(1/10)</f>
        <v>1.0077859777399065</v>
      </c>
      <c r="AH77" s="187">
        <f>(AH92/X92)^(1/10)</f>
        <v>1.0043898696370781</v>
      </c>
      <c r="AI77" s="128"/>
    </row>
    <row r="78" spans="1:35">
      <c r="A78" s="9" t="s">
        <v>120</v>
      </c>
      <c r="B78" s="37"/>
      <c r="C78" s="333"/>
      <c r="D78" s="333"/>
      <c r="E78" s="333"/>
      <c r="F78" s="333"/>
      <c r="G78" s="333"/>
      <c r="H78" s="285"/>
      <c r="I78" s="165"/>
      <c r="J78" s="165"/>
      <c r="K78" s="396"/>
      <c r="L78" s="396"/>
      <c r="M78" s="165"/>
      <c r="N78" s="187"/>
      <c r="O78" s="165"/>
      <c r="P78" s="165"/>
      <c r="Q78" s="165"/>
      <c r="R78" s="165"/>
      <c r="S78" s="165"/>
      <c r="T78" s="165"/>
      <c r="U78" s="165"/>
      <c r="V78" s="165"/>
      <c r="W78" s="165"/>
      <c r="X78" s="187" t="s">
        <v>0</v>
      </c>
      <c r="AH78" s="187" t="s">
        <v>0</v>
      </c>
      <c r="AI78" s="128"/>
    </row>
    <row r="79" spans="1:35">
      <c r="A79" s="9" t="s">
        <v>53</v>
      </c>
      <c r="B79" s="37"/>
      <c r="C79" s="333"/>
      <c r="D79" s="333"/>
      <c r="E79" s="333"/>
      <c r="F79" s="333"/>
      <c r="G79" s="333"/>
      <c r="H79" s="285"/>
      <c r="I79" s="165"/>
      <c r="J79" s="165"/>
      <c r="K79" s="396"/>
      <c r="L79" s="396"/>
      <c r="M79" s="165"/>
      <c r="N79" s="187">
        <f>(N94/H94)^(1/6)</f>
        <v>1.2336495441672983</v>
      </c>
      <c r="O79" s="165"/>
      <c r="P79" s="165"/>
      <c r="Q79" s="165"/>
      <c r="R79" s="165"/>
      <c r="S79" s="165"/>
      <c r="T79" s="165"/>
      <c r="U79" s="165"/>
      <c r="V79" s="165"/>
      <c r="W79" s="165"/>
      <c r="X79" s="187">
        <f>(X94/N94)^(1/10)</f>
        <v>1.0077859777399065</v>
      </c>
      <c r="AH79" s="187">
        <f>(AH94/X94)^(1/10)</f>
        <v>1.0043898696370781</v>
      </c>
      <c r="AI79" s="128"/>
    </row>
    <row r="80" spans="1:35">
      <c r="A80" s="10"/>
      <c r="B80" s="37"/>
      <c r="C80" s="333"/>
      <c r="D80" s="333"/>
      <c r="E80" s="333"/>
      <c r="F80" s="333"/>
      <c r="G80" s="333"/>
      <c r="H80" s="285"/>
      <c r="I80" s="165"/>
      <c r="J80" s="165"/>
      <c r="K80" s="165"/>
      <c r="L80" s="165"/>
      <c r="M80" s="165"/>
      <c r="N80" s="181"/>
      <c r="O80" s="165"/>
      <c r="P80" s="165"/>
      <c r="Q80" s="165"/>
      <c r="R80" s="165"/>
      <c r="S80" s="165"/>
      <c r="T80" s="165"/>
      <c r="U80" s="165"/>
      <c r="V80" s="165"/>
      <c r="W80" s="165"/>
      <c r="X80" s="186"/>
      <c r="AI80" s="128"/>
    </row>
    <row r="81" spans="1:35">
      <c r="A81" s="1" t="s">
        <v>547</v>
      </c>
      <c r="B81" s="37"/>
      <c r="C81" s="333"/>
      <c r="D81" s="333"/>
      <c r="E81" s="333"/>
      <c r="F81" s="333"/>
      <c r="G81" s="333"/>
      <c r="H81" s="285"/>
      <c r="I81" s="165"/>
      <c r="J81" s="165"/>
      <c r="K81" s="165"/>
      <c r="L81" s="165"/>
      <c r="M81" s="165"/>
      <c r="N81" s="185" t="s">
        <v>0</v>
      </c>
      <c r="O81" s="165"/>
      <c r="P81" s="165"/>
      <c r="Q81" s="165"/>
      <c r="R81" s="165"/>
      <c r="S81" s="165"/>
      <c r="T81" s="165"/>
      <c r="U81" s="165"/>
      <c r="V81" s="165"/>
      <c r="W81" s="165"/>
      <c r="X81" s="186"/>
      <c r="AI81" s="128"/>
    </row>
    <row r="82" spans="1:35">
      <c r="A82" s="9" t="s">
        <v>282</v>
      </c>
      <c r="B82" s="37"/>
      <c r="C82" s="333"/>
      <c r="D82" s="333"/>
      <c r="E82" s="333"/>
      <c r="F82" s="333"/>
      <c r="G82" s="333"/>
      <c r="H82" s="285"/>
      <c r="I82" s="165"/>
      <c r="J82" s="165"/>
      <c r="K82" s="165"/>
      <c r="L82" s="165"/>
      <c r="M82" s="165"/>
      <c r="N82" s="186" t="s">
        <v>0</v>
      </c>
      <c r="O82" s="165"/>
      <c r="P82" s="165"/>
      <c r="Q82" s="165"/>
      <c r="R82" s="165"/>
      <c r="S82" s="165"/>
      <c r="T82" s="165"/>
      <c r="U82" s="165"/>
      <c r="V82" s="165"/>
      <c r="W82" s="165"/>
      <c r="X82" s="186"/>
      <c r="AI82" s="128"/>
    </row>
    <row r="83" spans="1:35">
      <c r="A83" s="20" t="s">
        <v>122</v>
      </c>
      <c r="B83" s="37"/>
      <c r="C83" s="333"/>
      <c r="D83" s="333"/>
      <c r="E83" s="333"/>
      <c r="F83" s="333"/>
      <c r="G83" s="333"/>
      <c r="H83" s="285"/>
      <c r="I83" s="165"/>
      <c r="J83" s="165"/>
      <c r="K83" s="165"/>
      <c r="L83" s="165"/>
      <c r="M83" s="165"/>
      <c r="N83" s="181"/>
      <c r="O83" s="165"/>
      <c r="P83" s="165"/>
      <c r="Q83" s="165"/>
      <c r="R83" s="165"/>
      <c r="S83" s="165"/>
      <c r="T83" s="165"/>
      <c r="U83" s="165"/>
      <c r="V83" s="165"/>
      <c r="W83" s="165"/>
      <c r="X83" s="186"/>
      <c r="AI83" s="128"/>
    </row>
    <row r="84" spans="1:35">
      <c r="A84" s="9" t="s">
        <v>49</v>
      </c>
      <c r="B84" s="37"/>
      <c r="C84" s="337">
        <f t="shared" ref="C84:AH84" si="70">C31/C$49</f>
        <v>0.25762982445409505</v>
      </c>
      <c r="D84" s="337">
        <f t="shared" si="70"/>
        <v>0.24960115053071952</v>
      </c>
      <c r="E84" s="337">
        <f t="shared" si="70"/>
        <v>0.24157247660734396</v>
      </c>
      <c r="F84" s="337">
        <f t="shared" si="70"/>
        <v>0.23354380268396846</v>
      </c>
      <c r="G84" s="337">
        <f t="shared" si="70"/>
        <v>0.22551512876059293</v>
      </c>
      <c r="H84" s="397">
        <f t="shared" si="70"/>
        <v>0.20349600830598252</v>
      </c>
      <c r="I84" s="116">
        <f t="shared" si="70"/>
        <v>0.19779907547114614</v>
      </c>
      <c r="J84" s="116">
        <f t="shared" si="70"/>
        <v>0.19210214263630976</v>
      </c>
      <c r="K84" s="116">
        <f t="shared" si="70"/>
        <v>0.18640520980147338</v>
      </c>
      <c r="L84" s="116">
        <f t="shared" si="70"/>
        <v>0.18070827696663699</v>
      </c>
      <c r="M84" s="116">
        <f t="shared" si="70"/>
        <v>0.17501134413180061</v>
      </c>
      <c r="N84" s="179">
        <f t="shared" si="70"/>
        <v>0.1693144112969642</v>
      </c>
      <c r="O84" s="116">
        <f t="shared" si="70"/>
        <v>0.1704554168500047</v>
      </c>
      <c r="P84" s="116">
        <f t="shared" si="70"/>
        <v>0.17159642240304521</v>
      </c>
      <c r="Q84" s="116">
        <f t="shared" si="70"/>
        <v>0.17273742795608571</v>
      </c>
      <c r="R84" s="116">
        <f t="shared" si="70"/>
        <v>0.17387843350912621</v>
      </c>
      <c r="S84" s="116">
        <f t="shared" si="70"/>
        <v>0.17501943906216672</v>
      </c>
      <c r="T84" s="116">
        <f t="shared" si="70"/>
        <v>0.17616044461520722</v>
      </c>
      <c r="U84" s="116">
        <f t="shared" si="70"/>
        <v>0.17730145016824772</v>
      </c>
      <c r="V84" s="116">
        <f t="shared" si="70"/>
        <v>0.17844245572128822</v>
      </c>
      <c r="W84" s="116">
        <f t="shared" si="70"/>
        <v>0.17958346127432873</v>
      </c>
      <c r="X84" s="179">
        <f t="shared" si="70"/>
        <v>0.18072446682736915</v>
      </c>
      <c r="Y84" s="174">
        <f t="shared" si="70"/>
        <v>0.179688476874137</v>
      </c>
      <c r="Z84" s="174">
        <f t="shared" si="70"/>
        <v>0.17865248692090485</v>
      </c>
      <c r="AA84" s="174">
        <f t="shared" si="70"/>
        <v>0.1776164969676727</v>
      </c>
      <c r="AB84" s="174">
        <f t="shared" si="70"/>
        <v>0.17658050701444056</v>
      </c>
      <c r="AC84" s="174">
        <f t="shared" si="70"/>
        <v>0.17554451706120841</v>
      </c>
      <c r="AD84" s="174">
        <f t="shared" si="70"/>
        <v>0.17450852710797626</v>
      </c>
      <c r="AE84" s="174">
        <f t="shared" si="70"/>
        <v>0.17347253715474412</v>
      </c>
      <c r="AF84" s="174">
        <f t="shared" si="70"/>
        <v>0.17243654720151197</v>
      </c>
      <c r="AG84" s="174">
        <f t="shared" si="70"/>
        <v>0.17140055724827982</v>
      </c>
      <c r="AH84" s="179">
        <f t="shared" si="70"/>
        <v>0.17036456729504776</v>
      </c>
      <c r="AI84" s="128"/>
    </row>
    <row r="85" spans="1:35">
      <c r="A85" s="9" t="s">
        <v>59</v>
      </c>
      <c r="B85" s="37"/>
      <c r="C85" s="337">
        <f t="shared" ref="C85:AH85" si="71">C32/C$49</f>
        <v>0</v>
      </c>
      <c r="D85" s="337">
        <f t="shared" si="71"/>
        <v>0</v>
      </c>
      <c r="E85" s="337">
        <f t="shared" si="71"/>
        <v>0</v>
      </c>
      <c r="F85" s="337">
        <f t="shared" si="71"/>
        <v>0</v>
      </c>
      <c r="G85" s="337">
        <f t="shared" si="71"/>
        <v>0</v>
      </c>
      <c r="H85" s="397">
        <f t="shared" si="71"/>
        <v>0</v>
      </c>
      <c r="I85" s="116">
        <f t="shared" si="71"/>
        <v>0</v>
      </c>
      <c r="J85" s="116">
        <f t="shared" si="71"/>
        <v>0</v>
      </c>
      <c r="K85" s="116">
        <f t="shared" si="71"/>
        <v>0</v>
      </c>
      <c r="L85" s="116">
        <f t="shared" si="71"/>
        <v>0</v>
      </c>
      <c r="M85" s="116">
        <f t="shared" si="71"/>
        <v>0</v>
      </c>
      <c r="N85" s="179">
        <f t="shared" si="71"/>
        <v>0</v>
      </c>
      <c r="O85" s="116">
        <f t="shared" si="71"/>
        <v>0</v>
      </c>
      <c r="P85" s="116">
        <f t="shared" si="71"/>
        <v>0</v>
      </c>
      <c r="Q85" s="116">
        <f t="shared" si="71"/>
        <v>0</v>
      </c>
      <c r="R85" s="116">
        <f t="shared" si="71"/>
        <v>0</v>
      </c>
      <c r="S85" s="116">
        <f t="shared" si="71"/>
        <v>0</v>
      </c>
      <c r="T85" s="116">
        <f t="shared" si="71"/>
        <v>0</v>
      </c>
      <c r="U85" s="116">
        <f t="shared" si="71"/>
        <v>0</v>
      </c>
      <c r="V85" s="116">
        <f t="shared" si="71"/>
        <v>0</v>
      </c>
      <c r="W85" s="116">
        <f t="shared" si="71"/>
        <v>0</v>
      </c>
      <c r="X85" s="179">
        <f t="shared" si="71"/>
        <v>0</v>
      </c>
      <c r="Y85" s="174">
        <f t="shared" si="71"/>
        <v>0</v>
      </c>
      <c r="Z85" s="174">
        <f t="shared" si="71"/>
        <v>0</v>
      </c>
      <c r="AA85" s="174">
        <f t="shared" si="71"/>
        <v>0</v>
      </c>
      <c r="AB85" s="174">
        <f t="shared" si="71"/>
        <v>0</v>
      </c>
      <c r="AC85" s="174">
        <f t="shared" si="71"/>
        <v>0</v>
      </c>
      <c r="AD85" s="174">
        <f t="shared" si="71"/>
        <v>0</v>
      </c>
      <c r="AE85" s="174">
        <f t="shared" si="71"/>
        <v>0</v>
      </c>
      <c r="AF85" s="174">
        <f t="shared" si="71"/>
        <v>0</v>
      </c>
      <c r="AG85" s="174">
        <f t="shared" si="71"/>
        <v>0</v>
      </c>
      <c r="AH85" s="179">
        <f t="shared" si="71"/>
        <v>0</v>
      </c>
      <c r="AI85" s="128"/>
    </row>
    <row r="86" spans="1:35" s="253" customFormat="1">
      <c r="A86" s="10" t="s">
        <v>121</v>
      </c>
      <c r="B86" s="37"/>
      <c r="C86" s="411">
        <f t="shared" ref="C86:AH86" si="72">C34/C$49</f>
        <v>0.20594531775643771</v>
      </c>
      <c r="D86" s="337">
        <f t="shared" si="72"/>
        <v>0.22084135747591108</v>
      </c>
      <c r="E86" s="337">
        <f t="shared" si="72"/>
        <v>0.23681482882501032</v>
      </c>
      <c r="F86" s="337">
        <f t="shared" si="72"/>
        <v>0.25394366251138512</v>
      </c>
      <c r="G86" s="337">
        <f t="shared" si="72"/>
        <v>0.27231142597640273</v>
      </c>
      <c r="H86" s="410">
        <f t="shared" si="72"/>
        <v>0.17548909086539996</v>
      </c>
      <c r="I86" s="397">
        <f t="shared" si="72"/>
        <v>0.18818222949240598</v>
      </c>
      <c r="J86" s="397">
        <f t="shared" si="72"/>
        <v>0.20179346375378951</v>
      </c>
      <c r="K86" s="397">
        <f t="shared" si="72"/>
        <v>0.21638919957314678</v>
      </c>
      <c r="L86" s="397">
        <f t="shared" si="72"/>
        <v>0.23204064601932792</v>
      </c>
      <c r="M86" s="397">
        <f t="shared" si="72"/>
        <v>0.24882416271828006</v>
      </c>
      <c r="N86" s="398">
        <f>N34/N$49</f>
        <v>0.26682163239321433</v>
      </c>
      <c r="O86" s="397">
        <f t="shared" si="72"/>
        <v>0.26889909968355352</v>
      </c>
      <c r="P86" s="397">
        <f t="shared" si="72"/>
        <v>0.27099274208797058</v>
      </c>
      <c r="Q86" s="397">
        <f t="shared" si="72"/>
        <v>0.27310268554554373</v>
      </c>
      <c r="R86" s="397">
        <f t="shared" si="72"/>
        <v>0.27522905697591005</v>
      </c>
      <c r="S86" s="397">
        <f t="shared" si="72"/>
        <v>0.27737198428689996</v>
      </c>
      <c r="T86" s="397">
        <f t="shared" si="72"/>
        <v>0.27953159638223146</v>
      </c>
      <c r="U86" s="397">
        <f t="shared" si="72"/>
        <v>0.28170802316926408</v>
      </c>
      <c r="V86" s="397">
        <f t="shared" si="72"/>
        <v>0.28390139556681304</v>
      </c>
      <c r="W86" s="397">
        <f t="shared" si="72"/>
        <v>0.28611184551302465</v>
      </c>
      <c r="X86" s="398">
        <f t="shared" si="72"/>
        <v>0.28833950597331226</v>
      </c>
      <c r="Y86" s="397">
        <f>Y34/Y$49</f>
        <v>0.2896052788157546</v>
      </c>
      <c r="Z86" s="397">
        <f t="shared" si="72"/>
        <v>0.29087660823596539</v>
      </c>
      <c r="AA86" s="397">
        <f t="shared" si="72"/>
        <v>0.29215351862659672</v>
      </c>
      <c r="AB86" s="397">
        <f t="shared" si="72"/>
        <v>0.29343603448738115</v>
      </c>
      <c r="AC86" s="397">
        <f t="shared" si="72"/>
        <v>0.29472418042560189</v>
      </c>
      <c r="AD86" s="397">
        <f t="shared" si="72"/>
        <v>0.29601798115656497</v>
      </c>
      <c r="AE86" s="397">
        <f t="shared" si="72"/>
        <v>0.29731746150407334</v>
      </c>
      <c r="AF86" s="397">
        <f t="shared" si="72"/>
        <v>0.29862264640090319</v>
      </c>
      <c r="AG86" s="397">
        <f t="shared" si="72"/>
        <v>0.29993356088928241</v>
      </c>
      <c r="AH86" s="398">
        <f t="shared" si="72"/>
        <v>0.30125023012137098</v>
      </c>
      <c r="AI86" s="293"/>
    </row>
    <row r="87" spans="1:35">
      <c r="A87" s="9" t="s">
        <v>50</v>
      </c>
      <c r="B87" s="37"/>
      <c r="C87" s="411">
        <f t="shared" ref="C87:AH87" si="73">C35/C$49</f>
        <v>0</v>
      </c>
      <c r="D87" s="337">
        <f t="shared" si="73"/>
        <v>0</v>
      </c>
      <c r="E87" s="337">
        <f t="shared" si="73"/>
        <v>5.7735084942204243E-10</v>
      </c>
      <c r="F87" s="337">
        <f t="shared" si="73"/>
        <v>5.9427252109905918E-10</v>
      </c>
      <c r="G87" s="337">
        <f t="shared" si="73"/>
        <v>5.9689580352437596E-10</v>
      </c>
      <c r="H87" s="410">
        <f t="shared" si="73"/>
        <v>5.7850888892861439E-10</v>
      </c>
      <c r="I87" s="116">
        <f t="shared" si="73"/>
        <v>5.8014512761242973E-10</v>
      </c>
      <c r="J87" s="116">
        <f>J35/J$49</f>
        <v>5.8178599418888702E-10</v>
      </c>
      <c r="K87" s="116">
        <f t="shared" si="73"/>
        <v>5.8343150174739101E-10</v>
      </c>
      <c r="L87" s="116">
        <f t="shared" si="73"/>
        <v>5.8508166341436816E-10</v>
      </c>
      <c r="M87" s="116">
        <f t="shared" si="73"/>
        <v>5.867364923533713E-10</v>
      </c>
      <c r="N87" s="179">
        <f t="shared" si="73"/>
        <v>5.8839600176518442E-10</v>
      </c>
      <c r="O87" s="116">
        <f t="shared" si="73"/>
        <v>5.9297723993717839E-10</v>
      </c>
      <c r="P87" s="116">
        <f t="shared" si="73"/>
        <v>5.9759414752760045E-10</v>
      </c>
      <c r="Q87" s="116">
        <f t="shared" si="73"/>
        <v>6.0224700225774878E-10</v>
      </c>
      <c r="R87" s="116">
        <f t="shared" si="73"/>
        <v>6.0693608401125303E-10</v>
      </c>
      <c r="S87" s="116">
        <f t="shared" si="73"/>
        <v>6.1166167485091067E-10</v>
      </c>
      <c r="T87" s="116">
        <f t="shared" si="73"/>
        <v>6.1642405903565384E-10</v>
      </c>
      <c r="U87" s="116">
        <f t="shared" si="73"/>
        <v>6.2122352303764825E-10</v>
      </c>
      <c r="V87" s="116">
        <f t="shared" si="73"/>
        <v>6.2606035555952568E-10</v>
      </c>
      <c r="W87" s="116">
        <f t="shared" si="73"/>
        <v>6.3093484755175012E-10</v>
      </c>
      <c r="X87" s="179">
        <f t="shared" si="73"/>
        <v>6.3584729223011869E-10</v>
      </c>
      <c r="Y87" s="174">
        <f t="shared" si="73"/>
        <v>6.3863857895209799E-10</v>
      </c>
      <c r="Z87" s="174">
        <f t="shared" si="73"/>
        <v>6.4144211905890653E-10</v>
      </c>
      <c r="AA87" s="174">
        <f t="shared" si="73"/>
        <v>6.4425796634130628E-10</v>
      </c>
      <c r="AB87" s="174">
        <f t="shared" si="73"/>
        <v>6.4708617482619364E-10</v>
      </c>
      <c r="AC87" s="174">
        <f t="shared" si="73"/>
        <v>6.4992679877763619E-10</v>
      </c>
      <c r="AD87" s="174">
        <f t="shared" si="73"/>
        <v>6.5277989269791349E-10</v>
      </c>
      <c r="AE87" s="174">
        <f t="shared" si="73"/>
        <v>6.5564551132856318E-10</v>
      </c>
      <c r="AF87" s="174">
        <f t="shared" si="73"/>
        <v>6.5852370965143105E-10</v>
      </c>
      <c r="AG87" s="174">
        <f t="shared" si="73"/>
        <v>6.6141454288972575E-10</v>
      </c>
      <c r="AH87" s="179">
        <f t="shared" si="73"/>
        <v>6.6431806650907905E-10</v>
      </c>
      <c r="AI87" s="128"/>
    </row>
    <row r="88" spans="1:35">
      <c r="A88" s="9" t="s">
        <v>119</v>
      </c>
      <c r="B88" s="37"/>
      <c r="C88" s="411">
        <f t="shared" ref="C88:AH88" si="74">C36/C$49</f>
        <v>0</v>
      </c>
      <c r="D88" s="337">
        <f t="shared" si="74"/>
        <v>0</v>
      </c>
      <c r="E88" s="337">
        <f t="shared" si="74"/>
        <v>0</v>
      </c>
      <c r="F88" s="337">
        <f t="shared" si="74"/>
        <v>0</v>
      </c>
      <c r="G88" s="337">
        <f t="shared" si="74"/>
        <v>0</v>
      </c>
      <c r="H88" s="410">
        <f t="shared" si="74"/>
        <v>0</v>
      </c>
      <c r="I88" s="116">
        <f t="shared" si="74"/>
        <v>0</v>
      </c>
      <c r="J88" s="116">
        <f t="shared" si="74"/>
        <v>0</v>
      </c>
      <c r="K88" s="116">
        <f t="shared" si="74"/>
        <v>0</v>
      </c>
      <c r="L88" s="116">
        <f t="shared" si="74"/>
        <v>0</v>
      </c>
      <c r="M88" s="116">
        <f t="shared" si="74"/>
        <v>0</v>
      </c>
      <c r="N88" s="179">
        <f t="shared" si="74"/>
        <v>0</v>
      </c>
      <c r="O88" s="116">
        <f t="shared" si="74"/>
        <v>0</v>
      </c>
      <c r="P88" s="116">
        <f t="shared" si="74"/>
        <v>0</v>
      </c>
      <c r="Q88" s="116">
        <f t="shared" si="74"/>
        <v>0</v>
      </c>
      <c r="R88" s="116">
        <f t="shared" si="74"/>
        <v>0</v>
      </c>
      <c r="S88" s="116">
        <f t="shared" si="74"/>
        <v>0</v>
      </c>
      <c r="T88" s="116">
        <f t="shared" si="74"/>
        <v>0</v>
      </c>
      <c r="U88" s="116">
        <f t="shared" si="74"/>
        <v>0</v>
      </c>
      <c r="V88" s="116">
        <f t="shared" si="74"/>
        <v>0</v>
      </c>
      <c r="W88" s="116">
        <f t="shared" si="74"/>
        <v>0</v>
      </c>
      <c r="X88" s="179">
        <f t="shared" si="74"/>
        <v>0</v>
      </c>
      <c r="Y88" s="174">
        <f t="shared" si="74"/>
        <v>0</v>
      </c>
      <c r="Z88" s="174">
        <f t="shared" si="74"/>
        <v>0</v>
      </c>
      <c r="AA88" s="174">
        <f t="shared" si="74"/>
        <v>0</v>
      </c>
      <c r="AB88" s="174">
        <f t="shared" si="74"/>
        <v>0</v>
      </c>
      <c r="AC88" s="174">
        <f t="shared" si="74"/>
        <v>0</v>
      </c>
      <c r="AD88" s="174">
        <f t="shared" si="74"/>
        <v>0</v>
      </c>
      <c r="AE88" s="174">
        <f t="shared" si="74"/>
        <v>0</v>
      </c>
      <c r="AF88" s="174">
        <f t="shared" si="74"/>
        <v>0</v>
      </c>
      <c r="AG88" s="174">
        <f t="shared" si="74"/>
        <v>0</v>
      </c>
      <c r="AH88" s="179">
        <f t="shared" si="74"/>
        <v>0</v>
      </c>
      <c r="AI88" s="128"/>
    </row>
    <row r="89" spans="1:35">
      <c r="A89" s="9" t="s">
        <v>51</v>
      </c>
      <c r="B89" s="37"/>
      <c r="C89" s="411">
        <f t="shared" ref="C89:AH89" si="75">C37/C$49</f>
        <v>1.4190470365159949E-2</v>
      </c>
      <c r="D89" s="337">
        <f t="shared" si="75"/>
        <v>1.4230438047057661E-2</v>
      </c>
      <c r="E89" s="337">
        <f t="shared" si="75"/>
        <v>1.4270518298557026E-2</v>
      </c>
      <c r="F89" s="337">
        <f t="shared" si="75"/>
        <v>1.4310711436712089E-2</v>
      </c>
      <c r="G89" s="337">
        <f t="shared" si="75"/>
        <v>1.5679638150977976E-2</v>
      </c>
      <c r="H89" s="410">
        <f t="shared" si="75"/>
        <v>1.5186401881703764E-2</v>
      </c>
      <c r="I89" s="116">
        <f t="shared" si="75"/>
        <v>1.5229174620306492E-2</v>
      </c>
      <c r="J89" s="116">
        <f t="shared" si="75"/>
        <v>1.5272067828996988E-2</v>
      </c>
      <c r="K89" s="116">
        <f t="shared" si="75"/>
        <v>1.5315081847081141E-2</v>
      </c>
      <c r="L89" s="116">
        <f t="shared" si="75"/>
        <v>1.5358217014820496E-2</v>
      </c>
      <c r="M89" s="116">
        <f t="shared" si="75"/>
        <v>1.5401473673434959E-2</v>
      </c>
      <c r="N89" s="179">
        <f t="shared" si="75"/>
        <v>1.5444852165105483E-2</v>
      </c>
      <c r="O89" s="116">
        <f t="shared" si="75"/>
        <v>1.5565105440259134E-2</v>
      </c>
      <c r="P89" s="116">
        <f t="shared" si="75"/>
        <v>1.5686295004736291E-2</v>
      </c>
      <c r="Q89" s="116">
        <f t="shared" si="75"/>
        <v>1.5808428148464775E-2</v>
      </c>
      <c r="R89" s="116">
        <f t="shared" si="75"/>
        <v>1.5931512218131633E-2</v>
      </c>
      <c r="S89" s="116">
        <f t="shared" si="75"/>
        <v>1.6055554617625055E-2</v>
      </c>
      <c r="T89" s="116">
        <f t="shared" si="75"/>
        <v>1.6180562808479737E-2</v>
      </c>
      <c r="U89" s="116">
        <f t="shared" si="75"/>
        <v>1.6306544310325719E-2</v>
      </c>
      <c r="V89" s="116">
        <f t="shared" si="75"/>
        <v>1.6433506701340715E-2</v>
      </c>
      <c r="W89" s="116">
        <f t="shared" si="75"/>
        <v>1.656145761870596E-2</v>
      </c>
      <c r="X89" s="179">
        <f t="shared" si="75"/>
        <v>1.6690404759065604E-2</v>
      </c>
      <c r="Y89" s="174">
        <f t="shared" si="75"/>
        <v>1.6763673460147972E-2</v>
      </c>
      <c r="Z89" s="174">
        <f t="shared" si="75"/>
        <v>1.6837263801276568E-2</v>
      </c>
      <c r="AA89" s="174">
        <f t="shared" si="75"/>
        <v>1.6911177194409266E-2</v>
      </c>
      <c r="AB89" s="174">
        <f t="shared" si="75"/>
        <v>1.6985415057702249E-2</v>
      </c>
      <c r="AC89" s="174">
        <f t="shared" si="75"/>
        <v>1.7059978815537225E-2</v>
      </c>
      <c r="AD89" s="174">
        <f t="shared" si="75"/>
        <v>1.7134869898548746E-2</v>
      </c>
      <c r="AE89" s="174">
        <f t="shared" si="75"/>
        <v>1.7210089743651669E-2</v>
      </c>
      <c r="AF89" s="174">
        <f t="shared" si="75"/>
        <v>1.7285639794068716E-2</v>
      </c>
      <c r="AG89" s="174">
        <f t="shared" si="75"/>
        <v>1.7361521499358167E-2</v>
      </c>
      <c r="AH89" s="179">
        <f t="shared" si="75"/>
        <v>1.7437736315441675E-2</v>
      </c>
      <c r="AI89" s="128"/>
    </row>
    <row r="90" spans="1:35" s="253" customFormat="1">
      <c r="A90" s="10" t="s">
        <v>347</v>
      </c>
      <c r="B90" s="37"/>
      <c r="C90" s="411">
        <f t="shared" ref="C90:AH90" si="76">C38/C$49</f>
        <v>0.03</v>
      </c>
      <c r="D90" s="337">
        <f t="shared" si="76"/>
        <v>3.1275575033592476E-2</v>
      </c>
      <c r="E90" s="337">
        <f t="shared" si="76"/>
        <v>3.2605386456062431E-2</v>
      </c>
      <c r="F90" s="337">
        <f t="shared" si="76"/>
        <v>3.3991740353528678E-2</v>
      </c>
      <c r="G90" s="337">
        <f t="shared" si="76"/>
        <v>3.5437040864972645E-2</v>
      </c>
      <c r="H90" s="410">
        <f t="shared" si="76"/>
        <v>3.0005785088889285E-2</v>
      </c>
      <c r="I90" s="397">
        <f t="shared" si="76"/>
        <v>3.1281606099646905E-2</v>
      </c>
      <c r="J90" s="397">
        <f t="shared" si="76"/>
        <v>3.261167395802636E-2</v>
      </c>
      <c r="K90" s="397">
        <f t="shared" si="76"/>
        <v>3.399829519484357E-2</v>
      </c>
      <c r="L90" s="397">
        <f t="shared" si="76"/>
        <v>3.544387441268522E-2</v>
      </c>
      <c r="M90" s="397">
        <f t="shared" si="76"/>
        <v>3.6950918455838831E-2</v>
      </c>
      <c r="N90" s="398">
        <f t="shared" si="76"/>
        <v>3.8522040757524814E-2</v>
      </c>
      <c r="O90" s="397">
        <f t="shared" si="76"/>
        <v>3.8821972509358676E-2</v>
      </c>
      <c r="P90" s="397">
        <f t="shared" si="76"/>
        <v>3.9124239523135804E-2</v>
      </c>
      <c r="Q90" s="397">
        <f t="shared" si="76"/>
        <v>3.942885998115371E-2</v>
      </c>
      <c r="R90" s="397">
        <f t="shared" si="76"/>
        <v>3.9735852207276864E-2</v>
      </c>
      <c r="S90" s="397">
        <f t="shared" si="76"/>
        <v>4.0045234668038936E-2</v>
      </c>
      <c r="T90" s="397">
        <f t="shared" si="76"/>
        <v>4.0357025973753617E-2</v>
      </c>
      <c r="U90" s="397">
        <f t="shared" si="76"/>
        <v>4.067124487963409E-2</v>
      </c>
      <c r="V90" s="397">
        <f t="shared" si="76"/>
        <v>4.0987910286921211E-2</v>
      </c>
      <c r="W90" s="397">
        <f t="shared" si="76"/>
        <v>4.1307041244020466E-2</v>
      </c>
      <c r="X90" s="398">
        <f t="shared" si="76"/>
        <v>4.1628656947647787E-2</v>
      </c>
      <c r="Y90" s="397">
        <f t="shared" si="76"/>
        <v>4.1811401324814604E-2</v>
      </c>
      <c r="Z90" s="397">
        <f t="shared" si="76"/>
        <v>4.1994947925974094E-2</v>
      </c>
      <c r="AA90" s="397">
        <f t="shared" si="76"/>
        <v>4.2179300272785006E-2</v>
      </c>
      <c r="AB90" s="397">
        <f t="shared" si="76"/>
        <v>4.2364461902365702E-2</v>
      </c>
      <c r="AC90" s="397">
        <f t="shared" si="76"/>
        <v>4.2550436367362048E-2</v>
      </c>
      <c r="AD90" s="397">
        <f t="shared" si="76"/>
        <v>4.2737227236015557E-2</v>
      </c>
      <c r="AE90" s="397">
        <f t="shared" si="76"/>
        <v>4.2924838092231847E-2</v>
      </c>
      <c r="AF90" s="397">
        <f t="shared" si="76"/>
        <v>4.3113272535649429E-2</v>
      </c>
      <c r="AG90" s="397">
        <f t="shared" si="76"/>
        <v>4.3302534181708749E-2</v>
      </c>
      <c r="AH90" s="398">
        <f t="shared" si="76"/>
        <v>4.3492626661721559E-2</v>
      </c>
      <c r="AI90" s="293"/>
    </row>
    <row r="91" spans="1:35" s="253" customFormat="1">
      <c r="A91" s="10" t="s">
        <v>348</v>
      </c>
      <c r="B91" s="37"/>
      <c r="C91" s="411">
        <f t="shared" ref="C91:AH91" si="77">C39/C$49</f>
        <v>0</v>
      </c>
      <c r="D91" s="337">
        <f t="shared" si="77"/>
        <v>0</v>
      </c>
      <c r="E91" s="337">
        <f t="shared" si="77"/>
        <v>5.7735084942204246E-6</v>
      </c>
      <c r="F91" s="337">
        <f t="shared" si="77"/>
        <v>5.9427252109905911E-6</v>
      </c>
      <c r="G91" s="337">
        <f t="shared" si="77"/>
        <v>5.9689580352437594E-6</v>
      </c>
      <c r="H91" s="410">
        <f t="shared" si="77"/>
        <v>5.7850888892861435E-6</v>
      </c>
      <c r="I91" s="397">
        <f t="shared" si="77"/>
        <v>5.8014512761242963E-6</v>
      </c>
      <c r="J91" s="397">
        <f t="shared" si="77"/>
        <v>5.8178599418888697E-6</v>
      </c>
      <c r="K91" s="397">
        <f t="shared" si="77"/>
        <v>5.8343150174739098E-6</v>
      </c>
      <c r="L91" s="397">
        <f t="shared" si="77"/>
        <v>5.8508166341436813E-6</v>
      </c>
      <c r="M91" s="397">
        <f t="shared" si="77"/>
        <v>5.8673649235337119E-6</v>
      </c>
      <c r="N91" s="398">
        <f t="shared" si="77"/>
        <v>5.8839600176518427E-6</v>
      </c>
      <c r="O91" s="397">
        <f t="shared" si="77"/>
        <v>5.9297723993717821E-6</v>
      </c>
      <c r="P91" s="397">
        <f t="shared" si="77"/>
        <v>5.9759414752760028E-6</v>
      </c>
      <c r="Q91" s="397">
        <f t="shared" si="77"/>
        <v>6.022470022577487E-6</v>
      </c>
      <c r="R91" s="397">
        <f t="shared" si="77"/>
        <v>6.0693608401125284E-6</v>
      </c>
      <c r="S91" s="397">
        <f t="shared" si="77"/>
        <v>6.1166167485091043E-6</v>
      </c>
      <c r="T91" s="397">
        <f t="shared" si="77"/>
        <v>6.1642405903565368E-6</v>
      </c>
      <c r="U91" s="397">
        <f t="shared" si="77"/>
        <v>6.2122352303764813E-6</v>
      </c>
      <c r="V91" s="397">
        <f t="shared" si="77"/>
        <v>6.2606035555952559E-6</v>
      </c>
      <c r="W91" s="397">
        <f t="shared" si="77"/>
        <v>6.3093484755175004E-6</v>
      </c>
      <c r="X91" s="398">
        <f t="shared" si="77"/>
        <v>6.3584729223011871E-6</v>
      </c>
      <c r="Y91" s="397">
        <f t="shared" si="77"/>
        <v>6.3863857895209807E-6</v>
      </c>
      <c r="Z91" s="397">
        <f t="shared" si="77"/>
        <v>6.4144211905890656E-6</v>
      </c>
      <c r="AA91" s="397">
        <f t="shared" si="77"/>
        <v>6.4425796634130628E-6</v>
      </c>
      <c r="AB91" s="397">
        <f t="shared" si="77"/>
        <v>6.4708617482619355E-6</v>
      </c>
      <c r="AC91" s="397">
        <f t="shared" si="77"/>
        <v>6.4992679877763614E-6</v>
      </c>
      <c r="AD91" s="397">
        <f t="shared" si="77"/>
        <v>6.5277989269791338E-6</v>
      </c>
      <c r="AE91" s="397">
        <f t="shared" si="77"/>
        <v>6.5564551132856305E-6</v>
      </c>
      <c r="AF91" s="397">
        <f t="shared" si="77"/>
        <v>6.5852370965143082E-6</v>
      </c>
      <c r="AG91" s="397">
        <f t="shared" si="77"/>
        <v>6.6141454288972586E-6</v>
      </c>
      <c r="AH91" s="398">
        <f t="shared" si="77"/>
        <v>6.6431806650907916E-6</v>
      </c>
      <c r="AI91" s="293"/>
    </row>
    <row r="92" spans="1:35">
      <c r="A92" s="9" t="s">
        <v>344</v>
      </c>
      <c r="B92" s="37"/>
      <c r="C92" s="411">
        <f t="shared" ref="C92:AH92" si="78">C40/C$49</f>
        <v>6.1165820539482536E-7</v>
      </c>
      <c r="D92" s="337">
        <f t="shared" si="78"/>
        <v>6.1338820269667073E-7</v>
      </c>
      <c r="E92" s="337">
        <f t="shared" si="78"/>
        <v>6.1512309307546329E-7</v>
      </c>
      <c r="F92" s="337">
        <f t="shared" si="78"/>
        <v>6.1686289037064778E-7</v>
      </c>
      <c r="G92" s="337">
        <f t="shared" si="78"/>
        <v>6.1860760846081203E-7</v>
      </c>
      <c r="H92" s="410">
        <f t="shared" si="78"/>
        <v>5.7850888892861429E-7</v>
      </c>
      <c r="I92" s="116">
        <f t="shared" si="78"/>
        <v>5.8014512761242957E-7</v>
      </c>
      <c r="J92" s="116">
        <f t="shared" si="78"/>
        <v>5.8178599418888686E-7</v>
      </c>
      <c r="K92" s="116">
        <f t="shared" si="78"/>
        <v>5.8343150174739087E-7</v>
      </c>
      <c r="L92" s="116">
        <f t="shared" si="78"/>
        <v>5.8508166341436798E-7</v>
      </c>
      <c r="M92" s="116">
        <f t="shared" si="78"/>
        <v>5.8673649235337109E-7</v>
      </c>
      <c r="N92" s="179">
        <f t="shared" si="78"/>
        <v>5.8839600176518442E-7</v>
      </c>
      <c r="O92" s="116">
        <f t="shared" si="78"/>
        <v>5.9297723993717811E-7</v>
      </c>
      <c r="P92" s="116">
        <f t="shared" si="78"/>
        <v>5.9759414752760015E-7</v>
      </c>
      <c r="Q92" s="116">
        <f t="shared" si="78"/>
        <v>6.0224700225774849E-7</v>
      </c>
      <c r="R92" s="116">
        <f t="shared" si="78"/>
        <v>6.0693608401125272E-7</v>
      </c>
      <c r="S92" s="116">
        <f t="shared" si="78"/>
        <v>6.1166167485091034E-7</v>
      </c>
      <c r="T92" s="116">
        <f t="shared" si="78"/>
        <v>6.1642405903565349E-7</v>
      </c>
      <c r="U92" s="116">
        <f t="shared" si="78"/>
        <v>6.2122352303764794E-7</v>
      </c>
      <c r="V92" s="116">
        <f t="shared" si="78"/>
        <v>6.260603555595254E-7</v>
      </c>
      <c r="W92" s="116">
        <f t="shared" si="78"/>
        <v>6.309348475517498E-7</v>
      </c>
      <c r="X92" s="179">
        <f t="shared" si="78"/>
        <v>6.3584729223011867E-7</v>
      </c>
      <c r="Y92" s="174">
        <f t="shared" si="78"/>
        <v>6.3863857895209794E-7</v>
      </c>
      <c r="Z92" s="174">
        <f t="shared" si="78"/>
        <v>6.414421190589065E-7</v>
      </c>
      <c r="AA92" s="174">
        <f t="shared" si="78"/>
        <v>6.4425796634130622E-7</v>
      </c>
      <c r="AB92" s="174">
        <f t="shared" si="78"/>
        <v>6.4708617482619355E-7</v>
      </c>
      <c r="AC92" s="174">
        <f t="shared" si="78"/>
        <v>6.499267987776361E-7</v>
      </c>
      <c r="AD92" s="174">
        <f t="shared" si="78"/>
        <v>6.5277989269791346E-7</v>
      </c>
      <c r="AE92" s="174">
        <f t="shared" si="78"/>
        <v>6.5564551132856317E-7</v>
      </c>
      <c r="AF92" s="174">
        <f t="shared" si="78"/>
        <v>6.5852370965143097E-7</v>
      </c>
      <c r="AG92" s="174">
        <f t="shared" si="78"/>
        <v>6.6141454288972579E-7</v>
      </c>
      <c r="AH92" s="179">
        <f t="shared" si="78"/>
        <v>6.6431806650907912E-7</v>
      </c>
      <c r="AI92" s="128"/>
    </row>
    <row r="93" spans="1:35">
      <c r="A93" s="9" t="s">
        <v>120</v>
      </c>
      <c r="B93" s="37"/>
      <c r="C93" s="411">
        <f t="shared" ref="C93:AH93" si="79">C41/C$49</f>
        <v>0</v>
      </c>
      <c r="D93" s="337">
        <f t="shared" si="79"/>
        <v>0</v>
      </c>
      <c r="E93" s="337">
        <f t="shared" si="79"/>
        <v>0</v>
      </c>
      <c r="F93" s="337">
        <f t="shared" si="79"/>
        <v>0</v>
      </c>
      <c r="G93" s="337">
        <f t="shared" si="79"/>
        <v>0</v>
      </c>
      <c r="H93" s="410">
        <f t="shared" si="79"/>
        <v>5.7850888892861427E-5</v>
      </c>
      <c r="I93" s="116">
        <f t="shared" si="79"/>
        <v>1.03254124548844E-4</v>
      </c>
      <c r="J93" s="116">
        <f t="shared" si="79"/>
        <v>1.4010181712577127E-4</v>
      </c>
      <c r="K93" s="116">
        <f t="shared" si="79"/>
        <v>1.8398707200350874E-4</v>
      </c>
      <c r="L93" s="116">
        <f t="shared" si="79"/>
        <v>2.2868810919014204E-4</v>
      </c>
      <c r="M93" s="116">
        <f t="shared" si="79"/>
        <v>2.7373880355123606E-4</v>
      </c>
      <c r="N93" s="179">
        <f t="shared" si="79"/>
        <v>3.2080864407189744E-4</v>
      </c>
      <c r="O93" s="116">
        <f t="shared" si="79"/>
        <v>3.6430027517046472E-4</v>
      </c>
      <c r="P93" s="116">
        <f t="shared" si="79"/>
        <v>4.1416678838235039E-4</v>
      </c>
      <c r="Q93" s="116">
        <f t="shared" si="79"/>
        <v>4.597143743112857E-4</v>
      </c>
      <c r="R93" s="116">
        <f t="shared" si="79"/>
        <v>5.0610157656393354E-4</v>
      </c>
      <c r="S93" s="116">
        <f t="shared" si="79"/>
        <v>5.5183725500629994E-4</v>
      </c>
      <c r="T93" s="116">
        <f t="shared" si="79"/>
        <v>6.0259002406419179E-4</v>
      </c>
      <c r="U93" s="116">
        <f t="shared" si="79"/>
        <v>6.5292471747643637E-4</v>
      </c>
      <c r="V93" s="116">
        <f t="shared" si="79"/>
        <v>6.8857650046568017E-4</v>
      </c>
      <c r="W93" s="116">
        <f t="shared" si="79"/>
        <v>7.4156119288787783E-4</v>
      </c>
      <c r="X93" s="179">
        <f t="shared" si="79"/>
        <v>7.8147445092458998E-4</v>
      </c>
      <c r="Y93" s="174">
        <f t="shared" si="79"/>
        <v>8.1999119970112635E-4</v>
      </c>
      <c r="Z93" s="174">
        <f t="shared" si="79"/>
        <v>8.5550109285410867E-4</v>
      </c>
      <c r="AA93" s="174">
        <f t="shared" si="79"/>
        <v>8.8636170682175695E-4</v>
      </c>
      <c r="AB93" s="174">
        <f t="shared" si="79"/>
        <v>9.1970527347716034E-4</v>
      </c>
      <c r="AC93" s="174">
        <f t="shared" si="79"/>
        <v>9.638295789053087E-4</v>
      </c>
      <c r="AD93" s="174">
        <f t="shared" si="79"/>
        <v>9.9585611149736867E-4</v>
      </c>
      <c r="AE93" s="174">
        <f t="shared" si="79"/>
        <v>1.0278337867861854E-3</v>
      </c>
      <c r="AF93" s="174">
        <f t="shared" si="79"/>
        <v>1.0732591505371518E-3</v>
      </c>
      <c r="AG93" s="174">
        <f t="shared" si="79"/>
        <v>1.1156779102332527E-3</v>
      </c>
      <c r="AH93" s="179">
        <f t="shared" si="79"/>
        <v>1.1642149196672081E-3</v>
      </c>
      <c r="AI93" s="128"/>
    </row>
    <row r="94" spans="1:35">
      <c r="A94" s="9" t="s">
        <v>53</v>
      </c>
      <c r="B94" s="37"/>
      <c r="C94" s="411">
        <f t="shared" ref="C94:AH94" si="80">C42/C$49</f>
        <v>1.8288580341305278E-2</v>
      </c>
      <c r="D94" s="337">
        <f t="shared" si="80"/>
        <v>2.9320171572947876E-2</v>
      </c>
      <c r="E94" s="337">
        <f t="shared" si="80"/>
        <v>3.371222801228474E-2</v>
      </c>
      <c r="F94" s="337">
        <f t="shared" si="80"/>
        <v>5.1733651373229085E-2</v>
      </c>
      <c r="G94" s="337">
        <f t="shared" si="80"/>
        <v>8.6301104433538167E-2</v>
      </c>
      <c r="H94" s="410">
        <f t="shared" si="80"/>
        <v>8.4882474882275766E-2</v>
      </c>
      <c r="I94" s="116">
        <f t="shared" si="80"/>
        <v>0.18725350885635075</v>
      </c>
      <c r="J94" s="116">
        <f t="shared" si="80"/>
        <v>0.23749465660420874</v>
      </c>
      <c r="K94" s="116">
        <f t="shared" si="80"/>
        <v>0.23391004278773658</v>
      </c>
      <c r="L94" s="116">
        <f t="shared" si="80"/>
        <v>0.2325203787654431</v>
      </c>
      <c r="M94" s="116">
        <f t="shared" si="80"/>
        <v>0.24253646682267496</v>
      </c>
      <c r="N94" s="179">
        <f t="shared" si="80"/>
        <v>0.29920500173973991</v>
      </c>
      <c r="O94" s="116">
        <f t="shared" si="80"/>
        <v>0.30153460522295433</v>
      </c>
      <c r="P94" s="116">
        <f t="shared" si="80"/>
        <v>0.30388234694703176</v>
      </c>
      <c r="Q94" s="116">
        <f t="shared" si="80"/>
        <v>0.30624836813591189</v>
      </c>
      <c r="R94" s="116">
        <f t="shared" si="80"/>
        <v>0.30863281111310081</v>
      </c>
      <c r="S94" s="116">
        <f t="shared" si="80"/>
        <v>0.31103581931023216</v>
      </c>
      <c r="T94" s="116">
        <f t="shared" si="80"/>
        <v>0.3134575372756952</v>
      </c>
      <c r="U94" s="116">
        <f t="shared" si="80"/>
        <v>0.31589811068332968</v>
      </c>
      <c r="V94" s="116">
        <f t="shared" si="80"/>
        <v>0.31835768634118861</v>
      </c>
      <c r="W94" s="116">
        <f t="shared" si="80"/>
        <v>0.32083641220036924</v>
      </c>
      <c r="X94" s="179">
        <f t="shared" si="80"/>
        <v>0.32333443736391254</v>
      </c>
      <c r="Y94" s="174">
        <f t="shared" si="80"/>
        <v>0.32475383339311809</v>
      </c>
      <c r="Z94" s="174">
        <f t="shared" si="80"/>
        <v>0.32617946038585527</v>
      </c>
      <c r="AA94" s="174">
        <f t="shared" si="80"/>
        <v>0.32761134569524164</v>
      </c>
      <c r="AB94" s="174">
        <f t="shared" si="80"/>
        <v>0.32904951679447147</v>
      </c>
      <c r="AC94" s="174">
        <f t="shared" si="80"/>
        <v>0.33049400127734274</v>
      </c>
      <c r="AD94" s="174">
        <f t="shared" si="80"/>
        <v>0.33194482685878662</v>
      </c>
      <c r="AE94" s="174">
        <f t="shared" si="80"/>
        <v>0.33340202137539915</v>
      </c>
      <c r="AF94" s="174">
        <f t="shared" si="80"/>
        <v>0.33486561278597549</v>
      </c>
      <c r="AG94" s="174">
        <f t="shared" si="80"/>
        <v>0.33633562917204618</v>
      </c>
      <c r="AH94" s="179">
        <f t="shared" si="80"/>
        <v>0.33781209873841606</v>
      </c>
      <c r="AI94" s="128"/>
    </row>
    <row r="95" spans="1:35" s="379" customFormat="1">
      <c r="A95" s="374" t="s">
        <v>540</v>
      </c>
      <c r="B95" s="375"/>
      <c r="C95" s="376">
        <f>SUM(C86:C94)</f>
        <v>0.26842498012110833</v>
      </c>
      <c r="D95" s="376">
        <f>SUM(D86:D94)</f>
        <v>0.29566815551771175</v>
      </c>
      <c r="E95" s="376">
        <f>SUM(E86:E94)</f>
        <v>0.3174093508008527</v>
      </c>
      <c r="F95" s="376">
        <f>SUM(F86:F94)</f>
        <v>0.35398632585722889</v>
      </c>
      <c r="G95" s="376">
        <f t="shared" ref="G95:AH95" si="81">SUM(G86:G94)</f>
        <v>0.40973579758843098</v>
      </c>
      <c r="H95" s="376">
        <f t="shared" si="81"/>
        <v>0.30562796778344875</v>
      </c>
      <c r="I95" s="376">
        <f t="shared" si="81"/>
        <v>0.42205615536980778</v>
      </c>
      <c r="J95" s="376">
        <f t="shared" si="81"/>
        <v>0.4873183641898694</v>
      </c>
      <c r="K95" s="376">
        <f t="shared" si="81"/>
        <v>0.4998030248047623</v>
      </c>
      <c r="L95" s="376">
        <f t="shared" si="81"/>
        <v>0.51559824080484606</v>
      </c>
      <c r="M95" s="376">
        <f t="shared" si="81"/>
        <v>0.54399321516193244</v>
      </c>
      <c r="N95" s="377">
        <f t="shared" si="81"/>
        <v>0.62032080864407191</v>
      </c>
      <c r="O95" s="376">
        <f t="shared" si="81"/>
        <v>0.6251916064739127</v>
      </c>
      <c r="P95" s="376">
        <f t="shared" si="81"/>
        <v>0.63010636448447377</v>
      </c>
      <c r="Q95" s="376">
        <f t="shared" si="81"/>
        <v>0.63505468150465727</v>
      </c>
      <c r="R95" s="376">
        <f t="shared" si="81"/>
        <v>0.64004201099484348</v>
      </c>
      <c r="S95" s="376">
        <f t="shared" si="81"/>
        <v>0.64506715902788736</v>
      </c>
      <c r="T95" s="376">
        <f t="shared" si="81"/>
        <v>0.65013609374529768</v>
      </c>
      <c r="U95" s="376">
        <f t="shared" si="81"/>
        <v>0.65524368184000692</v>
      </c>
      <c r="V95" s="376">
        <f t="shared" si="81"/>
        <v>0.66037596268670073</v>
      </c>
      <c r="W95" s="376">
        <f t="shared" si="81"/>
        <v>0.6655652586832661</v>
      </c>
      <c r="X95" s="377">
        <f t="shared" si="81"/>
        <v>0.67078147445092462</v>
      </c>
      <c r="Y95" s="376">
        <f t="shared" si="81"/>
        <v>0.67376120385654348</v>
      </c>
      <c r="Z95" s="376">
        <f t="shared" si="81"/>
        <v>0.67675083794667712</v>
      </c>
      <c r="AA95" s="376">
        <f t="shared" si="81"/>
        <v>0.67974879097774221</v>
      </c>
      <c r="AB95" s="376">
        <f t="shared" si="81"/>
        <v>0.68276225211040698</v>
      </c>
      <c r="AC95" s="376">
        <f t="shared" si="81"/>
        <v>0.68579957630946253</v>
      </c>
      <c r="AD95" s="376">
        <f t="shared" si="81"/>
        <v>0.68883794249301278</v>
      </c>
      <c r="AE95" s="376">
        <f t="shared" si="81"/>
        <v>0.69188945725841233</v>
      </c>
      <c r="AF95" s="376">
        <f t="shared" si="81"/>
        <v>0.69496767508646395</v>
      </c>
      <c r="AG95" s="376">
        <f t="shared" si="81"/>
        <v>0.69805619987401513</v>
      </c>
      <c r="AH95" s="377">
        <f t="shared" si="81"/>
        <v>0.70116421491966707</v>
      </c>
      <c r="AI95" s="378"/>
    </row>
    <row r="96" spans="1:35">
      <c r="A96" s="10" t="s">
        <v>543</v>
      </c>
      <c r="B96" s="37"/>
      <c r="C96" s="333"/>
      <c r="D96" s="333">
        <f>D95/C95-1</f>
        <v>0.10149269782682602</v>
      </c>
      <c r="E96" s="333">
        <f t="shared" ref="E96:O96" si="82">E95/D95-1</f>
        <v>7.3532420984168345E-2</v>
      </c>
      <c r="F96" s="333">
        <f t="shared" si="82"/>
        <v>0.11523597198409297</v>
      </c>
      <c r="G96" s="333">
        <f t="shared" si="82"/>
        <v>0.15749046688794177</v>
      </c>
      <c r="H96" s="285"/>
      <c r="I96" s="165">
        <f t="shared" si="82"/>
        <v>0.38094742582214747</v>
      </c>
      <c r="J96" s="165">
        <f t="shared" si="82"/>
        <v>0.15462920748751685</v>
      </c>
      <c r="K96" s="165">
        <f t="shared" si="82"/>
        <v>2.5619105562844302E-2</v>
      </c>
      <c r="L96" s="165">
        <f t="shared" si="82"/>
        <v>3.1602881967858876E-2</v>
      </c>
      <c r="M96" s="165">
        <f t="shared" si="82"/>
        <v>5.5071899222856047E-2</v>
      </c>
      <c r="N96" s="165">
        <f t="shared" si="82"/>
        <v>0.14030982621615751</v>
      </c>
      <c r="O96" s="173">
        <f t="shared" si="82"/>
        <v>7.8520626133558036E-3</v>
      </c>
      <c r="P96" s="173">
        <f t="shared" ref="P96:AH96" si="83">P95/O95-1</f>
        <v>7.8612028051374683E-3</v>
      </c>
      <c r="Q96" s="173">
        <f t="shared" si="83"/>
        <v>7.8531455942871808E-3</v>
      </c>
      <c r="R96" s="173">
        <f t="shared" si="83"/>
        <v>7.853385913744626E-3</v>
      </c>
      <c r="S96" s="173">
        <f t="shared" si="83"/>
        <v>7.8512784266038249E-3</v>
      </c>
      <c r="T96" s="173">
        <f t="shared" si="83"/>
        <v>7.8579953210595743E-3</v>
      </c>
      <c r="U96" s="173">
        <f t="shared" si="83"/>
        <v>7.8561829497658664E-3</v>
      </c>
      <c r="V96" s="173">
        <f t="shared" si="83"/>
        <v>7.8326292781363271E-3</v>
      </c>
      <c r="W96" s="173">
        <f t="shared" si="83"/>
        <v>7.8580934040255457E-3</v>
      </c>
      <c r="X96" s="186">
        <f t="shared" si="83"/>
        <v>7.8372717019186133E-3</v>
      </c>
      <c r="Y96" s="173">
        <f t="shared" si="83"/>
        <v>4.4421760574975266E-3</v>
      </c>
      <c r="Z96" s="173">
        <f t="shared" si="83"/>
        <v>4.4372309848375036E-3</v>
      </c>
      <c r="AA96" s="173">
        <f t="shared" si="83"/>
        <v>4.4299214171070744E-3</v>
      </c>
      <c r="AB96" s="173">
        <f t="shared" si="83"/>
        <v>4.4331982236116563E-3</v>
      </c>
      <c r="AC96" s="173">
        <f t="shared" si="83"/>
        <v>4.4485824892446235E-3</v>
      </c>
      <c r="AD96" s="173">
        <f t="shared" si="83"/>
        <v>4.4303996218557629E-3</v>
      </c>
      <c r="AE96" s="173">
        <f t="shared" si="83"/>
        <v>4.4299458220253829E-3</v>
      </c>
      <c r="AF96" s="173">
        <f t="shared" si="83"/>
        <v>4.4490023597829609E-3</v>
      </c>
      <c r="AG96" s="173">
        <f t="shared" si="83"/>
        <v>4.4441272569504253E-3</v>
      </c>
      <c r="AH96" s="186">
        <f t="shared" si="83"/>
        <v>4.452385132046599E-3</v>
      </c>
      <c r="AI96" s="128"/>
    </row>
    <row r="97" spans="1:36">
      <c r="A97" s="10"/>
      <c r="B97" s="37"/>
      <c r="C97" s="333"/>
      <c r="D97" s="333"/>
      <c r="E97" s="333"/>
      <c r="F97" s="333"/>
      <c r="G97" s="333"/>
      <c r="H97" s="285"/>
      <c r="I97" s="165"/>
      <c r="J97" s="165"/>
      <c r="K97" s="165"/>
      <c r="L97" s="165"/>
      <c r="M97" s="165"/>
      <c r="N97" s="181"/>
      <c r="O97" s="165"/>
      <c r="P97" s="165"/>
      <c r="Q97" s="165"/>
      <c r="R97" s="165"/>
      <c r="S97" s="165"/>
      <c r="T97" s="165"/>
      <c r="U97" s="165"/>
      <c r="V97" s="165"/>
      <c r="W97" s="165"/>
      <c r="X97" s="186"/>
      <c r="AI97" s="128"/>
    </row>
    <row r="98" spans="1:36">
      <c r="A98" s="10"/>
      <c r="B98" s="37"/>
      <c r="C98" s="333"/>
      <c r="D98" s="333"/>
      <c r="E98" s="333"/>
      <c r="F98" s="333"/>
      <c r="G98" s="333"/>
      <c r="H98" s="285"/>
      <c r="I98" s="173"/>
      <c r="J98" s="173"/>
      <c r="K98" s="173"/>
      <c r="L98" s="173"/>
      <c r="M98" s="173"/>
      <c r="N98" s="186"/>
      <c r="O98" s="173"/>
      <c r="P98" s="173"/>
      <c r="Q98" s="173"/>
      <c r="R98" s="173"/>
      <c r="S98" s="173"/>
      <c r="T98" s="173"/>
      <c r="U98" s="173"/>
      <c r="V98" s="173"/>
      <c r="W98" s="173"/>
      <c r="X98" s="186"/>
      <c r="AI98" s="128"/>
    </row>
    <row r="99" spans="1:36">
      <c r="A99" s="1" t="s">
        <v>139</v>
      </c>
      <c r="C99" s="329">
        <v>2009</v>
      </c>
      <c r="D99" s="329">
        <v>2010</v>
      </c>
      <c r="E99" s="329">
        <v>2011</v>
      </c>
      <c r="F99" s="329">
        <v>2012</v>
      </c>
      <c r="G99" s="329">
        <v>2013</v>
      </c>
      <c r="H99" s="401">
        <v>2014</v>
      </c>
      <c r="I99" s="13">
        <v>2015</v>
      </c>
      <c r="J99" s="13">
        <v>2016</v>
      </c>
      <c r="K99" s="13">
        <v>2017</v>
      </c>
      <c r="L99" s="13">
        <v>2018</v>
      </c>
      <c r="M99" s="13">
        <v>2019</v>
      </c>
      <c r="N99" s="177">
        <v>2020</v>
      </c>
      <c r="O99" s="13">
        <v>2021</v>
      </c>
      <c r="P99" s="13">
        <v>2022</v>
      </c>
      <c r="Q99" s="13">
        <v>2023</v>
      </c>
      <c r="R99" s="13">
        <v>2024</v>
      </c>
      <c r="S99" s="13">
        <v>2025</v>
      </c>
      <c r="T99" s="13">
        <v>2026</v>
      </c>
      <c r="U99" s="13">
        <v>2027</v>
      </c>
      <c r="V99" s="13">
        <v>2028</v>
      </c>
      <c r="W99" s="13">
        <v>2029</v>
      </c>
      <c r="X99" s="177">
        <v>2030</v>
      </c>
      <c r="Y99" s="13">
        <v>2031</v>
      </c>
      <c r="Z99" s="13">
        <v>2032</v>
      </c>
      <c r="AA99" s="13">
        <v>2033</v>
      </c>
      <c r="AB99" s="13">
        <v>2034</v>
      </c>
      <c r="AC99" s="13">
        <v>2035</v>
      </c>
      <c r="AD99" s="13">
        <v>2036</v>
      </c>
      <c r="AE99" s="13">
        <v>2037</v>
      </c>
      <c r="AF99" s="13">
        <v>2038</v>
      </c>
      <c r="AG99" s="13">
        <v>2039</v>
      </c>
      <c r="AH99" s="177">
        <v>2040</v>
      </c>
      <c r="AI99" s="1"/>
    </row>
    <row r="100" spans="1:36">
      <c r="A100" s="10" t="s">
        <v>61</v>
      </c>
      <c r="B100" s="35">
        <v>0</v>
      </c>
      <c r="C100" s="332">
        <v>0</v>
      </c>
      <c r="D100" s="332">
        <f xml:space="preserve"> IF(D29*Inputs!$C44 &gt; 0, D29*Inputs!$C44, 0)</f>
        <v>0</v>
      </c>
      <c r="E100" s="332">
        <f xml:space="preserve"> IF(E29*Inputs!$C44 &gt; 0, E29*Inputs!$C44, 0)</f>
        <v>0</v>
      </c>
      <c r="F100" s="332">
        <f xml:space="preserve"> IF(F29*Inputs!$C44 &gt; 0, F29*Inputs!$C44, 0)</f>
        <v>0</v>
      </c>
      <c r="G100" s="332">
        <f xml:space="preserve"> IF(G29*Inputs!$C44 &gt; 0, G29*Inputs!$C44, 0)</f>
        <v>0</v>
      </c>
      <c r="H100" s="403">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3">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8">
        <f xml:space="preserve"> IF(X29*Inputs!$C44 &gt; 0, X29*Inputs!$C44, 0)</f>
        <v>0</v>
      </c>
    </row>
    <row r="101" spans="1:36">
      <c r="A101" s="10" t="s">
        <v>60</v>
      </c>
      <c r="B101" s="35">
        <v>0</v>
      </c>
      <c r="C101" s="332">
        <v>0</v>
      </c>
      <c r="D101" s="332">
        <f>D30*Inputs!$C47</f>
        <v>0</v>
      </c>
      <c r="E101" s="332">
        <f>E30*Inputs!$C47</f>
        <v>0</v>
      </c>
      <c r="F101" s="332">
        <f>F30*Inputs!$C47</f>
        <v>0</v>
      </c>
      <c r="G101" s="332">
        <f>G30*Inputs!$C47</f>
        <v>0</v>
      </c>
      <c r="H101" s="403">
        <f>H30*Inputs!$C47</f>
        <v>0</v>
      </c>
      <c r="I101" s="14">
        <f>I30*Inputs!$C47</f>
        <v>0</v>
      </c>
      <c r="J101" s="14">
        <f>J30*Inputs!$C47</f>
        <v>0</v>
      </c>
      <c r="K101" s="14">
        <f>K30*Inputs!$C47</f>
        <v>0</v>
      </c>
      <c r="L101" s="14">
        <f>L30*Inputs!$C47</f>
        <v>0</v>
      </c>
      <c r="M101" s="14">
        <f>M30*Inputs!$C47</f>
        <v>0</v>
      </c>
      <c r="N101" s="183">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8">
        <f>X30*Inputs!$C47</f>
        <v>0</v>
      </c>
    </row>
    <row r="102" spans="1:36">
      <c r="A102" s="10" t="s">
        <v>49</v>
      </c>
      <c r="B102" s="35">
        <v>0</v>
      </c>
      <c r="C102" s="332">
        <f>C31*Inputs!$C$48</f>
        <v>631.79849999999999</v>
      </c>
      <c r="D102" s="332">
        <f>D31*Inputs!$C$48</f>
        <v>637.1942971323474</v>
      </c>
      <c r="E102" s="332">
        <f>E31*Inputs!$C$48</f>
        <v>627.62307403506111</v>
      </c>
      <c r="F102" s="332">
        <f>F31*Inputs!$C$48</f>
        <v>589.48662707485119</v>
      </c>
      <c r="G102" s="332">
        <f>G31*Inputs!$C$48</f>
        <v>566.71983810835263</v>
      </c>
      <c r="H102" s="403">
        <f>H31*Inputs!$C$48</f>
        <v>527.63927797942563</v>
      </c>
      <c r="I102" s="14">
        <f>I31*Inputs!$C$48</f>
        <v>574.69590585965784</v>
      </c>
      <c r="J102" s="14">
        <f>J31*Inputs!$C$48</f>
        <v>617.02243382564905</v>
      </c>
      <c r="K102" s="14">
        <f>K31*Inputs!$C$48</f>
        <v>607.88578601191671</v>
      </c>
      <c r="L102" s="14">
        <f>L31*Inputs!$C$48</f>
        <v>592.64650096997707</v>
      </c>
      <c r="M102" s="14">
        <f>M31*Inputs!$C$48</f>
        <v>575.40329567904735</v>
      </c>
      <c r="N102" s="183">
        <f>N31*Inputs!$C$48</f>
        <v>554.1625362874247</v>
      </c>
      <c r="O102" s="14">
        <f>O31*Inputs!$C$48</f>
        <v>561.47775382352779</v>
      </c>
      <c r="P102" s="14">
        <f>P31*Inputs!$C$48</f>
        <v>559.32821448312666</v>
      </c>
      <c r="Q102" s="14">
        <f>Q31*Inputs!$C$48</f>
        <v>563.62419017744355</v>
      </c>
      <c r="R102" s="14">
        <f>R31*Inputs!$C$48</f>
        <v>566.88109378733691</v>
      </c>
      <c r="S102" s="14">
        <f>S31*Inputs!$C$48</f>
        <v>570.88387464580205</v>
      </c>
      <c r="T102" s="14">
        <f>T31*Inputs!$C$48</f>
        <v>570.0606602857747</v>
      </c>
      <c r="U102" s="14">
        <f>U31*Inputs!$C$48</f>
        <v>570.25417385390597</v>
      </c>
      <c r="V102" s="14">
        <f>V31*Inputs!$C$48</f>
        <v>583.08049301910455</v>
      </c>
      <c r="W102" s="14">
        <f>W31*Inputs!$C$48</f>
        <v>581.20666398404035</v>
      </c>
      <c r="X102" s="188">
        <f>X31*Inputs!$C$48</f>
        <v>589.71523619812081</v>
      </c>
      <c r="Y102" s="159">
        <f>Y31*Inputs!$C$48</f>
        <v>591.66352972690743</v>
      </c>
      <c r="Z102" s="159">
        <f>Z31*Inputs!$C$48</f>
        <v>595.15948252728583</v>
      </c>
      <c r="AA102" s="159">
        <f>AA31*Inputs!$C$48</f>
        <v>601.1648368854585</v>
      </c>
      <c r="AB102" s="159">
        <f>AB31*Inputs!$C$48</f>
        <v>604.790048656061</v>
      </c>
      <c r="AC102" s="159">
        <f>AC31*Inputs!$C$48</f>
        <v>601.03665521443872</v>
      </c>
      <c r="AD102" s="159">
        <f>AD31*Inputs!$C$48</f>
        <v>604.55964628993388</v>
      </c>
      <c r="AE102" s="159">
        <f>AE31*Inputs!$C$48</f>
        <v>607.58961398784049</v>
      </c>
      <c r="AF102" s="159">
        <f>AF31*Inputs!$C$48</f>
        <v>602.49852207832259</v>
      </c>
      <c r="AG102" s="159">
        <f>AG31*Inputs!$C$48</f>
        <v>599.15336418961374</v>
      </c>
      <c r="AH102" s="188">
        <f>AH31*Inputs!$C$48</f>
        <v>592.65388708656462</v>
      </c>
    </row>
    <row r="103" spans="1:36">
      <c r="A103" s="10" t="s">
        <v>59</v>
      </c>
      <c r="B103" s="35">
        <v>0</v>
      </c>
      <c r="C103" s="332">
        <f>C32*Inputs!$C$53</f>
        <v>0</v>
      </c>
      <c r="D103" s="332">
        <f>D32*Inputs!$C$53</f>
        <v>0</v>
      </c>
      <c r="E103" s="332">
        <f>E32*Inputs!$C$53</f>
        <v>0</v>
      </c>
      <c r="F103" s="332">
        <f>F32*Inputs!$C$53</f>
        <v>0</v>
      </c>
      <c r="G103" s="332">
        <f>G32*Inputs!$C$53</f>
        <v>0</v>
      </c>
      <c r="H103" s="403">
        <f>H32*Inputs!$C$53</f>
        <v>0</v>
      </c>
      <c r="I103" s="14">
        <f>I32*Inputs!$C$53</f>
        <v>0</v>
      </c>
      <c r="J103" s="14">
        <f>J32*Inputs!$C$53</f>
        <v>0</v>
      </c>
      <c r="K103" s="14">
        <f>K32*Inputs!$C$53</f>
        <v>0</v>
      </c>
      <c r="L103" s="14">
        <f>L32*Inputs!$C$53</f>
        <v>0</v>
      </c>
      <c r="M103" s="14">
        <f>M32*Inputs!$C$53</f>
        <v>0</v>
      </c>
      <c r="N103" s="183">
        <f>N32*Inputs!$C$53</f>
        <v>0</v>
      </c>
      <c r="O103" s="14">
        <f>O32*Inputs!$C$53</f>
        <v>0</v>
      </c>
      <c r="P103" s="14">
        <f>P32*Inputs!$C$53</f>
        <v>0</v>
      </c>
      <c r="Q103" s="14">
        <f>Q32*Inputs!$C$53</f>
        <v>0</v>
      </c>
      <c r="R103" s="14">
        <f>R32*Inputs!$C$53</f>
        <v>0</v>
      </c>
      <c r="S103" s="14">
        <f>S32*Inputs!$C$53</f>
        <v>0</v>
      </c>
      <c r="T103" s="14">
        <f>T32*Inputs!$C$53</f>
        <v>0</v>
      </c>
      <c r="U103" s="14">
        <f>U32*Inputs!$C$53</f>
        <v>0</v>
      </c>
      <c r="V103" s="14">
        <f>V32*Inputs!$C$53</f>
        <v>0</v>
      </c>
      <c r="W103" s="14">
        <f>W32*Inputs!$C$53</f>
        <v>0</v>
      </c>
      <c r="X103" s="188">
        <f>X32*Inputs!$C$53</f>
        <v>0</v>
      </c>
      <c r="Y103" s="159">
        <f>Y32*Inputs!$C$53</f>
        <v>0</v>
      </c>
      <c r="Z103" s="159">
        <f>Z32*Inputs!$C$53</f>
        <v>0</v>
      </c>
      <c r="AA103" s="159">
        <f>AA32*Inputs!$C$53</f>
        <v>0</v>
      </c>
      <c r="AB103" s="159">
        <f>AB32*Inputs!$C$53</f>
        <v>0</v>
      </c>
      <c r="AC103" s="159">
        <f>AC32*Inputs!$C$53</f>
        <v>0</v>
      </c>
      <c r="AD103" s="159">
        <f>AD32*Inputs!$C$53</f>
        <v>0</v>
      </c>
      <c r="AE103" s="159">
        <f>AE32*Inputs!$C$53</f>
        <v>0</v>
      </c>
      <c r="AF103" s="159">
        <f>AF32*Inputs!$C$53</f>
        <v>0</v>
      </c>
      <c r="AG103" s="159">
        <f>AG32*Inputs!$C$53</f>
        <v>0</v>
      </c>
      <c r="AH103" s="188">
        <f>AH32*Inputs!$C$53</f>
        <v>0</v>
      </c>
    </row>
    <row r="104" spans="1:36">
      <c r="A104" s="10" t="s">
        <v>121</v>
      </c>
      <c r="B104" s="35">
        <v>1</v>
      </c>
      <c r="C104" s="332">
        <f>C34*Inputs!$C$46</f>
        <v>707.06999999999994</v>
      </c>
      <c r="D104" s="332">
        <f>D34*Inputs!$C$46</f>
        <v>789.28480320533151</v>
      </c>
      <c r="E104" s="332">
        <f>E34*Inputs!$C$46</f>
        <v>861.36729690508889</v>
      </c>
      <c r="F104" s="332">
        <f>F34*Inputs!$C$46</f>
        <v>897.36892139594022</v>
      </c>
      <c r="G104" s="332">
        <f>G34*Inputs!$C$46</f>
        <v>958.04659904447192</v>
      </c>
      <c r="H104" s="403">
        <f>H34*Inputs!$C$46</f>
        <v>637.02926241953503</v>
      </c>
      <c r="I104" s="14">
        <f>I34*Inputs!$C$46</f>
        <v>765.45645737786049</v>
      </c>
      <c r="J104" s="14">
        <f>J34*Inputs!$C$46</f>
        <v>907.41065871230774</v>
      </c>
      <c r="K104" s="14">
        <f>K34*Inputs!$C$46</f>
        <v>987.93315020512364</v>
      </c>
      <c r="L104" s="14">
        <f>L34*Inputs!$C$46</f>
        <v>1065.392858348041</v>
      </c>
      <c r="M104" s="14">
        <f>M34*Inputs!$C$46</f>
        <v>1145.3197024233766</v>
      </c>
      <c r="N104" s="183">
        <f>N34*Inputs!$C$46</f>
        <v>1222.6222917176806</v>
      </c>
      <c r="O104" s="14">
        <f>O34*Inputs!$C$46</f>
        <v>1240.0498112634834</v>
      </c>
      <c r="P104" s="14">
        <f>P34*Inputs!$C$46</f>
        <v>1236.6425722997219</v>
      </c>
      <c r="Q104" s="14">
        <f>Q34*Inputs!$C$46</f>
        <v>1247.547763771463</v>
      </c>
      <c r="R104" s="14">
        <f>R34*Inputs!$C$46</f>
        <v>1256.2282969573739</v>
      </c>
      <c r="S104" s="14">
        <f>S34*Inputs!$C$46</f>
        <v>1266.6368463923445</v>
      </c>
      <c r="T104" s="14">
        <f>T34*Inputs!$C$46</f>
        <v>1266.4020771147038</v>
      </c>
      <c r="U104" s="14">
        <f>U34*Inputs!$C$46</f>
        <v>1268.479452453148</v>
      </c>
      <c r="V104" s="14">
        <f>V34*Inputs!$C$46</f>
        <v>1298.7509672936246</v>
      </c>
      <c r="W104" s="14">
        <f>W34*Inputs!$C$46</f>
        <v>1296.3674611666395</v>
      </c>
      <c r="X104" s="188">
        <f>X34*Inputs!$C$46</f>
        <v>1317.2177735392863</v>
      </c>
      <c r="Y104" s="159">
        <f>Y34*Inputs!$C$46</f>
        <v>1335.0240274804848</v>
      </c>
      <c r="Z104" s="159">
        <f>Z34*Inputs!$C$46</f>
        <v>1356.6290873919693</v>
      </c>
      <c r="AA104" s="159">
        <f>AA34*Inputs!$C$46</f>
        <v>1384.3612249806488</v>
      </c>
      <c r="AB104" s="159">
        <f>AB34*Inputs!$C$46</f>
        <v>1407.0300012490761</v>
      </c>
      <c r="AC104" s="159">
        <f>AC34*Inputs!$C$46</f>
        <v>1412.7245556343871</v>
      </c>
      <c r="AD104" s="159">
        <f>AD34*Inputs!$C$46</f>
        <v>1435.7162972433962</v>
      </c>
      <c r="AE104" s="159">
        <f>AE34*Inputs!$C$46</f>
        <v>1457.9010976725656</v>
      </c>
      <c r="AF104" s="159">
        <f>AF34*Inputs!$C$46</f>
        <v>1460.7552079291329</v>
      </c>
      <c r="AG104" s="159">
        <f>AG34*Inputs!$C$46</f>
        <v>1467.8405186969278</v>
      </c>
      <c r="AH104" s="188">
        <f>AH34*Inputs!$C$46</f>
        <v>1467.1593499904916</v>
      </c>
    </row>
    <row r="105" spans="1:36">
      <c r="A105" s="10" t="s">
        <v>50</v>
      </c>
      <c r="B105" s="35">
        <v>1</v>
      </c>
      <c r="C105" s="332">
        <f>C35*Inputs!$C$49</f>
        <v>0</v>
      </c>
      <c r="D105" s="332">
        <f>D35*Inputs!$C$49</f>
        <v>0</v>
      </c>
      <c r="E105" s="332">
        <f>E35*Inputs!$C$49</f>
        <v>2.5000000000000002E-6</v>
      </c>
      <c r="F105" s="332">
        <f>F35*Inputs!$C$49</f>
        <v>2.5000000000000002E-6</v>
      </c>
      <c r="G105" s="332">
        <f>G35*Inputs!$C$49</f>
        <v>2.5000000000000002E-6</v>
      </c>
      <c r="H105" s="403">
        <f>H35*Inputs!$C$49</f>
        <v>2.5000000000000002E-6</v>
      </c>
      <c r="I105" s="14">
        <f>I35*Inputs!$C$49</f>
        <v>2.8093072802045505E-6</v>
      </c>
      <c r="J105" s="14">
        <f>J35*Inputs!$C$49</f>
        <v>3.114445655261969E-6</v>
      </c>
      <c r="K105" s="14">
        <f>K35*Inputs!$C$49</f>
        <v>3.171046179463439E-6</v>
      </c>
      <c r="L105" s="14">
        <f>L35*Inputs!$C$49</f>
        <v>3.1980328223356804E-6</v>
      </c>
      <c r="M105" s="14">
        <f>M35*Inputs!$C$49</f>
        <v>3.2151259781674558E-6</v>
      </c>
      <c r="N105" s="183">
        <f>N35*Inputs!$C$49</f>
        <v>3.2096797331255976E-6</v>
      </c>
      <c r="O105" s="14">
        <f>O35*Inputs!$C$49</f>
        <v>3.2554311942790068E-6</v>
      </c>
      <c r="P105" s="14">
        <f>P35*Inputs!$C$49</f>
        <v>3.2464863664920563E-6</v>
      </c>
      <c r="Q105" s="14">
        <f>Q35*Inputs!$C$49</f>
        <v>3.275115136219072E-6</v>
      </c>
      <c r="R105" s="14">
        <f>R35*Inputs!$C$49</f>
        <v>3.2979036389547765E-6</v>
      </c>
      <c r="S105" s="14">
        <f>S35*Inputs!$C$49</f>
        <v>3.3252286030086588E-6</v>
      </c>
      <c r="T105" s="14">
        <f>T35*Inputs!$C$49</f>
        <v>3.3246122767748678E-6</v>
      </c>
      <c r="U105" s="14">
        <f>U35*Inputs!$C$49</f>
        <v>3.330065890345524E-6</v>
      </c>
      <c r="V105" s="14">
        <f>V35*Inputs!$C$49</f>
        <v>3.4095359509952314E-6</v>
      </c>
      <c r="W105" s="14">
        <f>W35*Inputs!$C$49</f>
        <v>3.4032786699351774E-6</v>
      </c>
      <c r="X105" s="188">
        <f>X35*Inputs!$C$49</f>
        <v>3.4580157915345252E-6</v>
      </c>
      <c r="Y105" s="159">
        <f>Y35*Inputs!$C$49</f>
        <v>3.5047615222357528E-6</v>
      </c>
      <c r="Z105" s="159">
        <f>Z35*Inputs!$C$49</f>
        <v>3.5614800389850526E-6</v>
      </c>
      <c r="AA105" s="159">
        <f>AA35*Inputs!$C$49</f>
        <v>3.6342836191075631E-6</v>
      </c>
      <c r="AB105" s="159">
        <f>AB35*Inputs!$C$49</f>
        <v>3.6937946490114168E-6</v>
      </c>
      <c r="AC105" s="159">
        <f>AC35*Inputs!$C$49</f>
        <v>3.7087442339515344E-6</v>
      </c>
      <c r="AD105" s="159">
        <f>AD35*Inputs!$C$49</f>
        <v>3.7691031261225739E-6</v>
      </c>
      <c r="AE105" s="159">
        <f>AE35*Inputs!$C$49</f>
        <v>3.8273436021905368E-6</v>
      </c>
      <c r="AF105" s="159">
        <f>AF35*Inputs!$C$49</f>
        <v>3.8348363331088815E-6</v>
      </c>
      <c r="AG105" s="159">
        <f>AG35*Inputs!$C$49</f>
        <v>3.8534369905059725E-6</v>
      </c>
      <c r="AH105" s="188">
        <f>AH35*Inputs!$C$49</f>
        <v>3.8516487576177787E-6</v>
      </c>
    </row>
    <row r="106" spans="1:36">
      <c r="A106" s="10" t="s">
        <v>119</v>
      </c>
      <c r="B106" s="35">
        <v>1</v>
      </c>
      <c r="C106" s="332"/>
      <c r="D106" s="332"/>
      <c r="E106" s="332"/>
      <c r="F106" s="332"/>
      <c r="G106" s="332"/>
      <c r="H106" s="403"/>
      <c r="I106" s="14"/>
      <c r="J106" s="14"/>
      <c r="K106" s="14"/>
      <c r="L106" s="14"/>
      <c r="M106" s="14"/>
      <c r="N106" s="188"/>
      <c r="O106" s="14"/>
      <c r="P106" s="14"/>
      <c r="Q106" s="14"/>
      <c r="R106" s="14"/>
      <c r="S106" s="14"/>
      <c r="T106" s="14"/>
      <c r="U106" s="14"/>
      <c r="V106" s="14"/>
      <c r="W106" s="14"/>
      <c r="X106" s="188"/>
      <c r="AJ106" s="171" t="s">
        <v>0</v>
      </c>
    </row>
    <row r="107" spans="1:36">
      <c r="A107" s="10" t="s">
        <v>51</v>
      </c>
      <c r="B107" s="35">
        <v>1</v>
      </c>
      <c r="C107" s="332">
        <f>C37*Inputs!$C$52</f>
        <v>34.799999999999997</v>
      </c>
      <c r="D107" s="332">
        <f>D37*Inputs!$C$52</f>
        <v>36.328173768431157</v>
      </c>
      <c r="E107" s="332">
        <f>E37*Inputs!$C$52</f>
        <v>37.075856854222714</v>
      </c>
      <c r="F107" s="332">
        <f>F37*Inputs!$C$52</f>
        <v>36.121587980154914</v>
      </c>
      <c r="G107" s="332">
        <f>G37*Inputs!$C$52</f>
        <v>39.402952889928436</v>
      </c>
      <c r="H107" s="403">
        <f>H37*Inputs!$C$52</f>
        <v>39.376409349116429</v>
      </c>
      <c r="I107" s="14">
        <f>I37*Inputs!$C$52</f>
        <v>44.247650213049987</v>
      </c>
      <c r="J107" s="14">
        <f>J37*Inputs!$C$52</f>
        <v>49.053114827762528</v>
      </c>
      <c r="K107" s="14">
        <f>K37*Inputs!$C$52</f>
        <v>49.943993391413088</v>
      </c>
      <c r="L107" s="14">
        <f>L37*Inputs!$C$52</f>
        <v>50.368437615347176</v>
      </c>
      <c r="M107" s="14">
        <f>M37*Inputs!$C$52</f>
        <v>50.637053009172739</v>
      </c>
      <c r="N107" s="183">
        <f>N37*Inputs!$C$52</f>
        <v>50.550678957784847</v>
      </c>
      <c r="O107" s="14">
        <f>O37*Inputs!$C$52</f>
        <v>51.271239143508808</v>
      </c>
      <c r="P107" s="14">
        <f>P37*Inputs!$C$52</f>
        <v>51.130363057610204</v>
      </c>
      <c r="Q107" s="14">
        <f>Q37*Inputs!$C$52</f>
        <v>51.581250332278401</v>
      </c>
      <c r="R107" s="14">
        <f>R37*Inputs!$C$52</f>
        <v>51.940156634932904</v>
      </c>
      <c r="S107" s="14">
        <f>S37*Inputs!$C$52</f>
        <v>52.370509692019915</v>
      </c>
      <c r="T107" s="14">
        <f>T37*Inputs!$C$52</f>
        <v>52.360802895028264</v>
      </c>
      <c r="U107" s="14">
        <f>U37*Inputs!$C$52</f>
        <v>52.446694289713179</v>
      </c>
      <c r="V107" s="14">
        <f>V37*Inputs!$C$52</f>
        <v>53.698303751304863</v>
      </c>
      <c r="W107" s="14">
        <f>W37*Inputs!$C$52</f>
        <v>53.5997550385623</v>
      </c>
      <c r="X107" s="188">
        <f>X37*Inputs!$C$52</f>
        <v>54.461834401959557</v>
      </c>
      <c r="Y107" s="159">
        <f>Y37*Inputs!$C$52</f>
        <v>55.198053782646404</v>
      </c>
      <c r="Z107" s="159">
        <f>Z37*Inputs!$C$52</f>
        <v>56.091339022779543</v>
      </c>
      <c r="AA107" s="159">
        <f>AA37*Inputs!$C$52</f>
        <v>57.237955106548924</v>
      </c>
      <c r="AB107" s="159">
        <f>AB37*Inputs!$C$52</f>
        <v>58.175220882965597</v>
      </c>
      <c r="AC107" s="159">
        <f>AC37*Inputs!$C$52</f>
        <v>58.41066856986739</v>
      </c>
      <c r="AD107" s="159">
        <f>AD37*Inputs!$C$52</f>
        <v>59.361287707626197</v>
      </c>
      <c r="AE107" s="159">
        <f>AE37*Inputs!$C$52</f>
        <v>60.278542964490462</v>
      </c>
      <c r="AF107" s="159">
        <f>AF37*Inputs!$C$52</f>
        <v>60.396549328571361</v>
      </c>
      <c r="AG107" s="159">
        <f>AG37*Inputs!$C$52</f>
        <v>60.689499385482023</v>
      </c>
      <c r="AH107" s="188">
        <f>AH37*Inputs!$C$52</f>
        <v>60.66133570743655</v>
      </c>
    </row>
    <row r="108" spans="1:36">
      <c r="A108" s="9" t="s">
        <v>347</v>
      </c>
      <c r="B108" s="35">
        <v>1</v>
      </c>
      <c r="C108" s="332">
        <f>C38*Inputs!$C$54</f>
        <v>387.47129999999999</v>
      </c>
      <c r="D108" s="332">
        <f>D38*Inputs!$C$54</f>
        <v>420.50041908240132</v>
      </c>
      <c r="E108" s="332">
        <f>E38*Inputs!$C$54</f>
        <v>446.1456205715233</v>
      </c>
      <c r="F108" s="332">
        <f>F38*Inputs!$C$54</f>
        <v>451.87138771996928</v>
      </c>
      <c r="G108" s="332">
        <f>G38*Inputs!$C$54</f>
        <v>469.0142252304363</v>
      </c>
      <c r="H108" s="403">
        <f>H38*Inputs!$C$54</f>
        <v>409.75291259781466</v>
      </c>
      <c r="I108" s="14">
        <f>I38*Inputs!$C$54</f>
        <v>478.6727683121444</v>
      </c>
      <c r="J108" s="14">
        <f>J38*Inputs!$C$54</f>
        <v>551.66784318820442</v>
      </c>
      <c r="K108" s="14">
        <f>K38*Inputs!$C$54</f>
        <v>583.92479235528492</v>
      </c>
      <c r="L108" s="14">
        <f>L38*Inputs!$C$54</f>
        <v>612.20193925212482</v>
      </c>
      <c r="M108" s="14">
        <f>M38*Inputs!$C$54</f>
        <v>639.83385332468401</v>
      </c>
      <c r="N108" s="183">
        <f>N38*Inputs!$C$54</f>
        <v>664.03100204921554</v>
      </c>
      <c r="O108" s="14">
        <f>O38*Inputs!$C$54</f>
        <v>673.49624192388956</v>
      </c>
      <c r="P108" s="14">
        <f>P38*Inputs!$C$54</f>
        <v>671.64570123061537</v>
      </c>
      <c r="Q108" s="14">
        <f>Q38*Inputs!$C$54</f>
        <v>677.56853223866551</v>
      </c>
      <c r="R108" s="14">
        <f>R38*Inputs!$C$54</f>
        <v>682.28310614166844</v>
      </c>
      <c r="S108" s="14">
        <f>S38*Inputs!$C$54</f>
        <v>687.93620077114065</v>
      </c>
      <c r="T108" s="14">
        <f>T38*Inputs!$C$54</f>
        <v>687.80869280752984</v>
      </c>
      <c r="U108" s="14">
        <f>U38*Inputs!$C$54</f>
        <v>688.93695755205783</v>
      </c>
      <c r="V108" s="14">
        <f>V38*Inputs!$C$54</f>
        <v>705.37803217440012</v>
      </c>
      <c r="W108" s="14">
        <f>W38*Inputs!$C$54</f>
        <v>704.08350158010774</v>
      </c>
      <c r="X108" s="188">
        <f>X38*Inputs!$C$54</f>
        <v>715.40772976704602</v>
      </c>
      <c r="Y108" s="159">
        <f>Y38*Inputs!$C$54</f>
        <v>725.07866798518148</v>
      </c>
      <c r="Z108" s="159">
        <f>Z38*Inputs!$C$54</f>
        <v>736.81281489182822</v>
      </c>
      <c r="AA108" s="159">
        <f>AA38*Inputs!$C$54</f>
        <v>751.87470214574557</v>
      </c>
      <c r="AB108" s="159">
        <f>AB38*Inputs!$C$54</f>
        <v>764.18657501337123</v>
      </c>
      <c r="AC108" s="159">
        <f>AC38*Inputs!$C$54</f>
        <v>767.27940317487094</v>
      </c>
      <c r="AD108" s="159">
        <f>AD38*Inputs!$C$54</f>
        <v>779.76668507943839</v>
      </c>
      <c r="AE108" s="159">
        <f>AE38*Inputs!$C$54</f>
        <v>791.81570083764677</v>
      </c>
      <c r="AF108" s="159">
        <f>AF38*Inputs!$C$54</f>
        <v>793.36582609420884</v>
      </c>
      <c r="AG108" s="159">
        <f>AG38*Inputs!$C$54</f>
        <v>797.21400229780068</v>
      </c>
      <c r="AH108" s="188">
        <f>AH38*Inputs!$C$54</f>
        <v>796.84404573659322</v>
      </c>
    </row>
    <row r="109" spans="1:36">
      <c r="A109" s="9" t="s">
        <v>348</v>
      </c>
      <c r="B109" s="35">
        <v>1</v>
      </c>
      <c r="C109" s="332">
        <f>C39*Inputs!$C$54</f>
        <v>0</v>
      </c>
      <c r="D109" s="332">
        <f>D39*Inputs!$C$55</f>
        <v>0</v>
      </c>
      <c r="E109" s="332">
        <f>E39*Inputs!$C$55</f>
        <v>2.3000000000000003E-2</v>
      </c>
      <c r="F109" s="332">
        <f>F39*Inputs!$C$55</f>
        <v>2.3000000000000003E-2</v>
      </c>
      <c r="G109" s="332">
        <f>G39*Inputs!$C$55</f>
        <v>2.3000000000000003E-2</v>
      </c>
      <c r="H109" s="403">
        <f>H39*Inputs!$C$55</f>
        <v>2.3000000000000003E-2</v>
      </c>
      <c r="I109" s="14">
        <f>I39*Inputs!$C$55</f>
        <v>2.5845626977881862E-2</v>
      </c>
      <c r="J109" s="14">
        <f>J39*Inputs!$C$55</f>
        <v>2.8652900028410117E-2</v>
      </c>
      <c r="K109" s="14">
        <f>K39*Inputs!$C$55</f>
        <v>2.9173624851063638E-2</v>
      </c>
      <c r="L109" s="14">
        <f>L39*Inputs!$C$55</f>
        <v>2.9421901965488259E-2</v>
      </c>
      <c r="M109" s="14">
        <f>M39*Inputs!$C$55</f>
        <v>2.9579158999140591E-2</v>
      </c>
      <c r="N109" s="183">
        <f>N39*Inputs!$C$55</f>
        <v>2.9529053544755494E-2</v>
      </c>
      <c r="O109" s="14">
        <f>O39*Inputs!$C$55</f>
        <v>2.9949966987366853E-2</v>
      </c>
      <c r="P109" s="14">
        <f>P39*Inputs!$C$55</f>
        <v>2.9867674571726909E-2</v>
      </c>
      <c r="Q109" s="14">
        <f>Q39*Inputs!$C$55</f>
        <v>3.0131059253215457E-2</v>
      </c>
      <c r="R109" s="14">
        <f>R39*Inputs!$C$55</f>
        <v>3.0340713478383938E-2</v>
      </c>
      <c r="S109" s="14">
        <f>S39*Inputs!$C$55</f>
        <v>3.0592103147679652E-2</v>
      </c>
      <c r="T109" s="14">
        <f>T39*Inputs!$C$55</f>
        <v>3.0586432946328776E-2</v>
      </c>
      <c r="U109" s="14">
        <f>U39*Inputs!$C$55</f>
        <v>3.0636606191178813E-2</v>
      </c>
      <c r="V109" s="14">
        <f>V39*Inputs!$C$55</f>
        <v>3.1367730749156122E-2</v>
      </c>
      <c r="W109" s="14">
        <f>W39*Inputs!$C$55</f>
        <v>3.1310163763403627E-2</v>
      </c>
      <c r="X109" s="188">
        <f>X39*Inputs!$C$55</f>
        <v>3.1813745282117632E-2</v>
      </c>
      <c r="Y109" s="159">
        <f>Y39*Inputs!$C$55</f>
        <v>3.2243806004568928E-2</v>
      </c>
      <c r="Z109" s="159">
        <f>Z39*Inputs!$C$55</f>
        <v>3.2765616358662486E-2</v>
      </c>
      <c r="AA109" s="159">
        <f>AA39*Inputs!$C$55</f>
        <v>3.343540929578958E-2</v>
      </c>
      <c r="AB109" s="159">
        <f>AB39*Inputs!$C$55</f>
        <v>3.3982910770905032E-2</v>
      </c>
      <c r="AC109" s="159">
        <f>AC39*Inputs!$C$55</f>
        <v>3.4120446952354111E-2</v>
      </c>
      <c r="AD109" s="159">
        <f>AD39*Inputs!$C$55</f>
        <v>3.4675748760327675E-2</v>
      </c>
      <c r="AE109" s="159">
        <f>AE39*Inputs!$C$55</f>
        <v>3.5211561140152933E-2</v>
      </c>
      <c r="AF109" s="159">
        <f>AF39*Inputs!$C$55</f>
        <v>3.5280494264601704E-2</v>
      </c>
      <c r="AG109" s="159">
        <f>AG39*Inputs!$C$55</f>
        <v>3.5451620312654954E-2</v>
      </c>
      <c r="AH109" s="188">
        <f>AH39*Inputs!$C$55</f>
        <v>3.5435168570083567E-2</v>
      </c>
    </row>
    <row r="110" spans="1:36">
      <c r="A110" s="9" t="s">
        <v>344</v>
      </c>
      <c r="B110" s="35">
        <v>1</v>
      </c>
      <c r="C110" s="332">
        <f>C40*Inputs!$C$51</f>
        <v>2.7000000000000001E-3</v>
      </c>
      <c r="D110" s="332">
        <f>D40*Inputs!$C$51</f>
        <v>2.8185985318575535E-3</v>
      </c>
      <c r="E110" s="332">
        <f>E40*Inputs!$C$51</f>
        <v>2.876643124308778E-3</v>
      </c>
      <c r="F110" s="332">
        <f>F40*Inputs!$C$51</f>
        <v>2.8026364081591487E-3</v>
      </c>
      <c r="G110" s="332">
        <f>G40*Inputs!$C$51</f>
        <v>2.7982112338238003E-3</v>
      </c>
      <c r="H110" s="403">
        <f>H40*Inputs!$C$51</f>
        <v>2.7000000000000001E-3</v>
      </c>
      <c r="I110" s="14">
        <f>I40*Inputs!$C$51</f>
        <v>3.0340518626209138E-3</v>
      </c>
      <c r="J110" s="14">
        <f>J40*Inputs!$C$51</f>
        <v>3.3636013076829259E-3</v>
      </c>
      <c r="K110" s="14">
        <f>K40*Inputs!$C$51</f>
        <v>3.4247298738205134E-3</v>
      </c>
      <c r="L110" s="14">
        <f>L40*Inputs!$C$51</f>
        <v>3.4538754481225342E-3</v>
      </c>
      <c r="M110" s="14">
        <f>M40*Inputs!$C$51</f>
        <v>3.4723360564208514E-3</v>
      </c>
      <c r="N110" s="183">
        <f>N40*Inputs!$C$51</f>
        <v>3.4664541117756455E-3</v>
      </c>
      <c r="O110" s="14">
        <f>O40*Inputs!$C$51</f>
        <v>3.5158656898213259E-3</v>
      </c>
      <c r="P110" s="14">
        <f>P40*Inputs!$C$51</f>
        <v>3.5062052758114189E-3</v>
      </c>
      <c r="Q110" s="14">
        <f>Q40*Inputs!$C$51</f>
        <v>3.5371243471165959E-3</v>
      </c>
      <c r="R110" s="14">
        <f>R40*Inputs!$C$51</f>
        <v>3.5617359300711571E-3</v>
      </c>
      <c r="S110" s="14">
        <f>S40*Inputs!$C$51</f>
        <v>3.5912468912493501E-3</v>
      </c>
      <c r="T110" s="14">
        <f>T40*Inputs!$C$51</f>
        <v>3.5905812589168552E-3</v>
      </c>
      <c r="U110" s="14">
        <f>U40*Inputs!$C$51</f>
        <v>3.5964711615731641E-3</v>
      </c>
      <c r="V110" s="14">
        <f>V40*Inputs!$C$51</f>
        <v>3.6822988270748488E-3</v>
      </c>
      <c r="W110" s="14">
        <f>W40*Inputs!$C$51</f>
        <v>3.6755409635299899E-3</v>
      </c>
      <c r="X110" s="188">
        <f>X40*Inputs!$C$51</f>
        <v>3.7346570548572873E-3</v>
      </c>
      <c r="Y110" s="159">
        <f>Y40*Inputs!$C$51</f>
        <v>3.7851424440146133E-3</v>
      </c>
      <c r="Z110" s="159">
        <f>Z40*Inputs!$C$51</f>
        <v>3.8463984421038566E-3</v>
      </c>
      <c r="AA110" s="159">
        <f>AA40*Inputs!$C$51</f>
        <v>3.9250263086361677E-3</v>
      </c>
      <c r="AB110" s="159">
        <f>AB40*Inputs!$C$51</f>
        <v>3.9892982209323294E-3</v>
      </c>
      <c r="AC110" s="159">
        <f>AC40*Inputs!$C$51</f>
        <v>4.0054437726676564E-3</v>
      </c>
      <c r="AD110" s="159">
        <f>AD40*Inputs!$C$51</f>
        <v>4.0706313762123797E-3</v>
      </c>
      <c r="AE110" s="159">
        <f>AE40*Inputs!$C$51</f>
        <v>4.1335310903657801E-3</v>
      </c>
      <c r="AF110" s="159">
        <f>AF40*Inputs!$C$51</f>
        <v>4.1416232397575919E-3</v>
      </c>
      <c r="AG110" s="159">
        <f>AG40*Inputs!$C$51</f>
        <v>4.1617119497464501E-3</v>
      </c>
      <c r="AH110" s="188">
        <f>AH40*Inputs!$C$51</f>
        <v>4.1597806582272011E-3</v>
      </c>
    </row>
    <row r="111" spans="1:36">
      <c r="A111" s="10" t="s">
        <v>120</v>
      </c>
      <c r="B111" s="35">
        <v>1</v>
      </c>
      <c r="C111" s="332"/>
      <c r="D111" s="332"/>
      <c r="E111" s="332"/>
      <c r="F111" s="332"/>
      <c r="G111" s="332"/>
      <c r="H111" s="403"/>
      <c r="I111" s="14"/>
      <c r="J111" s="14"/>
      <c r="K111" s="14"/>
      <c r="L111" s="14"/>
      <c r="M111" s="14"/>
      <c r="N111" s="188"/>
      <c r="O111" s="14"/>
      <c r="P111" s="14"/>
      <c r="Q111" s="14"/>
      <c r="R111" s="14"/>
      <c r="S111" s="14"/>
      <c r="T111" s="14"/>
      <c r="U111" s="14"/>
      <c r="V111" s="14"/>
      <c r="W111" s="14"/>
      <c r="X111" s="188"/>
    </row>
    <row r="112" spans="1:36">
      <c r="A112" s="10" t="s">
        <v>53</v>
      </c>
      <c r="B112" s="35">
        <v>1</v>
      </c>
      <c r="C112" s="332">
        <f>C42*Inputs!$C$57</f>
        <v>50.830000000000005</v>
      </c>
      <c r="D112" s="332">
        <f>D42*Inputs!$C$57</f>
        <v>84.830000000000013</v>
      </c>
      <c r="E112" s="332">
        <f>E42*Inputs!$C$57</f>
        <v>99.265096220530509</v>
      </c>
      <c r="F112" s="332">
        <f>F42*Inputs!$C$57</f>
        <v>147.99137468419065</v>
      </c>
      <c r="G112" s="332">
        <f>G42*Inputs!$C$57</f>
        <v>245.79143741797728</v>
      </c>
      <c r="H112" s="403">
        <f>H42*Inputs!$C$57</f>
        <v>249.43472790385229</v>
      </c>
      <c r="I112" s="14">
        <f>I42*Inputs!$C$57</f>
        <v>616.59709274898933</v>
      </c>
      <c r="J112" s="14">
        <f>J42*Inputs!$C$57</f>
        <v>864.53036336718878</v>
      </c>
      <c r="K112" s="14">
        <f>K42*Inputs!$C$57</f>
        <v>864.51089939964663</v>
      </c>
      <c r="L112" s="14">
        <f>L42*Inputs!$C$57</f>
        <v>864.24398124826655</v>
      </c>
      <c r="M112" s="14">
        <f>M42*Inputs!$C$57</f>
        <v>903.73448319987506</v>
      </c>
      <c r="N112" s="183">
        <f>N42*Inputs!$C$57</f>
        <v>1109.8639598704021</v>
      </c>
      <c r="O112" s="14">
        <f>O42*Inputs!$C$57</f>
        <v>1125.6841980460447</v>
      </c>
      <c r="P112" s="14">
        <f>P42*Inputs!$C$57</f>
        <v>1122.5911972442741</v>
      </c>
      <c r="Q112" s="14">
        <f>Q42*Inputs!$C$57</f>
        <v>1132.490639673847</v>
      </c>
      <c r="R112" s="14">
        <f>R42*Inputs!$C$57</f>
        <v>1140.3705965507709</v>
      </c>
      <c r="S112" s="14">
        <f>S42*Inputs!$C$57</f>
        <v>1149.8192005641768</v>
      </c>
      <c r="T112" s="14">
        <f>T42*Inputs!$C$57</f>
        <v>1149.6060832654791</v>
      </c>
      <c r="U112" s="14">
        <f>U42*Inputs!$C$57</f>
        <v>1151.491869280409</v>
      </c>
      <c r="V112" s="14">
        <f>V42*Inputs!$C$57</f>
        <v>1178.9715443687192</v>
      </c>
      <c r="W112" s="14">
        <f>W42*Inputs!$C$57</f>
        <v>1176.8078609757436</v>
      </c>
      <c r="X112" s="188">
        <f>X42*Inputs!$C$57</f>
        <v>1195.7352193358879</v>
      </c>
      <c r="Y112" s="159">
        <f>Y42*Inputs!$C$57</f>
        <v>1211.8992625105564</v>
      </c>
      <c r="Z112" s="159">
        <f>Z42*Inputs!$C$57</f>
        <v>1231.511760588691</v>
      </c>
      <c r="AA112" s="159">
        <f>AA42*Inputs!$C$57</f>
        <v>1256.6862566275297</v>
      </c>
      <c r="AB112" s="159">
        <f>AB42*Inputs!$C$57</f>
        <v>1277.2643680893664</v>
      </c>
      <c r="AC112" s="159">
        <f>AC42*Inputs!$C$57</f>
        <v>1282.4337329231284</v>
      </c>
      <c r="AD112" s="159">
        <f>AD42*Inputs!$C$57</f>
        <v>1303.3050237210753</v>
      </c>
      <c r="AE112" s="159">
        <f>AE42*Inputs!$C$57</f>
        <v>1323.4437948035659</v>
      </c>
      <c r="AF112" s="159">
        <f>AF42*Inputs!$C$57</f>
        <v>1326.0346800939121</v>
      </c>
      <c r="AG112" s="159">
        <f>AG42*Inputs!$C$57</f>
        <v>1332.4665365379897</v>
      </c>
      <c r="AH112" s="188">
        <f>AH42*Inputs!$C$57</f>
        <v>1331.8481897247616</v>
      </c>
      <c r="AI112" s="31" t="s">
        <v>0</v>
      </c>
    </row>
    <row r="113" spans="1:35" s="20" customFormat="1">
      <c r="A113" s="10" t="s">
        <v>383</v>
      </c>
      <c r="B113" s="37"/>
      <c r="C113" s="335">
        <f>SUM(C100:C112)</f>
        <v>1811.9724999999999</v>
      </c>
      <c r="D113" s="335">
        <f t="shared" ref="D113:AH113" si="84">SUM(D100:D112)</f>
        <v>1968.1405117870431</v>
      </c>
      <c r="E113" s="335">
        <f t="shared" si="84"/>
        <v>2071.502823729551</v>
      </c>
      <c r="F113" s="335">
        <f t="shared" si="84"/>
        <v>2122.8657039915142</v>
      </c>
      <c r="G113" s="335">
        <f t="shared" si="84"/>
        <v>2279.0008534024</v>
      </c>
      <c r="H113" s="405">
        <f t="shared" si="84"/>
        <v>1863.2582927497438</v>
      </c>
      <c r="I113" s="19">
        <f t="shared" si="84"/>
        <v>2479.69875699985</v>
      </c>
      <c r="J113" s="19">
        <f t="shared" si="84"/>
        <v>2989.7164335368943</v>
      </c>
      <c r="K113" s="19">
        <f t="shared" si="84"/>
        <v>3094.231222889156</v>
      </c>
      <c r="L113" s="19">
        <f t="shared" si="84"/>
        <v>3184.8865964092033</v>
      </c>
      <c r="M113" s="19">
        <f t="shared" si="84"/>
        <v>3314.9614423463372</v>
      </c>
      <c r="N113" s="183">
        <f t="shared" si="84"/>
        <v>3601.2634675998438</v>
      </c>
      <c r="O113" s="19">
        <f t="shared" si="84"/>
        <v>3652.0127132885627</v>
      </c>
      <c r="P113" s="19">
        <f t="shared" si="84"/>
        <v>3641.3714254416818</v>
      </c>
      <c r="Q113" s="19">
        <f t="shared" si="84"/>
        <v>3672.8460476524128</v>
      </c>
      <c r="R113" s="19">
        <f t="shared" si="84"/>
        <v>3697.7371558193954</v>
      </c>
      <c r="S113" s="19">
        <f t="shared" si="84"/>
        <v>3727.6808187407514</v>
      </c>
      <c r="T113" s="19">
        <f t="shared" si="84"/>
        <v>3726.2724967073327</v>
      </c>
      <c r="U113" s="19">
        <f t="shared" si="84"/>
        <v>3731.6433838366529</v>
      </c>
      <c r="V113" s="19">
        <f t="shared" si="84"/>
        <v>3819.9143940462654</v>
      </c>
      <c r="W113" s="19">
        <f t="shared" si="84"/>
        <v>3812.1002318530991</v>
      </c>
      <c r="X113" s="183">
        <f t="shared" si="84"/>
        <v>3872.5733451026535</v>
      </c>
      <c r="Y113" s="207">
        <f t="shared" si="84"/>
        <v>3918.8995739389866</v>
      </c>
      <c r="Z113" s="207">
        <f t="shared" si="84"/>
        <v>3976.2410999988342</v>
      </c>
      <c r="AA113" s="207">
        <f t="shared" si="84"/>
        <v>4051.3623398158188</v>
      </c>
      <c r="AB113" s="207">
        <f t="shared" si="84"/>
        <v>4111.4841897936267</v>
      </c>
      <c r="AC113" s="207">
        <f t="shared" si="84"/>
        <v>4121.9231451161613</v>
      </c>
      <c r="AD113" s="207">
        <f t="shared" si="84"/>
        <v>4182.7476901907103</v>
      </c>
      <c r="AE113" s="207">
        <f t="shared" si="84"/>
        <v>4241.0680991856834</v>
      </c>
      <c r="AF113" s="207">
        <f t="shared" si="84"/>
        <v>4243.0902114764885</v>
      </c>
      <c r="AG113" s="207">
        <f t="shared" si="84"/>
        <v>4257.4035382935135</v>
      </c>
      <c r="AH113" s="183">
        <f t="shared" si="84"/>
        <v>4249.2064070467241</v>
      </c>
      <c r="AI113" s="31" t="s">
        <v>0</v>
      </c>
    </row>
    <row r="114" spans="1:35" s="20" customFormat="1">
      <c r="A114" s="10" t="s">
        <v>384</v>
      </c>
      <c r="B114" s="37"/>
      <c r="C114" s="335">
        <f>SUM(C101:C103)</f>
        <v>631.79849999999999</v>
      </c>
      <c r="D114" s="335">
        <f t="shared" ref="D114:AH114" si="85">SUM(D101:D103)</f>
        <v>637.1942971323474</v>
      </c>
      <c r="E114" s="335">
        <f t="shared" si="85"/>
        <v>627.62307403506111</v>
      </c>
      <c r="F114" s="335">
        <f t="shared" si="85"/>
        <v>589.48662707485119</v>
      </c>
      <c r="G114" s="335">
        <f t="shared" si="85"/>
        <v>566.71983810835263</v>
      </c>
      <c r="H114" s="405">
        <f t="shared" si="85"/>
        <v>527.63927797942563</v>
      </c>
      <c r="I114" s="19">
        <f t="shared" si="85"/>
        <v>574.69590585965784</v>
      </c>
      <c r="J114" s="19">
        <f t="shared" si="85"/>
        <v>617.02243382564905</v>
      </c>
      <c r="K114" s="19">
        <f t="shared" si="85"/>
        <v>607.88578601191671</v>
      </c>
      <c r="L114" s="19">
        <f t="shared" si="85"/>
        <v>592.64650096997707</v>
      </c>
      <c r="M114" s="19">
        <f t="shared" si="85"/>
        <v>575.40329567904735</v>
      </c>
      <c r="N114" s="183">
        <f t="shared" si="85"/>
        <v>554.1625362874247</v>
      </c>
      <c r="O114" s="19">
        <f t="shared" si="85"/>
        <v>561.47775382352779</v>
      </c>
      <c r="P114" s="19">
        <f t="shared" si="85"/>
        <v>559.32821448312666</v>
      </c>
      <c r="Q114" s="19">
        <f t="shared" si="85"/>
        <v>563.62419017744355</v>
      </c>
      <c r="R114" s="19">
        <f t="shared" si="85"/>
        <v>566.88109378733691</v>
      </c>
      <c r="S114" s="19">
        <f t="shared" si="85"/>
        <v>570.88387464580205</v>
      </c>
      <c r="T114" s="19">
        <f t="shared" si="85"/>
        <v>570.0606602857747</v>
      </c>
      <c r="U114" s="19">
        <f t="shared" si="85"/>
        <v>570.25417385390597</v>
      </c>
      <c r="V114" s="19">
        <f t="shared" si="85"/>
        <v>583.08049301910455</v>
      </c>
      <c r="W114" s="19">
        <f t="shared" si="85"/>
        <v>581.20666398404035</v>
      </c>
      <c r="X114" s="183">
        <f t="shared" si="85"/>
        <v>589.71523619812081</v>
      </c>
      <c r="Y114" s="207">
        <f t="shared" si="85"/>
        <v>591.66352972690743</v>
      </c>
      <c r="Z114" s="207">
        <f t="shared" si="85"/>
        <v>595.15948252728583</v>
      </c>
      <c r="AA114" s="207">
        <f t="shared" si="85"/>
        <v>601.1648368854585</v>
      </c>
      <c r="AB114" s="207">
        <f t="shared" si="85"/>
        <v>604.790048656061</v>
      </c>
      <c r="AC114" s="207">
        <f t="shared" si="85"/>
        <v>601.03665521443872</v>
      </c>
      <c r="AD114" s="207">
        <f t="shared" si="85"/>
        <v>604.55964628993388</v>
      </c>
      <c r="AE114" s="207">
        <f t="shared" si="85"/>
        <v>607.58961398784049</v>
      </c>
      <c r="AF114" s="207">
        <f t="shared" si="85"/>
        <v>602.49852207832259</v>
      </c>
      <c r="AG114" s="207">
        <f t="shared" si="85"/>
        <v>599.15336418961374</v>
      </c>
      <c r="AH114" s="183">
        <f t="shared" si="85"/>
        <v>592.65388708656462</v>
      </c>
      <c r="AI114" s="31"/>
    </row>
    <row r="115" spans="1:35" s="20" customFormat="1">
      <c r="A115" s="10" t="s">
        <v>385</v>
      </c>
      <c r="B115" s="37"/>
      <c r="C115" s="335">
        <f>SUMPRODUCT($B104:$B112,C104:C112)</f>
        <v>1180.1739999999998</v>
      </c>
      <c r="D115" s="335">
        <f t="shared" ref="D115:AH115" si="86">SUMPRODUCT($B104:$B112,D104:D112)</f>
        <v>1330.9462146546957</v>
      </c>
      <c r="E115" s="335">
        <f t="shared" si="86"/>
        <v>1443.8797496944896</v>
      </c>
      <c r="F115" s="335">
        <f t="shared" si="86"/>
        <v>1533.3790769166631</v>
      </c>
      <c r="G115" s="335">
        <f t="shared" si="86"/>
        <v>1712.2810152940476</v>
      </c>
      <c r="H115" s="405">
        <f t="shared" si="86"/>
        <v>1335.6190147703182</v>
      </c>
      <c r="I115" s="19">
        <f t="shared" si="86"/>
        <v>1905.002851140192</v>
      </c>
      <c r="J115" s="19">
        <f t="shared" si="86"/>
        <v>2372.6939997112449</v>
      </c>
      <c r="K115" s="19">
        <f t="shared" si="86"/>
        <v>2486.3454368772391</v>
      </c>
      <c r="L115" s="19">
        <f t="shared" si="86"/>
        <v>2592.2400954392256</v>
      </c>
      <c r="M115" s="19">
        <f t="shared" si="86"/>
        <v>2739.5581466672902</v>
      </c>
      <c r="N115" s="183">
        <f t="shared" si="86"/>
        <v>3047.1009313124196</v>
      </c>
      <c r="O115" s="19">
        <f t="shared" si="86"/>
        <v>3090.5349594650352</v>
      </c>
      <c r="P115" s="19">
        <f t="shared" si="86"/>
        <v>3082.0432109585554</v>
      </c>
      <c r="Q115" s="19">
        <f t="shared" si="86"/>
        <v>3109.2218574749695</v>
      </c>
      <c r="R115" s="19">
        <f t="shared" si="86"/>
        <v>3130.8560620320586</v>
      </c>
      <c r="S115" s="19">
        <f t="shared" si="86"/>
        <v>3156.7969440949491</v>
      </c>
      <c r="T115" s="19">
        <f t="shared" si="86"/>
        <v>3156.2118364215585</v>
      </c>
      <c r="U115" s="19">
        <f t="shared" si="86"/>
        <v>3161.3892099827463</v>
      </c>
      <c r="V115" s="19">
        <f t="shared" si="86"/>
        <v>3236.8339010271611</v>
      </c>
      <c r="W115" s="19">
        <f t="shared" si="86"/>
        <v>3230.8935678690591</v>
      </c>
      <c r="X115" s="183">
        <f t="shared" si="86"/>
        <v>3282.8581089045329</v>
      </c>
      <c r="Y115" s="207">
        <f t="shared" si="86"/>
        <v>3327.2360442120798</v>
      </c>
      <c r="Z115" s="207">
        <f t="shared" si="86"/>
        <v>3381.0816174715483</v>
      </c>
      <c r="AA115" s="207">
        <f t="shared" si="86"/>
        <v>3450.1975029303603</v>
      </c>
      <c r="AB115" s="207">
        <f t="shared" si="86"/>
        <v>3506.6941411375656</v>
      </c>
      <c r="AC115" s="207">
        <f t="shared" si="86"/>
        <v>3520.8864899017231</v>
      </c>
      <c r="AD115" s="207">
        <f t="shared" si="86"/>
        <v>3578.1880439007755</v>
      </c>
      <c r="AE115" s="207">
        <f t="shared" si="86"/>
        <v>3633.478485197842</v>
      </c>
      <c r="AF115" s="207">
        <f t="shared" si="86"/>
        <v>3640.5916893981657</v>
      </c>
      <c r="AG115" s="207">
        <f t="shared" si="86"/>
        <v>3658.2501741038996</v>
      </c>
      <c r="AH115" s="183">
        <f t="shared" si="86"/>
        <v>3656.5525199601598</v>
      </c>
    </row>
    <row r="116" spans="1:35" s="20" customFormat="1">
      <c r="A116" s="10" t="s">
        <v>142</v>
      </c>
      <c r="B116" s="37"/>
      <c r="C116" s="335">
        <f>C47*Inputs!$C$60</f>
        <v>537.19281000000001</v>
      </c>
      <c r="D116" s="335">
        <f>D47*Inputs!$C$60</f>
        <v>8.0804479708145553</v>
      </c>
      <c r="E116" s="335">
        <f>E47*Inputs!$C$60</f>
        <v>8.3840583586251096</v>
      </c>
      <c r="F116" s="335">
        <f>F47*Inputs!$C$60</f>
        <v>4.0269685283580863</v>
      </c>
      <c r="G116" s="335">
        <f>G47*Inputs!$C$60</f>
        <v>3.9240857000425651</v>
      </c>
      <c r="H116" s="405">
        <f>H47*Inputs!$C$60</f>
        <v>5.3018064904080351</v>
      </c>
      <c r="I116" s="19">
        <f>I47*Inputs!$C$60</f>
        <v>4.516204653682661</v>
      </c>
      <c r="J116" s="19">
        <f>J47*Inputs!$C$60</f>
        <v>0.55758537679922449</v>
      </c>
      <c r="K116" s="19">
        <f>K47*Inputs!$C$60</f>
        <v>2.0614225323261484</v>
      </c>
      <c r="L116" s="19">
        <f>L47*Inputs!$C$60</f>
        <v>3.7812259122206946</v>
      </c>
      <c r="M116" s="19">
        <f>M47*Inputs!$C$60</f>
        <v>4.1951456065348625</v>
      </c>
      <c r="N116" s="183">
        <f>N47*Inputs!$C$60</f>
        <v>3.2426499429763411</v>
      </c>
      <c r="O116" s="19">
        <f>O47*Inputs!$C$60</f>
        <v>3.2839702004906322</v>
      </c>
      <c r="P116" s="19">
        <f>P47*Inputs!$C$60</f>
        <v>3.2895645775751992</v>
      </c>
      <c r="Q116" s="19">
        <f>Q47*Inputs!$C$60</f>
        <v>3.2941096667508782</v>
      </c>
      <c r="R116" s="19">
        <f>R47*Inputs!$C$60</f>
        <v>3.2262263751357816</v>
      </c>
      <c r="S116" s="19">
        <f>S47*Inputs!$C$60</f>
        <v>3.1406980307859533</v>
      </c>
      <c r="T116" s="19">
        <f>T47*Inputs!$C$60</f>
        <v>3.0934767798735039</v>
      </c>
      <c r="U116" s="19">
        <f>U47*Inputs!$C$60</f>
        <v>4.7679982684881317</v>
      </c>
      <c r="V116" s="19">
        <f>V47*Inputs!$C$60</f>
        <v>5.0820008728079582</v>
      </c>
      <c r="W116" s="19">
        <f>W47*Inputs!$C$60</f>
        <v>5.0634286010881686</v>
      </c>
      <c r="X116" s="183">
        <f>X47*Inputs!$C$60</f>
        <v>4.8285490001828943</v>
      </c>
      <c r="Y116" s="207">
        <f>Y47*Inputs!$C$60</f>
        <v>4.7130746565792352</v>
      </c>
      <c r="Z116" s="207">
        <f>Z47*Inputs!$C$60</f>
        <v>4.0551859466471267</v>
      </c>
      <c r="AA116" s="207">
        <f>AA47*Inputs!$C$60</f>
        <v>3.8840559709343614</v>
      </c>
      <c r="AB116" s="207">
        <f>AB47*Inputs!$C$60</f>
        <v>3.667063048879101</v>
      </c>
      <c r="AC116" s="207">
        <f>AC47*Inputs!$C$60</f>
        <v>3.5626117746416375</v>
      </c>
      <c r="AD116" s="207">
        <f>AD47*Inputs!$C$60</f>
        <v>4.0735157070291548</v>
      </c>
      <c r="AE116" s="207">
        <f>AE47*Inputs!$C$60</f>
        <v>4.0202887616479046</v>
      </c>
      <c r="AF116" s="207">
        <f>AF47*Inputs!$C$60</f>
        <v>4.0613465537005302</v>
      </c>
      <c r="AG116" s="207">
        <f>AG47*Inputs!$C$60</f>
        <v>4.0484333980788438</v>
      </c>
      <c r="AH116" s="183">
        <f>AH47*Inputs!$C$60</f>
        <v>4.089082370934058</v>
      </c>
      <c r="AI116" s="31"/>
    </row>
    <row r="117" spans="1:35" s="20" customFormat="1">
      <c r="A117" s="10" t="s">
        <v>222</v>
      </c>
      <c r="B117" s="37"/>
      <c r="C117" s="335">
        <f>C48*Inputs!$C$61</f>
        <v>230.22549000000004</v>
      </c>
      <c r="D117" s="335">
        <f>D48*Inputs!$C$61</f>
        <v>777.76633686897799</v>
      </c>
      <c r="E117" s="335">
        <f>E48*Inputs!$C$61</f>
        <v>795.49659605966031</v>
      </c>
      <c r="F117" s="335">
        <f>F48*Inputs!$C$61</f>
        <v>724.19102562475439</v>
      </c>
      <c r="G117" s="335">
        <f>G48*Inputs!$C$61</f>
        <v>631.91109547811141</v>
      </c>
      <c r="H117" s="405">
        <f>H48*Inputs!$C$61</f>
        <v>891.7333051924262</v>
      </c>
      <c r="I117" s="19">
        <f>I48*Inputs!$C$61</f>
        <v>769.02831689564357</v>
      </c>
      <c r="J117" s="19">
        <f>J48*Inputs!$C$61</f>
        <v>718.40617335624165</v>
      </c>
      <c r="K117" s="19">
        <f>K48*Inputs!$C$61</f>
        <v>715.88713434731585</v>
      </c>
      <c r="L117" s="19">
        <f>L48*Inputs!$C$61</f>
        <v>693.94794972100453</v>
      </c>
      <c r="M117" s="19">
        <f>M48*Inputs!$C$61</f>
        <v>640.32007575324519</v>
      </c>
      <c r="N117" s="183">
        <f>N48*Inputs!$C$61</f>
        <v>468.66591937713292</v>
      </c>
      <c r="O117" s="19">
        <f>O48*Inputs!$C$61</f>
        <v>457.59736223661207</v>
      </c>
      <c r="P117" s="19">
        <f>P48*Inputs!$C$61</f>
        <v>438.23559137129701</v>
      </c>
      <c r="Q117" s="19">
        <f>Q48*Inputs!$C$61</f>
        <v>424.15454052597261</v>
      </c>
      <c r="R117" s="19">
        <f>R48*Inputs!$C$61</f>
        <v>409.48694246315131</v>
      </c>
      <c r="S117" s="19">
        <f>S48*Inputs!$C$61</f>
        <v>395.03199557598634</v>
      </c>
      <c r="T117" s="19">
        <f>T48*Inputs!$C$61</f>
        <v>377.01578177839718</v>
      </c>
      <c r="U117" s="19">
        <f>U48*Inputs!$C$61</f>
        <v>357.90328037192756</v>
      </c>
      <c r="V117" s="19">
        <f>V48*Inputs!$C$61</f>
        <v>348.85253447440738</v>
      </c>
      <c r="W117" s="19">
        <f>W48*Inputs!$C$61</f>
        <v>330.15068426278498</v>
      </c>
      <c r="X117" s="183">
        <f>X48*Inputs!$C$61</f>
        <v>318.20646808014459</v>
      </c>
      <c r="Y117" s="207">
        <f>Y48*Inputs!$C$61</f>
        <v>316.862533586533</v>
      </c>
      <c r="Z117" s="207">
        <f>Z48*Inputs!$C$61</f>
        <v>317.00149750206134</v>
      </c>
      <c r="AA117" s="207">
        <f>AA48*Inputs!$C$61</f>
        <v>317.97320276850036</v>
      </c>
      <c r="AB117" s="207">
        <f>AB48*Inputs!$C$61</f>
        <v>317.46426391224537</v>
      </c>
      <c r="AC117" s="207">
        <f>AC48*Inputs!$C$61</f>
        <v>312.50082436397969</v>
      </c>
      <c r="AD117" s="207">
        <f>AD48*Inputs!$C$61</f>
        <v>310.94280678228921</v>
      </c>
      <c r="AE117" s="207">
        <f>AE48*Inputs!$C$61</f>
        <v>309.67825559651936</v>
      </c>
      <c r="AF117" s="207">
        <f>AF48*Inputs!$C$61</f>
        <v>303.54917452969897</v>
      </c>
      <c r="AG117" s="207">
        <f>AG48*Inputs!$C$61</f>
        <v>298.45311365293628</v>
      </c>
      <c r="AH117" s="183">
        <f>AH48*Inputs!$C$61</f>
        <v>291.50605189003596</v>
      </c>
      <c r="AI117" s="31"/>
    </row>
    <row r="118" spans="1:35" s="20" customFormat="1">
      <c r="A118" s="10" t="s">
        <v>58</v>
      </c>
      <c r="B118" s="37"/>
      <c r="C118" s="335">
        <f>SUM(C113,C116,C117)</f>
        <v>2579.3908000000001</v>
      </c>
      <c r="D118" s="335">
        <f>SUM(D113,D116,D117)</f>
        <v>2753.9872966268358</v>
      </c>
      <c r="E118" s="335">
        <f t="shared" ref="E118:AH118" si="87">SUM(E113,E116,E117)</f>
        <v>2875.3834781478363</v>
      </c>
      <c r="F118" s="335">
        <f t="shared" si="87"/>
        <v>2851.0836981446264</v>
      </c>
      <c r="G118" s="335">
        <f t="shared" si="87"/>
        <v>2914.836034580554</v>
      </c>
      <c r="H118" s="405">
        <f t="shared" si="87"/>
        <v>2760.293404432578</v>
      </c>
      <c r="I118" s="19">
        <f t="shared" si="87"/>
        <v>3253.243278549176</v>
      </c>
      <c r="J118" s="19">
        <f t="shared" si="87"/>
        <v>3708.6801922699351</v>
      </c>
      <c r="K118" s="19">
        <f t="shared" si="87"/>
        <v>3812.1797797687977</v>
      </c>
      <c r="L118" s="19">
        <f t="shared" si="87"/>
        <v>3882.6157720424285</v>
      </c>
      <c r="M118" s="19">
        <f t="shared" si="87"/>
        <v>3959.4766637061175</v>
      </c>
      <c r="N118" s="183">
        <f t="shared" si="87"/>
        <v>4073.1720369199529</v>
      </c>
      <c r="O118" s="19">
        <f t="shared" si="87"/>
        <v>4112.8940457256658</v>
      </c>
      <c r="P118" s="19">
        <f t="shared" si="87"/>
        <v>4082.8965813905543</v>
      </c>
      <c r="Q118" s="19">
        <f t="shared" si="87"/>
        <v>4100.2946978451364</v>
      </c>
      <c r="R118" s="19">
        <f t="shared" si="87"/>
        <v>4110.4503246576824</v>
      </c>
      <c r="S118" s="19">
        <f t="shared" si="87"/>
        <v>4125.853512347524</v>
      </c>
      <c r="T118" s="19">
        <f t="shared" si="87"/>
        <v>4106.3817552656037</v>
      </c>
      <c r="U118" s="19">
        <f t="shared" si="87"/>
        <v>4094.3146624770684</v>
      </c>
      <c r="V118" s="19">
        <f t="shared" si="87"/>
        <v>4173.8489293934808</v>
      </c>
      <c r="W118" s="19">
        <f t="shared" si="87"/>
        <v>4147.3143447169723</v>
      </c>
      <c r="X118" s="183">
        <f t="shared" si="87"/>
        <v>4195.6083621829812</v>
      </c>
      <c r="Y118" s="207">
        <f t="shared" si="87"/>
        <v>4240.4751821820983</v>
      </c>
      <c r="Z118" s="207">
        <f t="shared" si="87"/>
        <v>4297.2977834475432</v>
      </c>
      <c r="AA118" s="207">
        <f t="shared" si="87"/>
        <v>4373.2195985552535</v>
      </c>
      <c r="AB118" s="207">
        <f t="shared" si="87"/>
        <v>4432.6155167547513</v>
      </c>
      <c r="AC118" s="207">
        <f t="shared" si="87"/>
        <v>4437.9865812547823</v>
      </c>
      <c r="AD118" s="207">
        <f t="shared" si="87"/>
        <v>4497.7640126800288</v>
      </c>
      <c r="AE118" s="207">
        <f t="shared" si="87"/>
        <v>4554.7666435438505</v>
      </c>
      <c r="AF118" s="207">
        <f t="shared" si="87"/>
        <v>4550.7007325598879</v>
      </c>
      <c r="AG118" s="207">
        <f t="shared" si="87"/>
        <v>4559.9050853445278</v>
      </c>
      <c r="AH118" s="183">
        <f t="shared" si="87"/>
        <v>4544.8015413076946</v>
      </c>
      <c r="AI118" s="31"/>
    </row>
    <row r="119" spans="1:35" s="1" customFormat="1">
      <c r="A119" s="1" t="s">
        <v>335</v>
      </c>
      <c r="B119" s="13"/>
      <c r="C119" s="342">
        <f>C118-'Output - Jobs vs Yr (BAU)'!C55</f>
        <v>-49.551699999999983</v>
      </c>
      <c r="D119" s="342">
        <f>D118-'Output - Jobs vs Yr (BAU)'!D55</f>
        <v>16.145796626836272</v>
      </c>
      <c r="E119" s="342">
        <f>E118-'Output - Jobs vs Yr (BAU)'!E55</f>
        <v>40.518635316841028</v>
      </c>
      <c r="F119" s="342">
        <f>F118-'Output - Jobs vs Yr (BAU)'!F55</f>
        <v>87.504179959665635</v>
      </c>
      <c r="G119" s="342">
        <f>G118-'Output - Jobs vs Yr (BAU)'!G55</f>
        <v>216.18524262028495</v>
      </c>
      <c r="H119" s="406">
        <f>H118-'Output - Jobs vs Yr (BAU)'!H55</f>
        <v>-19.263842424795257</v>
      </c>
      <c r="I119" s="15">
        <f>I118-'Output - Jobs vs Yr (BAU)'!I55</f>
        <v>-14.126143103004324</v>
      </c>
      <c r="J119" s="15">
        <f>J118-'Output - Jobs vs Yr (BAU)'!J55</f>
        <v>-74.602662260826946</v>
      </c>
      <c r="K119" s="15">
        <f>K118-'Output - Jobs vs Yr (BAU)'!K55</f>
        <v>-32.148866544767316</v>
      </c>
      <c r="L119" s="15">
        <f>L118-'Output - Jobs vs Yr (BAU)'!L55</f>
        <v>11.816615775909668</v>
      </c>
      <c r="M119" s="15">
        <f>M118-'Output - Jobs vs Yr (BAU)'!M55</f>
        <v>66.449301904668118</v>
      </c>
      <c r="N119" s="183">
        <f>N118-'Output - Jobs vs Yr (BAU)'!N55</f>
        <v>178.8140232450337</v>
      </c>
      <c r="O119" s="15">
        <f>O118-'Output - Jobs vs Yr (BAU)'!O55</f>
        <v>154.03602485488091</v>
      </c>
      <c r="P119" s="15">
        <f>P118-'Output - Jobs vs Yr (BAU)'!P55</f>
        <v>153.35056513083236</v>
      </c>
      <c r="Q119" s="15">
        <f>Q118-'Output - Jobs vs Yr (BAU)'!Q55</f>
        <v>161.57297254007381</v>
      </c>
      <c r="R119" s="15">
        <f>R118-'Output - Jobs vs Yr (BAU)'!R55</f>
        <v>169.98427743122056</v>
      </c>
      <c r="S119" s="15">
        <f>S118-'Output - Jobs vs Yr (BAU)'!S55</f>
        <v>185.12771419789215</v>
      </c>
      <c r="T119" s="15">
        <f>T118-'Output - Jobs vs Yr (BAU)'!T55</f>
        <v>183.96476094989521</v>
      </c>
      <c r="U119" s="15">
        <f>U118-'Output - Jobs vs Yr (BAU)'!U55</f>
        <v>166.17111517137482</v>
      </c>
      <c r="V119" s="15">
        <f>V118-'Output - Jobs vs Yr (BAU)'!V55</f>
        <v>157.78407811837724</v>
      </c>
      <c r="W119" s="15">
        <f>W118-'Output - Jobs vs Yr (BAU)'!W55</f>
        <v>162.12635572099498</v>
      </c>
      <c r="X119" s="191">
        <f>X118-'Output - Jobs vs Yr (BAU)'!X55</f>
        <v>188.66709499224635</v>
      </c>
      <c r="Y119" s="131">
        <f>Y118-'Output - Jobs vs Yr (BAU)'!Y55</f>
        <v>203.04797348446755</v>
      </c>
      <c r="Z119" s="131">
        <f>Z118-'Output - Jobs vs Yr (BAU)'!Z55</f>
        <v>230.27554244766361</v>
      </c>
      <c r="AA119" s="131">
        <f>AA118-'Output - Jobs vs Yr (BAU)'!AA55</f>
        <v>249.33751183626009</v>
      </c>
      <c r="AB119" s="131">
        <f>AB118-'Output - Jobs vs Yr (BAU)'!AB55</f>
        <v>263.04282151071675</v>
      </c>
      <c r="AC119" s="131">
        <f>AC118-'Output - Jobs vs Yr (BAU)'!AC55</f>
        <v>267.54748797326829</v>
      </c>
      <c r="AD119" s="131">
        <f>AD118-'Output - Jobs vs Yr (BAU)'!AD55</f>
        <v>260.72193590160441</v>
      </c>
      <c r="AE119" s="131">
        <f>AE118-'Output - Jobs vs Yr (BAU)'!AE55</f>
        <v>250.33294842630403</v>
      </c>
      <c r="AF119" s="131">
        <f>AF118-'Output - Jobs vs Yr (BAU)'!AF55</f>
        <v>266.22136625711391</v>
      </c>
      <c r="AG119" s="131">
        <f>AG118-'Output - Jobs vs Yr (BAU)'!AG55</f>
        <v>268.12980724701811</v>
      </c>
      <c r="AH119" s="191">
        <f>AH118-'Output - Jobs vs Yr (BAU)'!AH55</f>
        <v>259.89726578701993</v>
      </c>
    </row>
    <row r="120" spans="1:35" s="1" customFormat="1">
      <c r="B120" s="13"/>
      <c r="C120" s="329"/>
      <c r="D120" s="342"/>
      <c r="E120" s="342"/>
      <c r="F120" s="342"/>
      <c r="G120" s="342"/>
      <c r="H120" s="406"/>
      <c r="I120" s="15"/>
      <c r="J120" s="15"/>
      <c r="K120" s="15"/>
      <c r="L120" s="15"/>
      <c r="M120" s="15"/>
      <c r="N120" s="188" t="s">
        <v>0</v>
      </c>
      <c r="O120" s="15"/>
      <c r="P120" s="15"/>
      <c r="Q120" s="15"/>
      <c r="R120" s="15"/>
      <c r="S120" s="15"/>
      <c r="T120" s="15"/>
      <c r="U120" s="15"/>
      <c r="V120" s="15"/>
      <c r="W120" s="15"/>
      <c r="X120" s="191"/>
      <c r="Y120"/>
      <c r="Z120"/>
      <c r="AA120"/>
      <c r="AB120"/>
      <c r="AC120"/>
      <c r="AD120"/>
      <c r="AE120"/>
      <c r="AF120"/>
      <c r="AG120"/>
      <c r="AH120" s="281"/>
    </row>
    <row r="121" spans="1:35" hidden="1">
      <c r="W121" s="2" t="s">
        <v>133</v>
      </c>
      <c r="X121" s="188">
        <f>X100</f>
        <v>0</v>
      </c>
    </row>
    <row r="122" spans="1:35" hidden="1">
      <c r="W122" s="2" t="s">
        <v>136</v>
      </c>
      <c r="X122" s="188">
        <f>X103-'Output - Jobs vs Yr (BAU)'!X43</f>
        <v>0</v>
      </c>
    </row>
    <row r="123" spans="1:35" hidden="1">
      <c r="W123" s="2" t="s">
        <v>134</v>
      </c>
      <c r="X123" s="188">
        <f>X115-'Output - Jobs vs Yr (BAU)'!X51</f>
        <v>682.98012527040646</v>
      </c>
    </row>
    <row r="124" spans="1:35" hidden="1">
      <c r="W124" s="2" t="s">
        <v>137</v>
      </c>
      <c r="X124" s="188">
        <f>SUM(X101,X106,X111)</f>
        <v>0</v>
      </c>
    </row>
    <row r="125" spans="1:35" hidden="1">
      <c r="W125" s="2" t="s">
        <v>132</v>
      </c>
      <c r="X125" s="188">
        <f>SUM(X121:X124)</f>
        <v>682.98012527040646</v>
      </c>
    </row>
    <row r="126" spans="1:35">
      <c r="A126" s="1" t="s">
        <v>140</v>
      </c>
      <c r="C126" s="329">
        <v>2009</v>
      </c>
      <c r="D126" s="329">
        <v>2010</v>
      </c>
      <c r="E126" s="329">
        <v>2011</v>
      </c>
      <c r="F126" s="329">
        <v>2012</v>
      </c>
      <c r="G126" s="329">
        <v>2013</v>
      </c>
      <c r="H126" s="401">
        <v>2014</v>
      </c>
      <c r="I126" s="13">
        <v>2015</v>
      </c>
      <c r="J126" s="13">
        <v>2016</v>
      </c>
      <c r="K126" s="13">
        <v>2017</v>
      </c>
      <c r="L126" s="13">
        <v>2018</v>
      </c>
      <c r="M126" s="13">
        <v>2019</v>
      </c>
      <c r="N126" s="177">
        <v>2020</v>
      </c>
      <c r="O126" s="13">
        <v>2021</v>
      </c>
      <c r="P126" s="13">
        <v>2022</v>
      </c>
      <c r="Q126" s="13">
        <v>2023</v>
      </c>
      <c r="R126" s="13">
        <v>2024</v>
      </c>
      <c r="S126" s="13">
        <v>2025</v>
      </c>
      <c r="T126" s="13">
        <v>2026</v>
      </c>
      <c r="U126" s="13">
        <v>2027</v>
      </c>
      <c r="V126" s="13">
        <v>2028</v>
      </c>
      <c r="W126" s="13">
        <v>2029</v>
      </c>
      <c r="X126" s="177">
        <v>2030</v>
      </c>
      <c r="Y126" s="13">
        <v>2031</v>
      </c>
      <c r="Z126" s="13">
        <v>2032</v>
      </c>
      <c r="AA126" s="13">
        <v>2033</v>
      </c>
      <c r="AB126" s="13">
        <v>2034</v>
      </c>
      <c r="AC126" s="13">
        <v>2035</v>
      </c>
      <c r="AD126" s="13">
        <v>2036</v>
      </c>
      <c r="AE126" s="13">
        <v>2037</v>
      </c>
      <c r="AF126" s="13">
        <v>2038</v>
      </c>
      <c r="AG126" s="13">
        <v>2039</v>
      </c>
      <c r="AH126" s="177">
        <v>2040</v>
      </c>
      <c r="AI126" s="1" t="s">
        <v>0</v>
      </c>
    </row>
    <row r="127" spans="1:35">
      <c r="A127" s="10" t="s">
        <v>61</v>
      </c>
      <c r="B127" s="35">
        <v>0</v>
      </c>
      <c r="C127" s="332">
        <v>0</v>
      </c>
      <c r="D127" s="332">
        <f xml:space="preserve"> IF(D100&gt; 0, D100*Inputs!$H44, 0)</f>
        <v>0</v>
      </c>
      <c r="E127" s="332">
        <f xml:space="preserve"> IF(E100&gt; 0, E100*Inputs!$H44, 0)</f>
        <v>0</v>
      </c>
      <c r="F127" s="332">
        <f xml:space="preserve"> IF(F100&gt; 0, F100*Inputs!$H44, 0)</f>
        <v>0</v>
      </c>
      <c r="G127" s="332">
        <f xml:space="preserve"> IF(G100&gt; 0, G100*Inputs!$H44, 0)</f>
        <v>0</v>
      </c>
      <c r="H127" s="403">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3">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8">
        <f xml:space="preserve"> IF(X100&gt; 0, X100*Inputs!$H44, 0)</f>
        <v>0</v>
      </c>
      <c r="Y127" s="159">
        <f xml:space="preserve"> IF(Y100&gt; 0, Y100*Inputs!$H44, 0)</f>
        <v>0</v>
      </c>
      <c r="Z127" s="159">
        <f xml:space="preserve"> IF(Z100&gt; 0, Z100*Inputs!$H44, 0)</f>
        <v>0</v>
      </c>
      <c r="AA127" s="159">
        <f xml:space="preserve"> IF(AA100&gt; 0, AA100*Inputs!$H44, 0)</f>
        <v>0</v>
      </c>
      <c r="AB127" s="159">
        <f xml:space="preserve"> IF(AB100&gt; 0, AB100*Inputs!$H44, 0)</f>
        <v>0</v>
      </c>
      <c r="AC127" s="159">
        <f xml:space="preserve"> IF(AC100&gt; 0, AC100*Inputs!$H44, 0)</f>
        <v>0</v>
      </c>
      <c r="AD127" s="159">
        <f xml:space="preserve"> IF(AD100&gt; 0, AD100*Inputs!$H44, 0)</f>
        <v>0</v>
      </c>
      <c r="AE127" s="159">
        <f xml:space="preserve"> IF(AE100&gt; 0, AE100*Inputs!$H44, 0)</f>
        <v>0</v>
      </c>
      <c r="AF127" s="159">
        <f xml:space="preserve"> IF(AF100&gt; 0, AF100*Inputs!$H44, 0)</f>
        <v>0</v>
      </c>
      <c r="AG127" s="159">
        <f xml:space="preserve"> IF(AG100&gt; 0, AG100*Inputs!$H44, 0)</f>
        <v>0</v>
      </c>
      <c r="AH127" s="188">
        <f xml:space="preserve"> IF(AH100&gt; 0, AH100*Inputs!$H44, 0)</f>
        <v>0</v>
      </c>
    </row>
    <row r="128" spans="1:35">
      <c r="A128" s="10" t="s">
        <v>60</v>
      </c>
      <c r="B128" s="35">
        <v>0</v>
      </c>
      <c r="C128" s="332">
        <f>C101*Inputs!$H47</f>
        <v>0</v>
      </c>
      <c r="D128" s="332">
        <f>D101*Inputs!$H47</f>
        <v>0</v>
      </c>
      <c r="E128" s="332">
        <f>E101*Inputs!$H47</f>
        <v>0</v>
      </c>
      <c r="F128" s="332">
        <f>F101*Inputs!$H47</f>
        <v>0</v>
      </c>
      <c r="G128" s="332">
        <f>G101*Inputs!$H47</f>
        <v>0</v>
      </c>
      <c r="H128" s="403">
        <f>H101*Inputs!$H47</f>
        <v>0</v>
      </c>
      <c r="I128" s="14">
        <f>I101*Inputs!$H47</f>
        <v>0</v>
      </c>
      <c r="J128" s="14">
        <f>J101*Inputs!$H47</f>
        <v>0</v>
      </c>
      <c r="K128" s="14">
        <f>K101*Inputs!$H47</f>
        <v>0</v>
      </c>
      <c r="L128" s="14">
        <f>L101*Inputs!$H47</f>
        <v>0</v>
      </c>
      <c r="M128" s="14">
        <f>M101*Inputs!$H47</f>
        <v>0</v>
      </c>
      <c r="N128" s="183">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8">
        <f>X101*Inputs!$H47</f>
        <v>0</v>
      </c>
      <c r="Y128" s="159">
        <f>Y101*Inputs!$H47</f>
        <v>0</v>
      </c>
      <c r="Z128" s="159">
        <f>Z101*Inputs!$H47</f>
        <v>0</v>
      </c>
      <c r="AA128" s="159">
        <f>AA101*Inputs!$H47</f>
        <v>0</v>
      </c>
      <c r="AB128" s="159">
        <f>AB101*Inputs!$H47</f>
        <v>0</v>
      </c>
      <c r="AC128" s="159">
        <f>AC101*Inputs!$H47</f>
        <v>0</v>
      </c>
      <c r="AD128" s="159">
        <f>AD101*Inputs!$H47</f>
        <v>0</v>
      </c>
      <c r="AE128" s="159">
        <f>AE101*Inputs!$H47</f>
        <v>0</v>
      </c>
      <c r="AF128" s="159">
        <f>AF101*Inputs!$H47</f>
        <v>0</v>
      </c>
      <c r="AG128" s="159">
        <f>AG101*Inputs!$H47</f>
        <v>0</v>
      </c>
      <c r="AH128" s="188">
        <f>AH101*Inputs!$H47</f>
        <v>0</v>
      </c>
    </row>
    <row r="129" spans="1:35">
      <c r="A129" s="10" t="s">
        <v>49</v>
      </c>
      <c r="B129" s="35">
        <v>0</v>
      </c>
      <c r="C129" s="332">
        <f>C102*Inputs!$H48</f>
        <v>568.61865</v>
      </c>
      <c r="D129" s="332">
        <f>D102*Inputs!$H48</f>
        <v>573.47486741911268</v>
      </c>
      <c r="E129" s="332">
        <f>E102*Inputs!$H48</f>
        <v>564.86076663155507</v>
      </c>
      <c r="F129" s="332">
        <f>F102*Inputs!$H48</f>
        <v>530.53796436736604</v>
      </c>
      <c r="G129" s="332">
        <f>G102*Inputs!$H48</f>
        <v>510.0478542975174</v>
      </c>
      <c r="H129" s="403">
        <f>H102*Inputs!$H48</f>
        <v>474.8753501814831</v>
      </c>
      <c r="I129" s="14">
        <f>I102*Inputs!$H48</f>
        <v>517.22631527369208</v>
      </c>
      <c r="J129" s="14">
        <f>J102*Inputs!$H48</f>
        <v>555.32019044308413</v>
      </c>
      <c r="K129" s="14">
        <f>K102*Inputs!$H48</f>
        <v>547.0972074107251</v>
      </c>
      <c r="L129" s="14">
        <f>L102*Inputs!$H48</f>
        <v>533.38185087297938</v>
      </c>
      <c r="M129" s="14">
        <f>M102*Inputs!$H48</f>
        <v>517.86296611114267</v>
      </c>
      <c r="N129" s="183">
        <f>N102*Inputs!$H48</f>
        <v>498.74628265868222</v>
      </c>
      <c r="O129" s="14">
        <f>O102*Inputs!$H48</f>
        <v>505.329978441175</v>
      </c>
      <c r="P129" s="14">
        <f>P102*Inputs!$H48</f>
        <v>503.39539303481399</v>
      </c>
      <c r="Q129" s="14">
        <f>Q102*Inputs!$H48</f>
        <v>507.26177115969921</v>
      </c>
      <c r="R129" s="14">
        <f>R102*Inputs!$H48</f>
        <v>510.19298440860325</v>
      </c>
      <c r="S129" s="14">
        <f>S102*Inputs!$H48</f>
        <v>513.79548718122192</v>
      </c>
      <c r="T129" s="14">
        <f>T102*Inputs!$H48</f>
        <v>513.05459425719721</v>
      </c>
      <c r="U129" s="14">
        <f>U102*Inputs!$H48</f>
        <v>513.22875646851537</v>
      </c>
      <c r="V129" s="14">
        <f>V102*Inputs!$H48</f>
        <v>524.77244371719416</v>
      </c>
      <c r="W129" s="14">
        <f>W102*Inputs!$H48</f>
        <v>523.08599758563628</v>
      </c>
      <c r="X129" s="188">
        <f>X102*Inputs!$H48</f>
        <v>530.74371257830876</v>
      </c>
      <c r="Y129" s="159">
        <f>Y102*Inputs!$H48</f>
        <v>532.49717675421675</v>
      </c>
      <c r="Z129" s="159">
        <f>Z102*Inputs!$H48</f>
        <v>535.64353427455728</v>
      </c>
      <c r="AA129" s="159">
        <f>AA102*Inputs!$H48</f>
        <v>541.04835319691267</v>
      </c>
      <c r="AB129" s="159">
        <f>AB102*Inputs!$H48</f>
        <v>544.31104379045496</v>
      </c>
      <c r="AC129" s="159">
        <f>AC102*Inputs!$H48</f>
        <v>540.93298969299485</v>
      </c>
      <c r="AD129" s="159">
        <f>AD102*Inputs!$H48</f>
        <v>544.10368166094054</v>
      </c>
      <c r="AE129" s="159">
        <f>AE102*Inputs!$H48</f>
        <v>546.83065258905651</v>
      </c>
      <c r="AF129" s="159">
        <f>AF102*Inputs!$H48</f>
        <v>542.2486698704904</v>
      </c>
      <c r="AG129" s="159">
        <f>AG102*Inputs!$H48</f>
        <v>539.23802777065237</v>
      </c>
      <c r="AH129" s="188">
        <f>AH102*Inputs!$H48</f>
        <v>533.38849837790815</v>
      </c>
    </row>
    <row r="130" spans="1:35">
      <c r="A130" s="10" t="s">
        <v>59</v>
      </c>
      <c r="B130" s="35">
        <v>0</v>
      </c>
      <c r="C130" s="332">
        <f>C103*Inputs!$H53</f>
        <v>0</v>
      </c>
      <c r="D130" s="332">
        <f>D103*Inputs!$H53</f>
        <v>0</v>
      </c>
      <c r="E130" s="332">
        <f>E103*Inputs!$H53</f>
        <v>0</v>
      </c>
      <c r="F130" s="332">
        <f>F103*Inputs!$H53</f>
        <v>0</v>
      </c>
      <c r="G130" s="332">
        <f>G103*Inputs!$H53</f>
        <v>0</v>
      </c>
      <c r="H130" s="403">
        <f>H103*Inputs!$H53</f>
        <v>0</v>
      </c>
      <c r="I130" s="14">
        <f>I103*Inputs!$H53</f>
        <v>0</v>
      </c>
      <c r="J130" s="14">
        <f>J103*Inputs!$H53</f>
        <v>0</v>
      </c>
      <c r="K130" s="14">
        <f>K103*Inputs!$H53</f>
        <v>0</v>
      </c>
      <c r="L130" s="14">
        <f>L103*Inputs!$H53</f>
        <v>0</v>
      </c>
      <c r="M130" s="14">
        <f>M103*Inputs!$H53</f>
        <v>0</v>
      </c>
      <c r="N130" s="183">
        <f>N103*Inputs!$H53</f>
        <v>0</v>
      </c>
      <c r="O130" s="14">
        <f>O103*Inputs!$H53</f>
        <v>0</v>
      </c>
      <c r="P130" s="14">
        <f>P103*Inputs!$H53</f>
        <v>0</v>
      </c>
      <c r="Q130" s="14">
        <f>Q103*Inputs!$H53</f>
        <v>0</v>
      </c>
      <c r="R130" s="14">
        <f>R103*Inputs!$H53</f>
        <v>0</v>
      </c>
      <c r="S130" s="14">
        <f>S103*Inputs!$H53</f>
        <v>0</v>
      </c>
      <c r="T130" s="14">
        <f>T103*Inputs!$H53</f>
        <v>0</v>
      </c>
      <c r="U130" s="14">
        <f>U103*Inputs!$H53</f>
        <v>0</v>
      </c>
      <c r="V130" s="14">
        <f>V103*Inputs!$H53</f>
        <v>0</v>
      </c>
      <c r="W130" s="14">
        <f>W103*Inputs!$H53</f>
        <v>0</v>
      </c>
      <c r="X130" s="188">
        <f>X103*Inputs!$H53</f>
        <v>0</v>
      </c>
      <c r="Y130" s="159">
        <f>Y103*Inputs!$H53</f>
        <v>0</v>
      </c>
      <c r="Z130" s="159">
        <f>Z103*Inputs!$H53</f>
        <v>0</v>
      </c>
      <c r="AA130" s="159">
        <f>AA103*Inputs!$H53</f>
        <v>0</v>
      </c>
      <c r="AB130" s="159">
        <f>AB103*Inputs!$H53</f>
        <v>0</v>
      </c>
      <c r="AC130" s="159">
        <f>AC103*Inputs!$H53</f>
        <v>0</v>
      </c>
      <c r="AD130" s="159">
        <f>AD103*Inputs!$H53</f>
        <v>0</v>
      </c>
      <c r="AE130" s="159">
        <f>AE103*Inputs!$H53</f>
        <v>0</v>
      </c>
      <c r="AF130" s="159">
        <f>AF103*Inputs!$H53</f>
        <v>0</v>
      </c>
      <c r="AG130" s="159">
        <f>AG103*Inputs!$H53</f>
        <v>0</v>
      </c>
      <c r="AH130" s="188">
        <f>AH103*Inputs!$H53</f>
        <v>0</v>
      </c>
    </row>
    <row r="131" spans="1:35">
      <c r="A131" s="10" t="s">
        <v>121</v>
      </c>
      <c r="B131" s="35">
        <v>1</v>
      </c>
      <c r="C131" s="331">
        <f>Inputs!$H46*'Output -Jobs vs Yr'!C104</f>
        <v>636.36299999999994</v>
      </c>
      <c r="D131" s="331">
        <f>Inputs!$H46*'Output -Jobs vs Yr'!D104</f>
        <v>710.35632288479837</v>
      </c>
      <c r="E131" s="331">
        <f>Inputs!$H46*'Output -Jobs vs Yr'!E104</f>
        <v>775.23056721457999</v>
      </c>
      <c r="F131" s="331">
        <f>Inputs!$H46*'Output -Jobs vs Yr'!F104</f>
        <v>807.63202925634619</v>
      </c>
      <c r="G131" s="331">
        <f>Inputs!$H46*'Output -Jobs vs Yr'!G104</f>
        <v>862.24193914002478</v>
      </c>
      <c r="H131" s="287">
        <f>Inputs!$H46*'Output -Jobs vs Yr'!H104</f>
        <v>573.32633617758154</v>
      </c>
      <c r="I131" s="40">
        <f>Inputs!$H46*'Output -Jobs vs Yr'!I104</f>
        <v>688.91081164007448</v>
      </c>
      <c r="J131" s="40">
        <f>Inputs!$H46*'Output -Jobs vs Yr'!J104</f>
        <v>816.66959284107702</v>
      </c>
      <c r="K131" s="40">
        <f>Inputs!$H46*'Output -Jobs vs Yr'!K104</f>
        <v>889.13983518461134</v>
      </c>
      <c r="L131" s="40">
        <f>Inputs!$H46*'Output -Jobs vs Yr'!L104</f>
        <v>958.85357251323694</v>
      </c>
      <c r="M131" s="40">
        <f>Inputs!$H46*'Output -Jobs vs Yr'!M104</f>
        <v>1030.787732181039</v>
      </c>
      <c r="N131" s="178">
        <f>Inputs!$H46*'Output -Jobs vs Yr'!N104</f>
        <v>1100.3600625459126</v>
      </c>
      <c r="O131" s="40">
        <f>Inputs!$H46*'Output -Jobs vs Yr'!O104</f>
        <v>1116.044830137135</v>
      </c>
      <c r="P131" s="40">
        <f>Inputs!$H46*'Output -Jobs vs Yr'!P104</f>
        <v>1112.9783150697497</v>
      </c>
      <c r="Q131" s="40">
        <f>Inputs!$H46*'Output -Jobs vs Yr'!Q104</f>
        <v>1122.7929873943167</v>
      </c>
      <c r="R131" s="40">
        <f>Inputs!$H46*'Output -Jobs vs Yr'!R104</f>
        <v>1130.6054672616365</v>
      </c>
      <c r="S131" s="40">
        <f>Inputs!$H46*'Output -Jobs vs Yr'!S104</f>
        <v>1139.9731617531102</v>
      </c>
      <c r="T131" s="40">
        <f>Inputs!$H46*'Output -Jobs vs Yr'!T104</f>
        <v>1139.7618694032335</v>
      </c>
      <c r="U131" s="40">
        <f>Inputs!$H46*'Output -Jobs vs Yr'!U104</f>
        <v>1141.6315072078332</v>
      </c>
      <c r="V131" s="40">
        <f>Inputs!$H46*'Output -Jobs vs Yr'!V104</f>
        <v>1168.8758705642622</v>
      </c>
      <c r="W131" s="40">
        <f>Inputs!$H46*'Output -Jobs vs Yr'!W104</f>
        <v>1166.7307150499755</v>
      </c>
      <c r="X131" s="185">
        <f>Inputs!$H46*'Output -Jobs vs Yr'!X104</f>
        <v>1185.4959961853576</v>
      </c>
      <c r="Y131" s="272">
        <f>Inputs!$H46*'Output -Jobs vs Yr'!Y104</f>
        <v>1201.5216247324363</v>
      </c>
      <c r="Z131" s="272">
        <f>Inputs!$H46*'Output -Jobs vs Yr'!Z104</f>
        <v>1220.9661786527724</v>
      </c>
      <c r="AA131" s="272">
        <f>Inputs!$H46*'Output -Jobs vs Yr'!AA104</f>
        <v>1245.925102482584</v>
      </c>
      <c r="AB131" s="272">
        <f>Inputs!$H46*'Output -Jobs vs Yr'!AB104</f>
        <v>1266.3270011241686</v>
      </c>
      <c r="AC131" s="272">
        <f>Inputs!$H46*'Output -Jobs vs Yr'!AC104</f>
        <v>1271.4521000709485</v>
      </c>
      <c r="AD131" s="272">
        <f>Inputs!$H46*'Output -Jobs vs Yr'!AD104</f>
        <v>1292.1446675190566</v>
      </c>
      <c r="AE131" s="272">
        <f>Inputs!$H46*'Output -Jobs vs Yr'!AE104</f>
        <v>1312.110987905309</v>
      </c>
      <c r="AF131" s="272">
        <f>Inputs!$H46*'Output -Jobs vs Yr'!AF104</f>
        <v>1314.6796871362196</v>
      </c>
      <c r="AG131" s="272">
        <f>Inputs!$H46*'Output -Jobs vs Yr'!AG104</f>
        <v>1321.056466827235</v>
      </c>
      <c r="AH131" s="185">
        <f>Inputs!$H46*'Output -Jobs vs Yr'!AH104</f>
        <v>1320.4434149914425</v>
      </c>
    </row>
    <row r="132" spans="1:35">
      <c r="A132" s="10" t="s">
        <v>50</v>
      </c>
      <c r="B132" s="35">
        <v>1</v>
      </c>
      <c r="C132" s="332">
        <f>C105*Inputs!$H49</f>
        <v>0</v>
      </c>
      <c r="D132" s="332">
        <f>D105*Inputs!$H49</f>
        <v>0</v>
      </c>
      <c r="E132" s="332">
        <f>E105*Inputs!$H49</f>
        <v>2.2500000000000001E-6</v>
      </c>
      <c r="F132" s="332">
        <f>F105*Inputs!$H49</f>
        <v>2.2500000000000001E-6</v>
      </c>
      <c r="G132" s="332">
        <f>G105*Inputs!$H49</f>
        <v>2.2500000000000001E-6</v>
      </c>
      <c r="H132" s="403">
        <f>H105*Inputs!$H49</f>
        <v>2.2500000000000001E-6</v>
      </c>
      <c r="I132" s="14">
        <f>I105*Inputs!$H49</f>
        <v>2.5283765521840957E-6</v>
      </c>
      <c r="J132" s="14">
        <f>J105*Inputs!$H49</f>
        <v>2.8030010897357723E-6</v>
      </c>
      <c r="K132" s="14">
        <f>K105*Inputs!$H49</f>
        <v>2.8539415615170952E-6</v>
      </c>
      <c r="L132" s="14">
        <f>L105*Inputs!$H49</f>
        <v>2.8782295401021126E-6</v>
      </c>
      <c r="M132" s="14">
        <f>M105*Inputs!$H49</f>
        <v>2.8936133803507101E-6</v>
      </c>
      <c r="N132" s="183">
        <f>N105*Inputs!$H49</f>
        <v>2.8887117598130381E-6</v>
      </c>
      <c r="O132" s="14">
        <f>O105*Inputs!$H49</f>
        <v>2.9298880748511062E-6</v>
      </c>
      <c r="P132" s="14">
        <f>P105*Inputs!$H49</f>
        <v>2.9218377298428508E-6</v>
      </c>
      <c r="Q132" s="14">
        <f>Q105*Inputs!$H49</f>
        <v>2.9476036225971648E-6</v>
      </c>
      <c r="R132" s="14">
        <f>R105*Inputs!$H49</f>
        <v>2.9681132750592991E-6</v>
      </c>
      <c r="S132" s="14">
        <f>S105*Inputs!$H49</f>
        <v>2.992705742707793E-6</v>
      </c>
      <c r="T132" s="14">
        <f>T105*Inputs!$H49</f>
        <v>2.992151049097381E-6</v>
      </c>
      <c r="U132" s="14">
        <f>U105*Inputs!$H49</f>
        <v>2.9970593013109718E-6</v>
      </c>
      <c r="V132" s="14">
        <f>V105*Inputs!$H49</f>
        <v>3.0685823558957083E-6</v>
      </c>
      <c r="W132" s="14">
        <f>W105*Inputs!$H49</f>
        <v>3.0629508029416599E-6</v>
      </c>
      <c r="X132" s="188">
        <f>X105*Inputs!$H49</f>
        <v>3.1122142123810728E-6</v>
      </c>
      <c r="Y132" s="159">
        <f>Y105*Inputs!$H49</f>
        <v>3.1542853700121775E-6</v>
      </c>
      <c r="Z132" s="159">
        <f>Z105*Inputs!$H49</f>
        <v>3.2053320350865476E-6</v>
      </c>
      <c r="AA132" s="159">
        <f>AA105*Inputs!$H49</f>
        <v>3.2708552571968069E-6</v>
      </c>
      <c r="AB132" s="159">
        <f>AB105*Inputs!$H49</f>
        <v>3.3244151841102751E-6</v>
      </c>
      <c r="AC132" s="159">
        <f>AC105*Inputs!$H49</f>
        <v>3.337869810556381E-6</v>
      </c>
      <c r="AD132" s="159">
        <f>AD105*Inputs!$H49</f>
        <v>3.3921928135103166E-6</v>
      </c>
      <c r="AE132" s="159">
        <f>AE105*Inputs!$H49</f>
        <v>3.4446092419714832E-6</v>
      </c>
      <c r="AF132" s="159">
        <f>AF105*Inputs!$H49</f>
        <v>3.4513526997979933E-6</v>
      </c>
      <c r="AG132" s="159">
        <f>AG105*Inputs!$H49</f>
        <v>3.4680932914553753E-6</v>
      </c>
      <c r="AH132" s="188">
        <f>AH105*Inputs!$H49</f>
        <v>3.466483881856001E-6</v>
      </c>
    </row>
    <row r="133" spans="1:35">
      <c r="A133" s="10" t="s">
        <v>119</v>
      </c>
      <c r="B133" s="35">
        <v>1</v>
      </c>
      <c r="C133" s="332">
        <f>C106*Inputs!$H50</f>
        <v>0</v>
      </c>
      <c r="D133" s="332">
        <f>D106*Inputs!$H50</f>
        <v>0</v>
      </c>
      <c r="E133" s="332">
        <f>E106*Inputs!$H50</f>
        <v>0</v>
      </c>
      <c r="F133" s="332">
        <f>F106*Inputs!$H50</f>
        <v>0</v>
      </c>
      <c r="G133" s="332">
        <f>G106*Inputs!$H50</f>
        <v>0</v>
      </c>
      <c r="H133" s="403">
        <f>H106*Inputs!$H50</f>
        <v>0</v>
      </c>
      <c r="I133" s="14">
        <f>I106*Inputs!$H50</f>
        <v>0</v>
      </c>
      <c r="J133" s="14">
        <f>J106*Inputs!$H50</f>
        <v>0</v>
      </c>
      <c r="K133" s="14">
        <f>K106*Inputs!$H50</f>
        <v>0</v>
      </c>
      <c r="L133" s="14">
        <f>L106*Inputs!$H50</f>
        <v>0</v>
      </c>
      <c r="M133" s="14">
        <f>M106*Inputs!$H50</f>
        <v>0</v>
      </c>
      <c r="N133" s="183">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8">
        <f>X106*Inputs!$H50</f>
        <v>0</v>
      </c>
      <c r="Y133" s="159">
        <f>Y106*Inputs!$H50</f>
        <v>0</v>
      </c>
      <c r="Z133" s="159">
        <f>Z106*Inputs!$H50</f>
        <v>0</v>
      </c>
      <c r="AA133" s="159">
        <f>AA106*Inputs!$H50</f>
        <v>0</v>
      </c>
      <c r="AB133" s="159">
        <f>AB106*Inputs!$H50</f>
        <v>0</v>
      </c>
      <c r="AC133" s="159">
        <f>AC106*Inputs!$H50</f>
        <v>0</v>
      </c>
      <c r="AD133" s="159">
        <f>AD106*Inputs!$H50</f>
        <v>0</v>
      </c>
      <c r="AE133" s="159">
        <f>AE106*Inputs!$H50</f>
        <v>0</v>
      </c>
      <c r="AF133" s="159">
        <f>AF106*Inputs!$H50</f>
        <v>0</v>
      </c>
      <c r="AG133" s="159">
        <f>AG106*Inputs!$H50</f>
        <v>0</v>
      </c>
      <c r="AH133" s="188">
        <f>AH106*Inputs!$H50</f>
        <v>0</v>
      </c>
    </row>
    <row r="134" spans="1:35">
      <c r="A134" s="10" t="s">
        <v>51</v>
      </c>
      <c r="B134" s="35">
        <v>1</v>
      </c>
      <c r="C134" s="332">
        <f>C107*Inputs!$H52</f>
        <v>31.319999999999997</v>
      </c>
      <c r="D134" s="332">
        <f>D107*Inputs!$H52</f>
        <v>32.695356391588042</v>
      </c>
      <c r="E134" s="332">
        <f>E107*Inputs!$H52</f>
        <v>33.36827116880044</v>
      </c>
      <c r="F134" s="332">
        <f>F107*Inputs!$H52</f>
        <v>32.509429182139421</v>
      </c>
      <c r="G134" s="332">
        <f>G107*Inputs!$H52</f>
        <v>35.462657600935593</v>
      </c>
      <c r="H134" s="403">
        <f>H107*Inputs!$H52</f>
        <v>35.438768414204787</v>
      </c>
      <c r="I134" s="14">
        <f>I107*Inputs!$H52</f>
        <v>39.822885191744987</v>
      </c>
      <c r="J134" s="14">
        <f>J107*Inputs!$H52</f>
        <v>44.147803344986279</v>
      </c>
      <c r="K134" s="14">
        <f>K107*Inputs!$H52</f>
        <v>44.949594052271777</v>
      </c>
      <c r="L134" s="14">
        <f>L107*Inputs!$H52</f>
        <v>45.331593853812457</v>
      </c>
      <c r="M134" s="14">
        <f>M107*Inputs!$H52</f>
        <v>45.573347708255469</v>
      </c>
      <c r="N134" s="183">
        <f>N107*Inputs!$H52</f>
        <v>45.495611062006361</v>
      </c>
      <c r="O134" s="14">
        <f>O107*Inputs!$H52</f>
        <v>46.144115229157926</v>
      </c>
      <c r="P134" s="14">
        <f>P107*Inputs!$H52</f>
        <v>46.017326751849183</v>
      </c>
      <c r="Q134" s="14">
        <f>Q107*Inputs!$H52</f>
        <v>46.423125299050561</v>
      </c>
      <c r="R134" s="14">
        <f>R107*Inputs!$H52</f>
        <v>46.746140971439615</v>
      </c>
      <c r="S134" s="14">
        <f>S107*Inputs!$H52</f>
        <v>47.133458722817927</v>
      </c>
      <c r="T134" s="14">
        <f>T107*Inputs!$H52</f>
        <v>47.124722605525442</v>
      </c>
      <c r="U134" s="14">
        <f>U107*Inputs!$H52</f>
        <v>47.202024860741865</v>
      </c>
      <c r="V134" s="14">
        <f>V107*Inputs!$H52</f>
        <v>48.328473376174379</v>
      </c>
      <c r="W134" s="14">
        <f>W107*Inputs!$H52</f>
        <v>48.239779534706074</v>
      </c>
      <c r="X134" s="188">
        <f>X107*Inputs!$H52</f>
        <v>49.015650961763605</v>
      </c>
      <c r="Y134" s="159">
        <f>Y107*Inputs!$H52</f>
        <v>49.678248404381762</v>
      </c>
      <c r="Z134" s="159">
        <f>Z107*Inputs!$H52</f>
        <v>50.48220512050159</v>
      </c>
      <c r="AA134" s="159">
        <f>AA107*Inputs!$H52</f>
        <v>51.514159595894036</v>
      </c>
      <c r="AB134" s="159">
        <f>AB107*Inputs!$H52</f>
        <v>52.357698794669041</v>
      </c>
      <c r="AC134" s="159">
        <f>AC107*Inputs!$H52</f>
        <v>52.569601712880655</v>
      </c>
      <c r="AD134" s="159">
        <f>AD107*Inputs!$H52</f>
        <v>53.425158936863575</v>
      </c>
      <c r="AE134" s="159">
        <f>AE107*Inputs!$H52</f>
        <v>54.25068866804142</v>
      </c>
      <c r="AF134" s="159">
        <f>AF107*Inputs!$H52</f>
        <v>54.356894395714228</v>
      </c>
      <c r="AG134" s="159">
        <f>AG107*Inputs!$H52</f>
        <v>54.620549446933822</v>
      </c>
      <c r="AH134" s="188">
        <f>AH107*Inputs!$H52</f>
        <v>54.595202136692897</v>
      </c>
    </row>
    <row r="135" spans="1:35">
      <c r="A135" s="9" t="s">
        <v>347</v>
      </c>
      <c r="B135" s="35">
        <v>1</v>
      </c>
      <c r="C135" s="332">
        <f>C108*Inputs!$H54</f>
        <v>348.72417000000002</v>
      </c>
      <c r="D135" s="332">
        <f>D108*Inputs!$H54</f>
        <v>378.45037717416119</v>
      </c>
      <c r="E135" s="332">
        <f>E108*Inputs!$H54</f>
        <v>401.53105851437095</v>
      </c>
      <c r="F135" s="332">
        <f>F108*Inputs!$H54</f>
        <v>406.68424894797238</v>
      </c>
      <c r="G135" s="332">
        <f>G108*Inputs!$H54</f>
        <v>422.11280270739269</v>
      </c>
      <c r="H135" s="403">
        <f>H108*Inputs!$H54</f>
        <v>368.77762133803321</v>
      </c>
      <c r="I135" s="14">
        <f>I108*Inputs!$H54</f>
        <v>430.80549148092996</v>
      </c>
      <c r="J135" s="14">
        <f>J108*Inputs!$H54</f>
        <v>496.501058869384</v>
      </c>
      <c r="K135" s="14">
        <f>K108*Inputs!$H54</f>
        <v>525.5323131197564</v>
      </c>
      <c r="L135" s="14">
        <f>L108*Inputs!$H54</f>
        <v>550.98174532691235</v>
      </c>
      <c r="M135" s="14">
        <f>M108*Inputs!$H54</f>
        <v>575.85046799221561</v>
      </c>
      <c r="N135" s="183">
        <f>N108*Inputs!$H54</f>
        <v>597.627901844294</v>
      </c>
      <c r="O135" s="14">
        <f>O108*Inputs!$H54</f>
        <v>606.14661773150067</v>
      </c>
      <c r="P135" s="14">
        <f>P108*Inputs!$H54</f>
        <v>604.48113110755389</v>
      </c>
      <c r="Q135" s="14">
        <f>Q108*Inputs!$H54</f>
        <v>609.81167901479898</v>
      </c>
      <c r="R135" s="14">
        <f>R108*Inputs!$H54</f>
        <v>614.0547955275016</v>
      </c>
      <c r="S135" s="14">
        <f>S108*Inputs!$H54</f>
        <v>619.14258069402661</v>
      </c>
      <c r="T135" s="14">
        <f>T108*Inputs!$H54</f>
        <v>619.02782352677684</v>
      </c>
      <c r="U135" s="14">
        <f>U108*Inputs!$H54</f>
        <v>620.04326179685211</v>
      </c>
      <c r="V135" s="14">
        <f>V108*Inputs!$H54</f>
        <v>634.84022895696012</v>
      </c>
      <c r="W135" s="14">
        <f>W108*Inputs!$H54</f>
        <v>633.67515142209697</v>
      </c>
      <c r="X135" s="188">
        <f>X108*Inputs!$H54</f>
        <v>643.86695679034142</v>
      </c>
      <c r="Y135" s="159">
        <f>Y108*Inputs!$H54</f>
        <v>652.5708011866634</v>
      </c>
      <c r="Z135" s="159">
        <f>Z108*Inputs!$H54</f>
        <v>663.13153340264546</v>
      </c>
      <c r="AA135" s="159">
        <f>AA108*Inputs!$H54</f>
        <v>676.68723193117103</v>
      </c>
      <c r="AB135" s="159">
        <f>AB108*Inputs!$H54</f>
        <v>687.76791751203416</v>
      </c>
      <c r="AC135" s="159">
        <f>AC108*Inputs!$H54</f>
        <v>690.55146285738385</v>
      </c>
      <c r="AD135" s="159">
        <f>AD108*Inputs!$H54</f>
        <v>701.79001657149456</v>
      </c>
      <c r="AE135" s="159">
        <f>AE108*Inputs!$H54</f>
        <v>712.63413075388212</v>
      </c>
      <c r="AF135" s="159">
        <f>AF108*Inputs!$H54</f>
        <v>714.02924348478803</v>
      </c>
      <c r="AG135" s="159">
        <f>AG108*Inputs!$H54</f>
        <v>717.49260206802057</v>
      </c>
      <c r="AH135" s="188">
        <f>AH108*Inputs!$H54</f>
        <v>717.15964116293389</v>
      </c>
    </row>
    <row r="136" spans="1:35">
      <c r="A136" s="9" t="s">
        <v>348</v>
      </c>
      <c r="B136" s="35">
        <v>1</v>
      </c>
      <c r="C136" s="332">
        <f>C109*Inputs!$H55</f>
        <v>0</v>
      </c>
      <c r="D136" s="332">
        <f>D109*Inputs!$H55</f>
        <v>0</v>
      </c>
      <c r="E136" s="332">
        <f>E109*Inputs!$H55</f>
        <v>2.0700000000000003E-2</v>
      </c>
      <c r="F136" s="332">
        <f>F109*Inputs!$H55</f>
        <v>2.0700000000000003E-2</v>
      </c>
      <c r="G136" s="332">
        <f>G109*Inputs!$H55</f>
        <v>2.0700000000000003E-2</v>
      </c>
      <c r="H136" s="403">
        <f>H109*Inputs!$H55</f>
        <v>2.0700000000000003E-2</v>
      </c>
      <c r="I136" s="14">
        <f>I109*Inputs!$H55</f>
        <v>2.3261064280093675E-2</v>
      </c>
      <c r="J136" s="14">
        <f>J109*Inputs!$H55</f>
        <v>2.5787610025569105E-2</v>
      </c>
      <c r="K136" s="14">
        <f>K109*Inputs!$H55</f>
        <v>2.6256262365957274E-2</v>
      </c>
      <c r="L136" s="14">
        <f>L109*Inputs!$H55</f>
        <v>2.6479711768939432E-2</v>
      </c>
      <c r="M136" s="14">
        <f>M109*Inputs!$H55</f>
        <v>2.6621243099226533E-2</v>
      </c>
      <c r="N136" s="188">
        <f>N109*Inputs!$H55</f>
        <v>2.6576148190279945E-2</v>
      </c>
      <c r="O136" s="14">
        <f>O109*Inputs!$H55</f>
        <v>2.6954970288630167E-2</v>
      </c>
      <c r="P136" s="14">
        <f>P109*Inputs!$H55</f>
        <v>2.6880907114554219E-2</v>
      </c>
      <c r="Q136" s="14">
        <f>Q109*Inputs!$H55</f>
        <v>2.7117953327893914E-2</v>
      </c>
      <c r="R136" s="14">
        <f>R109*Inputs!$H55</f>
        <v>2.7306642130545546E-2</v>
      </c>
      <c r="S136" s="14">
        <f>S109*Inputs!$H55</f>
        <v>2.7532892832911687E-2</v>
      </c>
      <c r="T136" s="14">
        <f>T109*Inputs!$H55</f>
        <v>2.7527789651695899E-2</v>
      </c>
      <c r="U136" s="14">
        <f>U109*Inputs!$H55</f>
        <v>2.7572945572060931E-2</v>
      </c>
      <c r="V136" s="14">
        <f>V109*Inputs!$H55</f>
        <v>2.8230957674240512E-2</v>
      </c>
      <c r="W136" s="14">
        <f>W109*Inputs!$H55</f>
        <v>2.8179147387063265E-2</v>
      </c>
      <c r="X136" s="188">
        <f>X109*Inputs!$H55</f>
        <v>2.8632370753905869E-2</v>
      </c>
      <c r="Y136" s="159">
        <f>Y109*Inputs!$H55</f>
        <v>2.9019425404112037E-2</v>
      </c>
      <c r="Z136" s="159">
        <f>Z109*Inputs!$H55</f>
        <v>2.9489054722796237E-2</v>
      </c>
      <c r="AA136" s="159">
        <f>AA109*Inputs!$H55</f>
        <v>3.0091868366210622E-2</v>
      </c>
      <c r="AB136" s="159">
        <f>AB109*Inputs!$H55</f>
        <v>3.0584619693814531E-2</v>
      </c>
      <c r="AC136" s="159">
        <f>AC109*Inputs!$H55</f>
        <v>3.0708402257118701E-2</v>
      </c>
      <c r="AD136" s="159">
        <f>AD109*Inputs!$H55</f>
        <v>3.1208173884294907E-2</v>
      </c>
      <c r="AE136" s="159">
        <f>AE109*Inputs!$H55</f>
        <v>3.1690405026137639E-2</v>
      </c>
      <c r="AF136" s="159">
        <f>AF109*Inputs!$H55</f>
        <v>3.1752444838141533E-2</v>
      </c>
      <c r="AG136" s="159">
        <f>AG109*Inputs!$H55</f>
        <v>3.1906458281389459E-2</v>
      </c>
      <c r="AH136" s="188">
        <f>AH109*Inputs!$H55</f>
        <v>3.189165171307521E-2</v>
      </c>
    </row>
    <row r="137" spans="1:35">
      <c r="A137" s="9" t="s">
        <v>344</v>
      </c>
      <c r="B137" s="35">
        <v>1</v>
      </c>
      <c r="C137" s="332">
        <f>C110*Inputs!$H56</f>
        <v>2.16E-3</v>
      </c>
      <c r="D137" s="332">
        <f>D110*Inputs!$H56</f>
        <v>2.2548788254860429E-3</v>
      </c>
      <c r="E137" s="332">
        <f>E110*Inputs!$H56</f>
        <v>2.3013144994470224E-3</v>
      </c>
      <c r="F137" s="332">
        <f>F110*Inputs!$H56</f>
        <v>2.2421091265273189E-3</v>
      </c>
      <c r="G137" s="332">
        <f>G110*Inputs!$H56</f>
        <v>2.2385689870590402E-3</v>
      </c>
      <c r="H137" s="403">
        <f>H110*Inputs!$H56</f>
        <v>2.16E-3</v>
      </c>
      <c r="I137" s="14">
        <f>I110*Inputs!$H56</f>
        <v>2.4272414900967311E-3</v>
      </c>
      <c r="J137" s="14">
        <f>J110*Inputs!$H56</f>
        <v>2.6908810461463411E-3</v>
      </c>
      <c r="K137" s="14">
        <f>K110*Inputs!$H56</f>
        <v>2.7397838990564109E-3</v>
      </c>
      <c r="L137" s="14">
        <f>L110*Inputs!$H56</f>
        <v>2.7631003584980274E-3</v>
      </c>
      <c r="M137" s="14">
        <f>M110*Inputs!$H56</f>
        <v>2.7778688451366813E-3</v>
      </c>
      <c r="N137" s="188">
        <f>N110*Inputs!$H56</f>
        <v>2.7731632894205166E-3</v>
      </c>
      <c r="O137" s="14">
        <f>O110*Inputs!$H56</f>
        <v>2.8126925518570608E-3</v>
      </c>
      <c r="P137" s="14">
        <f>P110*Inputs!$H56</f>
        <v>2.8049642206491353E-3</v>
      </c>
      <c r="Q137" s="14">
        <f>Q110*Inputs!$H56</f>
        <v>2.8296994776932771E-3</v>
      </c>
      <c r="R137" s="14">
        <f>R110*Inputs!$H56</f>
        <v>2.8493887440569259E-3</v>
      </c>
      <c r="S137" s="14">
        <f>S110*Inputs!$H56</f>
        <v>2.8729975129994801E-3</v>
      </c>
      <c r="T137" s="14">
        <f>T110*Inputs!$H56</f>
        <v>2.8724650071334842E-3</v>
      </c>
      <c r="U137" s="14">
        <f>U110*Inputs!$H56</f>
        <v>2.8771769292585316E-3</v>
      </c>
      <c r="V137" s="14">
        <f>V110*Inputs!$H56</f>
        <v>2.945839061659879E-3</v>
      </c>
      <c r="W137" s="14">
        <f>W110*Inputs!$H56</f>
        <v>2.9404327708239921E-3</v>
      </c>
      <c r="X137" s="188">
        <f>X110*Inputs!$H56</f>
        <v>2.9877256438858302E-3</v>
      </c>
      <c r="Y137" s="159">
        <f>Y110*Inputs!$H56</f>
        <v>3.0281139552116908E-3</v>
      </c>
      <c r="Z137" s="159">
        <f>Z110*Inputs!$H56</f>
        <v>3.0771187536830853E-3</v>
      </c>
      <c r="AA137" s="159">
        <f>AA110*Inputs!$H56</f>
        <v>3.1400210469089344E-3</v>
      </c>
      <c r="AB137" s="159">
        <f>AB110*Inputs!$H56</f>
        <v>3.1914385767458637E-3</v>
      </c>
      <c r="AC137" s="159">
        <f>AC110*Inputs!$H56</f>
        <v>3.2043550181341252E-3</v>
      </c>
      <c r="AD137" s="159">
        <f>AD110*Inputs!$H56</f>
        <v>3.2565051009699041E-3</v>
      </c>
      <c r="AE137" s="159">
        <f>AE110*Inputs!$H56</f>
        <v>3.3068248722926243E-3</v>
      </c>
      <c r="AF137" s="159">
        <f>AF110*Inputs!$H56</f>
        <v>3.3132985918060739E-3</v>
      </c>
      <c r="AG137" s="159">
        <f>AG110*Inputs!$H56</f>
        <v>3.3293695597971604E-3</v>
      </c>
      <c r="AH137" s="188">
        <f>AH110*Inputs!$H56</f>
        <v>3.3278245265817609E-3</v>
      </c>
    </row>
    <row r="138" spans="1:35">
      <c r="A138" s="10" t="s">
        <v>120</v>
      </c>
      <c r="B138" s="35">
        <v>1</v>
      </c>
      <c r="C138" s="332">
        <f>C111*Inputs!$H56</f>
        <v>0</v>
      </c>
      <c r="D138" s="332">
        <f>D111*Inputs!$H56</f>
        <v>0</v>
      </c>
      <c r="E138" s="332">
        <f>E111*Inputs!$H56</f>
        <v>0</v>
      </c>
      <c r="F138" s="332">
        <f>F111*Inputs!$H56</f>
        <v>0</v>
      </c>
      <c r="G138" s="332">
        <f>G111*Inputs!$H56</f>
        <v>0</v>
      </c>
      <c r="H138" s="403">
        <f>H111*Inputs!$H56</f>
        <v>0</v>
      </c>
      <c r="I138" s="14">
        <f>I111*Inputs!$H56</f>
        <v>0</v>
      </c>
      <c r="J138" s="14">
        <f>J111*Inputs!$H56</f>
        <v>0</v>
      </c>
      <c r="K138" s="14">
        <f>K111*Inputs!$H56</f>
        <v>0</v>
      </c>
      <c r="L138" s="14">
        <f>L111*Inputs!$H56</f>
        <v>0</v>
      </c>
      <c r="M138" s="14">
        <f>M111*Inputs!$H56</f>
        <v>0</v>
      </c>
      <c r="N138" s="183">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8">
        <f>X111*Inputs!$H56</f>
        <v>0</v>
      </c>
      <c r="Y138" s="159">
        <f>Y111*Inputs!$H56</f>
        <v>0</v>
      </c>
      <c r="Z138" s="159">
        <f>Z111*Inputs!$H56</f>
        <v>0</v>
      </c>
      <c r="AA138" s="159">
        <f>AA111*Inputs!$H56</f>
        <v>0</v>
      </c>
      <c r="AB138" s="159">
        <f>AB111*Inputs!$H56</f>
        <v>0</v>
      </c>
      <c r="AC138" s="159">
        <f>AC111*Inputs!$H56</f>
        <v>0</v>
      </c>
      <c r="AD138" s="159">
        <f>AD111*Inputs!$H56</f>
        <v>0</v>
      </c>
      <c r="AE138" s="159">
        <f>AE111*Inputs!$H56</f>
        <v>0</v>
      </c>
      <c r="AF138" s="159">
        <f>AF111*Inputs!$H56</f>
        <v>0</v>
      </c>
      <c r="AG138" s="159">
        <f>AG111*Inputs!$H56</f>
        <v>0</v>
      </c>
      <c r="AH138" s="188">
        <f>AH111*Inputs!$H56</f>
        <v>0</v>
      </c>
    </row>
    <row r="139" spans="1:35">
      <c r="A139" s="10" t="s">
        <v>53</v>
      </c>
      <c r="B139" s="35">
        <v>1</v>
      </c>
      <c r="C139" s="332">
        <f>C112*Inputs!$H57</f>
        <v>45.747000000000007</v>
      </c>
      <c r="D139" s="332">
        <f>D112*Inputs!$H57</f>
        <v>76.347000000000008</v>
      </c>
      <c r="E139" s="332">
        <f>E112*Inputs!$H57</f>
        <v>89.338586598477463</v>
      </c>
      <c r="F139" s="332">
        <f>F112*Inputs!$H57</f>
        <v>133.1922372157716</v>
      </c>
      <c r="G139" s="332">
        <f>G112*Inputs!$H57</f>
        <v>221.21229367617954</v>
      </c>
      <c r="H139" s="403">
        <f>H112*Inputs!$H57</f>
        <v>224.49125511346708</v>
      </c>
      <c r="I139" s="14">
        <f>I112*Inputs!$H57</f>
        <v>554.93738347409044</v>
      </c>
      <c r="J139" s="14">
        <f>J112*Inputs!$H57</f>
        <v>778.07732703046997</v>
      </c>
      <c r="K139" s="14">
        <f>K112*Inputs!$H57</f>
        <v>778.05980945968201</v>
      </c>
      <c r="L139" s="14">
        <f>L112*Inputs!$H57</f>
        <v>777.81958312343988</v>
      </c>
      <c r="M139" s="14">
        <f>M112*Inputs!$H57</f>
        <v>813.3610348798876</v>
      </c>
      <c r="N139" s="183">
        <f>N112*Inputs!$H57</f>
        <v>998.87756388336197</v>
      </c>
      <c r="O139" s="14">
        <f>O112*Inputs!$H57</f>
        <v>1013.1157782414402</v>
      </c>
      <c r="P139" s="14">
        <f>P112*Inputs!$H57</f>
        <v>1010.3320775198467</v>
      </c>
      <c r="Q139" s="14">
        <f>Q112*Inputs!$H57</f>
        <v>1019.2415757064623</v>
      </c>
      <c r="R139" s="14">
        <f>R112*Inputs!$H57</f>
        <v>1026.3335368956939</v>
      </c>
      <c r="S139" s="14">
        <f>S112*Inputs!$H57</f>
        <v>1034.837280507759</v>
      </c>
      <c r="T139" s="14">
        <f>T112*Inputs!$H57</f>
        <v>1034.6454749389313</v>
      </c>
      <c r="U139" s="14">
        <f>U112*Inputs!$H57</f>
        <v>1036.3426823523682</v>
      </c>
      <c r="V139" s="14">
        <f>V112*Inputs!$H57</f>
        <v>1061.0743899318472</v>
      </c>
      <c r="W139" s="14">
        <f>W112*Inputs!$H57</f>
        <v>1059.1270748781692</v>
      </c>
      <c r="X139" s="188">
        <f>X112*Inputs!$H57</f>
        <v>1076.1616974022991</v>
      </c>
      <c r="Y139" s="159">
        <f>Y112*Inputs!$H57</f>
        <v>1090.7093362595008</v>
      </c>
      <c r="Z139" s="159">
        <f>Z112*Inputs!$H57</f>
        <v>1108.3605845298218</v>
      </c>
      <c r="AA139" s="159">
        <f>AA112*Inputs!$H57</f>
        <v>1131.0176309647768</v>
      </c>
      <c r="AB139" s="159">
        <f>AB112*Inputs!$H57</f>
        <v>1149.5379312804298</v>
      </c>
      <c r="AC139" s="159">
        <f>AC112*Inputs!$H57</f>
        <v>1154.1903596308157</v>
      </c>
      <c r="AD139" s="159">
        <f>AD112*Inputs!$H57</f>
        <v>1172.9745213489678</v>
      </c>
      <c r="AE139" s="159">
        <f>AE112*Inputs!$H57</f>
        <v>1191.0994153232093</v>
      </c>
      <c r="AF139" s="159">
        <f>AF112*Inputs!$H57</f>
        <v>1193.4312120845209</v>
      </c>
      <c r="AG139" s="159">
        <f>AG112*Inputs!$H57</f>
        <v>1199.2198828841908</v>
      </c>
      <c r="AH139" s="188">
        <f>AH112*Inputs!$H57</f>
        <v>1198.6633707522856</v>
      </c>
      <c r="AI139" s="31">
        <f>SUM(C139:X139)</f>
        <v>15862.672642829646</v>
      </c>
    </row>
    <row r="140" spans="1:35">
      <c r="A140" s="10" t="s">
        <v>383</v>
      </c>
      <c r="C140" s="332">
        <f t="shared" ref="C140:AH140" si="88">SUM(C127:C139)</f>
        <v>1630.7749799999999</v>
      </c>
      <c r="D140" s="332">
        <f t="shared" si="88"/>
        <v>1771.3261787484857</v>
      </c>
      <c r="E140" s="332">
        <f t="shared" si="88"/>
        <v>1864.3522536922833</v>
      </c>
      <c r="F140" s="332">
        <f t="shared" si="88"/>
        <v>1910.5788533287223</v>
      </c>
      <c r="G140" s="332">
        <f t="shared" si="88"/>
        <v>2051.1004882410371</v>
      </c>
      <c r="H140" s="403">
        <f t="shared" si="88"/>
        <v>1676.93219347477</v>
      </c>
      <c r="I140" s="14">
        <f t="shared" si="88"/>
        <v>2231.7285778946789</v>
      </c>
      <c r="J140" s="14">
        <f t="shared" si="88"/>
        <v>2690.7444538230743</v>
      </c>
      <c r="K140" s="14">
        <f t="shared" si="88"/>
        <v>2784.8077581272528</v>
      </c>
      <c r="L140" s="14">
        <f t="shared" si="88"/>
        <v>2866.3975913807376</v>
      </c>
      <c r="M140" s="14">
        <f t="shared" si="88"/>
        <v>2983.4649508780976</v>
      </c>
      <c r="N140" s="183">
        <f t="shared" si="88"/>
        <v>3241.1367741944487</v>
      </c>
      <c r="O140" s="14">
        <f t="shared" si="88"/>
        <v>3286.8110903731372</v>
      </c>
      <c r="P140" s="14">
        <f t="shared" si="88"/>
        <v>3277.2339322769863</v>
      </c>
      <c r="Q140" s="14">
        <f t="shared" si="88"/>
        <v>3305.5610891747374</v>
      </c>
      <c r="R140" s="14">
        <f t="shared" si="88"/>
        <v>3327.9630840638629</v>
      </c>
      <c r="S140" s="14">
        <f t="shared" si="88"/>
        <v>3354.9123777419873</v>
      </c>
      <c r="T140" s="14">
        <f t="shared" si="88"/>
        <v>3353.6448879784739</v>
      </c>
      <c r="U140" s="14">
        <f t="shared" si="88"/>
        <v>3358.4786858058715</v>
      </c>
      <c r="V140" s="14">
        <f t="shared" si="88"/>
        <v>3437.9225864117566</v>
      </c>
      <c r="W140" s="14">
        <f t="shared" si="88"/>
        <v>3430.8898411136925</v>
      </c>
      <c r="X140" s="188">
        <f t="shared" si="88"/>
        <v>3485.3156371266823</v>
      </c>
      <c r="Y140" s="159">
        <f t="shared" si="88"/>
        <v>3527.0092380308433</v>
      </c>
      <c r="Z140" s="159">
        <f t="shared" si="88"/>
        <v>3578.6166053591069</v>
      </c>
      <c r="AA140" s="159">
        <f t="shared" si="88"/>
        <v>3646.2257133316066</v>
      </c>
      <c r="AB140" s="159">
        <f t="shared" si="88"/>
        <v>3700.3353718844423</v>
      </c>
      <c r="AC140" s="159">
        <f t="shared" si="88"/>
        <v>3709.7304300601686</v>
      </c>
      <c r="AD140" s="159">
        <f t="shared" si="88"/>
        <v>3764.4725141085014</v>
      </c>
      <c r="AE140" s="159">
        <f t="shared" si="88"/>
        <v>3816.9608759140056</v>
      </c>
      <c r="AF140" s="159">
        <f t="shared" si="88"/>
        <v>3818.7807761665163</v>
      </c>
      <c r="AG140" s="159">
        <f t="shared" si="88"/>
        <v>3831.6627682929675</v>
      </c>
      <c r="AH140" s="188">
        <f t="shared" si="88"/>
        <v>3824.2853503639863</v>
      </c>
      <c r="AI140" s="48" t="s">
        <v>0</v>
      </c>
    </row>
    <row r="141" spans="1:35">
      <c r="A141" s="10" t="s">
        <v>386</v>
      </c>
      <c r="C141" s="332">
        <f>SUM(C128:C130)</f>
        <v>568.61865</v>
      </c>
      <c r="D141" s="332">
        <f t="shared" ref="D141:AH141" si="89">SUM(D128:D130)</f>
        <v>573.47486741911268</v>
      </c>
      <c r="E141" s="332">
        <f t="shared" si="89"/>
        <v>564.86076663155507</v>
      </c>
      <c r="F141" s="332">
        <f t="shared" si="89"/>
        <v>530.53796436736604</v>
      </c>
      <c r="G141" s="332">
        <f t="shared" si="89"/>
        <v>510.0478542975174</v>
      </c>
      <c r="H141" s="403">
        <f t="shared" si="89"/>
        <v>474.8753501814831</v>
      </c>
      <c r="I141" s="14">
        <f t="shared" si="89"/>
        <v>517.22631527369208</v>
      </c>
      <c r="J141" s="14">
        <f t="shared" si="89"/>
        <v>555.32019044308413</v>
      </c>
      <c r="K141" s="14">
        <f t="shared" si="89"/>
        <v>547.0972074107251</v>
      </c>
      <c r="L141" s="14">
        <f t="shared" si="89"/>
        <v>533.38185087297938</v>
      </c>
      <c r="M141" s="14">
        <f t="shared" si="89"/>
        <v>517.86296611114267</v>
      </c>
      <c r="N141" s="188">
        <f t="shared" si="89"/>
        <v>498.74628265868222</v>
      </c>
      <c r="O141" s="14">
        <f t="shared" si="89"/>
        <v>505.329978441175</v>
      </c>
      <c r="P141" s="14">
        <f t="shared" si="89"/>
        <v>503.39539303481399</v>
      </c>
      <c r="Q141" s="14">
        <f t="shared" si="89"/>
        <v>507.26177115969921</v>
      </c>
      <c r="R141" s="14">
        <f t="shared" si="89"/>
        <v>510.19298440860325</v>
      </c>
      <c r="S141" s="14">
        <f t="shared" si="89"/>
        <v>513.79548718122192</v>
      </c>
      <c r="T141" s="14">
        <f t="shared" si="89"/>
        <v>513.05459425719721</v>
      </c>
      <c r="U141" s="14">
        <f t="shared" si="89"/>
        <v>513.22875646851537</v>
      </c>
      <c r="V141" s="14">
        <f t="shared" si="89"/>
        <v>524.77244371719416</v>
      </c>
      <c r="W141" s="14">
        <f t="shared" si="89"/>
        <v>523.08599758563628</v>
      </c>
      <c r="X141" s="188">
        <f t="shared" si="89"/>
        <v>530.74371257830876</v>
      </c>
      <c r="Y141" s="159">
        <f t="shared" si="89"/>
        <v>532.49717675421675</v>
      </c>
      <c r="Z141" s="159">
        <f t="shared" si="89"/>
        <v>535.64353427455728</v>
      </c>
      <c r="AA141" s="159">
        <f t="shared" si="89"/>
        <v>541.04835319691267</v>
      </c>
      <c r="AB141" s="159">
        <f t="shared" si="89"/>
        <v>544.31104379045496</v>
      </c>
      <c r="AC141" s="159">
        <f t="shared" si="89"/>
        <v>540.93298969299485</v>
      </c>
      <c r="AD141" s="159">
        <f t="shared" si="89"/>
        <v>544.10368166094054</v>
      </c>
      <c r="AE141" s="159">
        <f t="shared" si="89"/>
        <v>546.83065258905651</v>
      </c>
      <c r="AF141" s="159">
        <f t="shared" si="89"/>
        <v>542.2486698704904</v>
      </c>
      <c r="AG141" s="159">
        <f t="shared" si="89"/>
        <v>539.23802777065237</v>
      </c>
      <c r="AH141" s="188">
        <f t="shared" si="89"/>
        <v>533.38849837790815</v>
      </c>
      <c r="AI141" s="48"/>
    </row>
    <row r="142" spans="1:35">
      <c r="A142" s="10" t="s">
        <v>385</v>
      </c>
      <c r="C142" s="331">
        <f t="shared" ref="C142:AH142" si="90">SUMPRODUCT($B131:$B139,C131:C139)</f>
        <v>1062.15633</v>
      </c>
      <c r="D142" s="331">
        <f t="shared" si="90"/>
        <v>1197.8513113293729</v>
      </c>
      <c r="E142" s="331">
        <f t="shared" si="90"/>
        <v>1299.4914870607281</v>
      </c>
      <c r="F142" s="331">
        <f t="shared" si="90"/>
        <v>1380.0408889613561</v>
      </c>
      <c r="G142" s="331">
        <f t="shared" si="90"/>
        <v>1541.0526339435196</v>
      </c>
      <c r="H142" s="287">
        <f t="shared" si="90"/>
        <v>1202.0568432932866</v>
      </c>
      <c r="I142" s="40">
        <f t="shared" si="90"/>
        <v>1714.5022626209866</v>
      </c>
      <c r="J142" s="40">
        <f t="shared" si="90"/>
        <v>2135.42426337999</v>
      </c>
      <c r="K142" s="40">
        <f t="shared" si="90"/>
        <v>2237.7105507165279</v>
      </c>
      <c r="L142" s="40">
        <f t="shared" si="90"/>
        <v>2333.0157405077584</v>
      </c>
      <c r="M142" s="40">
        <f t="shared" si="90"/>
        <v>2465.6019847669554</v>
      </c>
      <c r="N142" s="178">
        <f t="shared" si="90"/>
        <v>2742.3904915357666</v>
      </c>
      <c r="O142" s="40">
        <f t="shared" si="90"/>
        <v>2781.4811119319625</v>
      </c>
      <c r="P142" s="40">
        <f t="shared" si="90"/>
        <v>2773.8385392421724</v>
      </c>
      <c r="Q142" s="40">
        <f t="shared" si="90"/>
        <v>2798.2993180150379</v>
      </c>
      <c r="R142" s="40">
        <f t="shared" si="90"/>
        <v>2817.7700996552594</v>
      </c>
      <c r="S142" s="40">
        <f t="shared" si="90"/>
        <v>2841.1168905607656</v>
      </c>
      <c r="T142" s="40">
        <f t="shared" si="90"/>
        <v>2840.5902937212768</v>
      </c>
      <c r="U142" s="40">
        <f t="shared" si="90"/>
        <v>2845.2499293373562</v>
      </c>
      <c r="V142" s="40">
        <f t="shared" si="90"/>
        <v>2913.150142694562</v>
      </c>
      <c r="W142" s="40">
        <f t="shared" si="90"/>
        <v>2907.8038435280564</v>
      </c>
      <c r="X142" s="185">
        <f t="shared" si="90"/>
        <v>2954.5719245483738</v>
      </c>
      <c r="Y142" s="272">
        <f t="shared" si="90"/>
        <v>2994.5120612766268</v>
      </c>
      <c r="Z142" s="272">
        <f t="shared" si="90"/>
        <v>3042.9730710845497</v>
      </c>
      <c r="AA142" s="272">
        <f t="shared" si="90"/>
        <v>3105.177360134694</v>
      </c>
      <c r="AB142" s="272">
        <f t="shared" si="90"/>
        <v>3156.0243280939876</v>
      </c>
      <c r="AC142" s="272">
        <f t="shared" si="90"/>
        <v>3168.7974403671737</v>
      </c>
      <c r="AD142" s="272">
        <f t="shared" si="90"/>
        <v>3220.3688324475606</v>
      </c>
      <c r="AE142" s="272">
        <f t="shared" si="90"/>
        <v>3270.1302233249498</v>
      </c>
      <c r="AF142" s="272">
        <f t="shared" si="90"/>
        <v>3276.5321062960256</v>
      </c>
      <c r="AG142" s="272">
        <f t="shared" si="90"/>
        <v>3292.424740522315</v>
      </c>
      <c r="AH142" s="185">
        <f t="shared" si="90"/>
        <v>3290.8968519860782</v>
      </c>
    </row>
    <row r="143" spans="1:35">
      <c r="A143" s="10" t="s">
        <v>142</v>
      </c>
      <c r="C143" s="332">
        <f>C116*Inputs!$H$60</f>
        <v>483.47352900000004</v>
      </c>
      <c r="D143" s="332">
        <f>D116*Inputs!$H$60</f>
        <v>7.2724031737330996</v>
      </c>
      <c r="E143" s="332">
        <f>E116*Inputs!$H$60</f>
        <v>7.545652522762599</v>
      </c>
      <c r="F143" s="332">
        <f>F116*Inputs!$H$60</f>
        <v>3.6242716755222779</v>
      </c>
      <c r="G143" s="332">
        <f>G116*Inputs!$H$60</f>
        <v>3.5316771300383087</v>
      </c>
      <c r="H143" s="403">
        <f>H116*Inputs!$H$60</f>
        <v>4.7716258413672321</v>
      </c>
      <c r="I143" s="14">
        <f>I116*Inputs!$H$60</f>
        <v>4.0645841883143952</v>
      </c>
      <c r="J143" s="14">
        <f>J116*Inputs!$H$60</f>
        <v>0.50182683911930204</v>
      </c>
      <c r="K143" s="14">
        <f>K116*Inputs!$H$60</f>
        <v>1.8552802790935337</v>
      </c>
      <c r="L143" s="14">
        <f>L116*Inputs!$H$60</f>
        <v>3.4031033209986252</v>
      </c>
      <c r="M143" s="14">
        <f>M116*Inputs!$H$60</f>
        <v>3.7756310458813762</v>
      </c>
      <c r="N143" s="183">
        <f>N116*Inputs!$H$60</f>
        <v>2.9183849486787072</v>
      </c>
      <c r="O143" s="14">
        <f>O116*Inputs!$H$60</f>
        <v>2.955573180441569</v>
      </c>
      <c r="P143" s="14">
        <f>P116*Inputs!$H$60</f>
        <v>2.9606081198176795</v>
      </c>
      <c r="Q143" s="14">
        <f>Q116*Inputs!$H$60</f>
        <v>2.9646987000757905</v>
      </c>
      <c r="R143" s="14">
        <f>R116*Inputs!$H$60</f>
        <v>2.9036037376222037</v>
      </c>
      <c r="S143" s="14">
        <f>S116*Inputs!$H$60</f>
        <v>2.8266282277073582</v>
      </c>
      <c r="T143" s="14">
        <f>T116*Inputs!$H$60</f>
        <v>2.7841291018861534</v>
      </c>
      <c r="U143" s="14">
        <f>U116*Inputs!$H$60</f>
        <v>4.2911984416393185</v>
      </c>
      <c r="V143" s="14">
        <f>V116*Inputs!$H$60</f>
        <v>4.5738007855271627</v>
      </c>
      <c r="W143" s="14">
        <f>W116*Inputs!$H$60</f>
        <v>4.5570857409793515</v>
      </c>
      <c r="X143" s="188">
        <f>X116*Inputs!$H$60</f>
        <v>4.3456941001646054</v>
      </c>
      <c r="Y143" s="159">
        <f>Y116*Inputs!$H$60</f>
        <v>4.2417671909213119</v>
      </c>
      <c r="Z143" s="159">
        <f>Z116*Inputs!$H$60</f>
        <v>3.6496673519824143</v>
      </c>
      <c r="AA143" s="159">
        <f>AA116*Inputs!$H$60</f>
        <v>3.4956503738409253</v>
      </c>
      <c r="AB143" s="159">
        <f>AB116*Inputs!$H$60</f>
        <v>3.3003567439911907</v>
      </c>
      <c r="AC143" s="159">
        <f>AC116*Inputs!$H$60</f>
        <v>3.2063505971774737</v>
      </c>
      <c r="AD143" s="159">
        <f>AD116*Inputs!$H$60</f>
        <v>3.6661641363262394</v>
      </c>
      <c r="AE143" s="159">
        <f>AE116*Inputs!$H$60</f>
        <v>3.6182598854831141</v>
      </c>
      <c r="AF143" s="159">
        <f>AF116*Inputs!$H$60</f>
        <v>3.6552118983304771</v>
      </c>
      <c r="AG143" s="159">
        <f>AG116*Inputs!$H$60</f>
        <v>3.6435900582709597</v>
      </c>
      <c r="AH143" s="188">
        <f>AH116*Inputs!$H$60</f>
        <v>3.6801741338406524</v>
      </c>
      <c r="AI143" s="48"/>
    </row>
    <row r="144" spans="1:35">
      <c r="A144" s="10" t="s">
        <v>222</v>
      </c>
      <c r="C144" s="332">
        <f>C117*Inputs!$H$61</f>
        <v>207.20294100000004</v>
      </c>
      <c r="D144" s="332">
        <f>D117*Inputs!$H$61</f>
        <v>699.98970318208023</v>
      </c>
      <c r="E144" s="332">
        <f>E117*Inputs!$H$61</f>
        <v>715.94693645369432</v>
      </c>
      <c r="F144" s="332">
        <f>F117*Inputs!$H$61</f>
        <v>651.77192306227892</v>
      </c>
      <c r="G144" s="332">
        <f>G117*Inputs!$H$61</f>
        <v>568.71998593030025</v>
      </c>
      <c r="H144" s="403">
        <f>H117*Inputs!$H$61</f>
        <v>802.55997467318355</v>
      </c>
      <c r="I144" s="14">
        <f>I117*Inputs!$H$61</f>
        <v>692.12548520607925</v>
      </c>
      <c r="J144" s="14">
        <f>J117*Inputs!$H$61</f>
        <v>646.56555602061746</v>
      </c>
      <c r="K144" s="14">
        <f>K117*Inputs!$H$61</f>
        <v>644.29842091258433</v>
      </c>
      <c r="L144" s="14">
        <f>L117*Inputs!$H$61</f>
        <v>624.55315474890415</v>
      </c>
      <c r="M144" s="14">
        <f>M117*Inputs!$H$61</f>
        <v>576.28806817792065</v>
      </c>
      <c r="N144" s="183">
        <f>N117*Inputs!$H$61</f>
        <v>421.79932743941964</v>
      </c>
      <c r="O144" s="14">
        <f>O117*Inputs!$H$61</f>
        <v>411.83762601295086</v>
      </c>
      <c r="P144" s="14">
        <f>P117*Inputs!$H$61</f>
        <v>394.41203223416733</v>
      </c>
      <c r="Q144" s="14">
        <f>Q117*Inputs!$H$61</f>
        <v>381.73908647337538</v>
      </c>
      <c r="R144" s="14">
        <f>R117*Inputs!$H$61</f>
        <v>368.53824821683617</v>
      </c>
      <c r="S144" s="14">
        <f>S117*Inputs!$H$61</f>
        <v>355.52879601838771</v>
      </c>
      <c r="T144" s="14">
        <f>T117*Inputs!$H$61</f>
        <v>339.31420360055745</v>
      </c>
      <c r="U144" s="14">
        <f>U117*Inputs!$H$61</f>
        <v>322.11295233473481</v>
      </c>
      <c r="V144" s="14">
        <f>V117*Inputs!$H$61</f>
        <v>313.96728102696665</v>
      </c>
      <c r="W144" s="14">
        <f>W117*Inputs!$H$61</f>
        <v>297.13561583650647</v>
      </c>
      <c r="X144" s="188">
        <f>X117*Inputs!$H$61</f>
        <v>286.38582127213016</v>
      </c>
      <c r="Y144" s="159">
        <f>Y117*Inputs!$H$61</f>
        <v>285.17628022787972</v>
      </c>
      <c r="Z144" s="159">
        <f>Z117*Inputs!$H$61</f>
        <v>285.30134775185519</v>
      </c>
      <c r="AA144" s="159">
        <f>AA117*Inputs!$H$61</f>
        <v>286.17588249165033</v>
      </c>
      <c r="AB144" s="159">
        <f>AB117*Inputs!$H$61</f>
        <v>285.71783752102084</v>
      </c>
      <c r="AC144" s="159">
        <f>AC117*Inputs!$H$61</f>
        <v>281.25074192758171</v>
      </c>
      <c r="AD144" s="159">
        <f>AD117*Inputs!$H$61</f>
        <v>279.84852610406028</v>
      </c>
      <c r="AE144" s="159">
        <f>AE117*Inputs!$H$61</f>
        <v>278.71043003686742</v>
      </c>
      <c r="AF144" s="159">
        <f>AF117*Inputs!$H$61</f>
        <v>273.19425707672906</v>
      </c>
      <c r="AG144" s="159">
        <f>AG117*Inputs!$H$61</f>
        <v>268.60780228764264</v>
      </c>
      <c r="AH144" s="188">
        <f>AH117*Inputs!$H$61</f>
        <v>262.35544670103235</v>
      </c>
      <c r="AI144" s="48"/>
    </row>
    <row r="145" spans="1:35">
      <c r="A145" s="10" t="s">
        <v>58</v>
      </c>
      <c r="C145" s="332">
        <f>SUM(C140,C143,C144)</f>
        <v>2321.45145</v>
      </c>
      <c r="D145" s="332">
        <f>SUM(D140,D143,D144)</f>
        <v>2478.5882851042993</v>
      </c>
      <c r="E145" s="332">
        <f t="shared" ref="E145:AH145" si="91">SUM(E140,E143,E144)</f>
        <v>2587.8448426687401</v>
      </c>
      <c r="F145" s="332">
        <f t="shared" si="91"/>
        <v>2565.9750480665234</v>
      </c>
      <c r="G145" s="332">
        <f t="shared" si="91"/>
        <v>2623.3521513013757</v>
      </c>
      <c r="H145" s="403">
        <f t="shared" si="91"/>
        <v>2484.2637939893207</v>
      </c>
      <c r="I145" s="14">
        <f t="shared" si="91"/>
        <v>2927.9186472890724</v>
      </c>
      <c r="J145" s="14">
        <f t="shared" si="91"/>
        <v>3337.8118366828107</v>
      </c>
      <c r="K145" s="14">
        <f t="shared" si="91"/>
        <v>3430.9614593189308</v>
      </c>
      <c r="L145" s="14">
        <f t="shared" si="91"/>
        <v>3494.3538494506402</v>
      </c>
      <c r="M145" s="14">
        <f t="shared" si="91"/>
        <v>3563.5286501018995</v>
      </c>
      <c r="N145" s="188">
        <f t="shared" si="91"/>
        <v>3665.854486582547</v>
      </c>
      <c r="O145" s="14">
        <f t="shared" si="91"/>
        <v>3701.6042895665296</v>
      </c>
      <c r="P145" s="14">
        <f t="shared" si="91"/>
        <v>3674.6065726309712</v>
      </c>
      <c r="Q145" s="14">
        <f t="shared" si="91"/>
        <v>3690.2648743481882</v>
      </c>
      <c r="R145" s="14">
        <f t="shared" si="91"/>
        <v>3699.4049360183212</v>
      </c>
      <c r="S145" s="14">
        <f t="shared" si="91"/>
        <v>3713.2678019880823</v>
      </c>
      <c r="T145" s="14">
        <f t="shared" si="91"/>
        <v>3695.7432206809176</v>
      </c>
      <c r="U145" s="14">
        <f t="shared" si="91"/>
        <v>3684.8828365822455</v>
      </c>
      <c r="V145" s="14">
        <f t="shared" si="91"/>
        <v>3756.4636682242503</v>
      </c>
      <c r="W145" s="14">
        <f t="shared" si="91"/>
        <v>3732.5825426911783</v>
      </c>
      <c r="X145" s="188">
        <f t="shared" si="91"/>
        <v>3776.0471524989771</v>
      </c>
      <c r="Y145" s="159">
        <f t="shared" si="91"/>
        <v>3816.4272854496439</v>
      </c>
      <c r="Z145" s="159">
        <f t="shared" si="91"/>
        <v>3867.5676204629444</v>
      </c>
      <c r="AA145" s="159">
        <f t="shared" si="91"/>
        <v>3935.897246197098</v>
      </c>
      <c r="AB145" s="159">
        <f t="shared" si="91"/>
        <v>3989.3535661494548</v>
      </c>
      <c r="AC145" s="159">
        <f t="shared" si="91"/>
        <v>3994.1875225849276</v>
      </c>
      <c r="AD145" s="159">
        <f t="shared" si="91"/>
        <v>4047.9872043488876</v>
      </c>
      <c r="AE145" s="159">
        <f t="shared" si="91"/>
        <v>4099.2895658363559</v>
      </c>
      <c r="AF145" s="159">
        <f t="shared" si="91"/>
        <v>4095.6302451415759</v>
      </c>
      <c r="AG145" s="159">
        <f t="shared" si="91"/>
        <v>4103.9141606388812</v>
      </c>
      <c r="AH145" s="188">
        <f t="shared" si="91"/>
        <v>4090.3209711988593</v>
      </c>
      <c r="AI145" s="48"/>
    </row>
    <row r="146" spans="1:35" s="1" customFormat="1">
      <c r="A146" s="1" t="s">
        <v>335</v>
      </c>
      <c r="B146" s="13"/>
      <c r="C146" s="342">
        <f>C145-'Output - Jobs vs Yr (BAU)'!C73</f>
        <v>-44.596799999999803</v>
      </c>
      <c r="D146" s="342">
        <f>D145-'Output - Jobs vs Yr (BAU)'!D73</f>
        <v>14.53093510429926</v>
      </c>
      <c r="E146" s="342">
        <f>E145-'Output - Jobs vs Yr (BAU)'!E73</f>
        <v>36.466484120844143</v>
      </c>
      <c r="F146" s="342">
        <f>F145-'Output - Jobs vs Yr (BAU)'!F73</f>
        <v>78.753481700058273</v>
      </c>
      <c r="G146" s="342">
        <f>G145-'Output - Jobs vs Yr (BAU)'!G73</f>
        <v>194.56643853713331</v>
      </c>
      <c r="H146" s="406">
        <f>H145-'Output - Jobs vs Yr (BAU)'!H73</f>
        <v>-17.337728182315914</v>
      </c>
      <c r="I146" s="15">
        <f>I145-'Output - Jobs vs Yr (BAU)'!I73</f>
        <v>-12.713832197890042</v>
      </c>
      <c r="J146" s="15">
        <f>J145-'Output - Jobs vs Yr (BAU)'!J73</f>
        <v>-67.142732394875566</v>
      </c>
      <c r="K146" s="15">
        <f>K145-'Output - Jobs vs Yr (BAU)'!K73</f>
        <v>-28.934322363277715</v>
      </c>
      <c r="L146" s="15">
        <f>L145-'Output - Jobs vs Yr (BAU)'!L73</f>
        <v>10.634608810772988</v>
      </c>
      <c r="M146" s="15">
        <f>M145-'Output - Jobs vs Yr (BAU)'!M73</f>
        <v>59.804024480594762</v>
      </c>
      <c r="N146" s="183">
        <f>N145-'Output - Jobs vs Yr (BAU)'!N73</f>
        <v>160.93227427511965</v>
      </c>
      <c r="O146" s="15">
        <f>O145-'Output - Jobs vs Yr (BAU)'!O73</f>
        <v>138.63207078282312</v>
      </c>
      <c r="P146" s="15">
        <f>P145-'Output - Jobs vs Yr (BAU)'!P73</f>
        <v>138.01515799722119</v>
      </c>
      <c r="Q146" s="15">
        <f>Q145-'Output - Jobs vs Yr (BAU)'!Q73</f>
        <v>145.4153215736319</v>
      </c>
      <c r="R146" s="15">
        <f>R145-'Output - Jobs vs Yr (BAU)'!R73</f>
        <v>152.98549351450538</v>
      </c>
      <c r="S146" s="15">
        <f>S145-'Output - Jobs vs Yr (BAU)'!S73</f>
        <v>166.61458365341377</v>
      </c>
      <c r="T146" s="15">
        <f>T145-'Output - Jobs vs Yr (BAU)'!T73</f>
        <v>165.56792579677995</v>
      </c>
      <c r="U146" s="15">
        <f>U145-'Output - Jobs vs Yr (BAU)'!U73</f>
        <v>149.55364400712097</v>
      </c>
      <c r="V146" s="15">
        <f>V145-'Output - Jobs vs Yr (BAU)'!V73</f>
        <v>142.00530207665679</v>
      </c>
      <c r="W146" s="15">
        <f>W145-'Output - Jobs vs Yr (BAU)'!W73</f>
        <v>145.91335259479865</v>
      </c>
      <c r="X146" s="191">
        <f>X145-'Output - Jobs vs Yr (BAU)'!X73</f>
        <v>169.80001202731546</v>
      </c>
      <c r="Y146" s="131">
        <f>Y145-'Output - Jobs vs Yr (BAU)'!Y73</f>
        <v>182.74279762177594</v>
      </c>
      <c r="Z146" s="131">
        <f>Z145-'Output - Jobs vs Yr (BAU)'!Z73</f>
        <v>207.24760356305251</v>
      </c>
      <c r="AA146" s="131">
        <f>AA145-'Output - Jobs vs Yr (BAU)'!AA73</f>
        <v>224.40336815000364</v>
      </c>
      <c r="AB146" s="131">
        <f>AB145-'Output - Jobs vs Yr (BAU)'!AB73</f>
        <v>236.73814042982349</v>
      </c>
      <c r="AC146" s="131">
        <f>AC145-'Output - Jobs vs Yr (BAU)'!AC73</f>
        <v>240.79233863156423</v>
      </c>
      <c r="AD146" s="131">
        <f>AD145-'Output - Jobs vs Yr (BAU)'!AD73</f>
        <v>234.64933524830531</v>
      </c>
      <c r="AE146" s="131">
        <f>AE145-'Output - Jobs vs Yr (BAU)'!AE73</f>
        <v>225.29924023056401</v>
      </c>
      <c r="AF146" s="131">
        <f>AF145-'Output - Jobs vs Yr (BAU)'!AF73</f>
        <v>239.59881546907945</v>
      </c>
      <c r="AG146" s="131">
        <f>AG145-'Output - Jobs vs Yr (BAU)'!AG73</f>
        <v>241.3164103511217</v>
      </c>
      <c r="AH146" s="191">
        <f>AH145-'Output - Jobs vs Yr (BAU)'!AH73</f>
        <v>233.90712323025173</v>
      </c>
    </row>
    <row r="147" spans="1:35" s="1" customFormat="1">
      <c r="A147" s="11"/>
      <c r="B147" s="13"/>
      <c r="C147" s="329"/>
      <c r="D147" s="342"/>
      <c r="E147" s="342"/>
      <c r="F147" s="342"/>
      <c r="G147" s="342"/>
      <c r="H147" s="406"/>
      <c r="I147" s="15"/>
      <c r="J147" s="15"/>
      <c r="K147" s="15"/>
      <c r="L147" s="15"/>
      <c r="M147" s="15"/>
      <c r="N147" s="188" t="s">
        <v>0</v>
      </c>
      <c r="O147" s="15"/>
      <c r="P147" s="15"/>
      <c r="Q147" s="15"/>
      <c r="R147" s="15"/>
      <c r="S147" s="15"/>
      <c r="T147" s="15"/>
      <c r="U147" s="15"/>
      <c r="V147" s="15"/>
      <c r="W147" s="15"/>
      <c r="X147" s="191"/>
      <c r="Y147"/>
      <c r="Z147"/>
      <c r="AA147"/>
      <c r="AB147"/>
      <c r="AC147"/>
      <c r="AD147"/>
      <c r="AE147"/>
      <c r="AF147"/>
      <c r="AG147"/>
      <c r="AH147" s="281"/>
    </row>
    <row r="148" spans="1:35" hidden="1">
      <c r="A148" s="1" t="s">
        <v>199</v>
      </c>
    </row>
    <row r="149" spans="1:35" hidden="1">
      <c r="A149" s="20" t="s">
        <v>197</v>
      </c>
      <c r="C149" s="334">
        <f>'backup - EIA liq_fuelS_aeo2014'!E44</f>
        <v>7088.7783050537164</v>
      </c>
      <c r="D149" s="334">
        <f>'backup - EIA liq_fuelS_aeo2014'!F44</f>
        <v>7149.5953941345133</v>
      </c>
      <c r="E149" s="334">
        <f>'backup - EIA liq_fuelS_aeo2014'!G44</f>
        <v>6912.5827950000003</v>
      </c>
      <c r="F149" s="334">
        <f>'backup - EIA liq_fuelS_aeo2014'!H44</f>
        <v>6786.185485</v>
      </c>
      <c r="G149" s="334">
        <f>'backup - EIA liq_fuelS_aeo2014'!I44</f>
        <v>6929.6414350000005</v>
      </c>
      <c r="H149" s="407">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9">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1">
        <f>'backup - EIA liq_fuelS_aeo2014'!Z44</f>
        <v>6908.05278</v>
      </c>
    </row>
    <row r="150" spans="1:35" hidden="1">
      <c r="A150" s="20" t="s">
        <v>198</v>
      </c>
      <c r="C150" s="334">
        <f>'backup - EIA liq_fuelS_aeo2014'!E44</f>
        <v>7088.7783050537164</v>
      </c>
      <c r="D150" s="334">
        <f>'backup - EIA liq_fuelS_aeo2014'!F44</f>
        <v>7149.5953941345133</v>
      </c>
      <c r="E150" s="334">
        <f>'backup - EIA liq_fuelS_aeo2014'!G44</f>
        <v>6912.5827950000003</v>
      </c>
      <c r="F150" s="334">
        <f>'backup - EIA liq_fuelS_aeo2014'!H44</f>
        <v>6786.185485</v>
      </c>
      <c r="G150" s="334">
        <f>'backup - EIA liq_fuelS_aeo2014'!I44</f>
        <v>6929.6414350000005</v>
      </c>
      <c r="H150" s="407">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9">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1">
        <f>'backup - EIA liq_fuelS_aeo2014'!Z44</f>
        <v>6908.05278</v>
      </c>
    </row>
    <row r="151" spans="1:35" hidden="1">
      <c r="A151" s="20" t="s">
        <v>200</v>
      </c>
      <c r="C151" s="343">
        <f>'backup - EIA liq_fuelS_aeo2014'!E46</f>
        <v>273.77869168296451</v>
      </c>
      <c r="D151" s="343">
        <f>'backup - EIA liq_fuelS_aeo2014'!F46</f>
        <v>330.59007454663532</v>
      </c>
      <c r="E151" s="343">
        <f>'backup - EIA liq_fuelS_aeo2014'!G46</f>
        <v>346.41273999999999</v>
      </c>
      <c r="F151" s="343">
        <f>'backup - EIA liq_fuelS_aeo2014'!H46</f>
        <v>332.23648773503913</v>
      </c>
      <c r="G151" s="343">
        <f>'backup - EIA liq_fuelS_aeo2014'!I46</f>
        <v>336.63400877733272</v>
      </c>
      <c r="H151" s="408">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90">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2">
        <f>'backup - EIA liq_fuelS_aeo2014'!Z46</f>
        <v>459.60339229062083</v>
      </c>
    </row>
    <row r="152" spans="1:35" hidden="1">
      <c r="A152" s="20" t="s">
        <v>203</v>
      </c>
      <c r="C152" s="333">
        <f>C151/C149</f>
        <v>3.8621421054708789E-2</v>
      </c>
      <c r="D152" s="333">
        <f t="shared" ref="D152:X152" si="92">D151/D149</f>
        <v>4.62389906452398E-2</v>
      </c>
      <c r="E152" s="333">
        <f t="shared" si="92"/>
        <v>5.0113358533740347E-2</v>
      </c>
      <c r="F152" s="333">
        <f t="shared" si="92"/>
        <v>4.8957766991398283E-2</v>
      </c>
      <c r="G152" s="333">
        <f t="shared" si="92"/>
        <v>4.8578849560248959E-2</v>
      </c>
      <c r="H152" s="285">
        <f t="shared" si="92"/>
        <v>5.1284361693822764E-2</v>
      </c>
      <c r="I152" s="91">
        <f t="shared" si="92"/>
        <v>4.7576032869045513E-2</v>
      </c>
      <c r="J152" s="91">
        <f t="shared" si="92"/>
        <v>4.7305096007127082E-2</v>
      </c>
      <c r="K152" s="91">
        <f t="shared" si="92"/>
        <v>4.7990408149769591E-2</v>
      </c>
      <c r="L152" s="91">
        <f t="shared" si="92"/>
        <v>4.8486149400757073E-2</v>
      </c>
      <c r="M152" s="91">
        <f t="shared" si="92"/>
        <v>4.9368514215783074E-2</v>
      </c>
      <c r="N152" s="181">
        <f t="shared" si="92"/>
        <v>5.0830360119830421E-2</v>
      </c>
      <c r="O152" s="91">
        <f t="shared" si="92"/>
        <v>5.2227082464624618E-2</v>
      </c>
      <c r="P152" s="91">
        <f t="shared" si="92"/>
        <v>5.4509371249060634E-2</v>
      </c>
      <c r="Q152" s="91">
        <f t="shared" si="92"/>
        <v>5.6685779692733994E-2</v>
      </c>
      <c r="R152" s="91">
        <f t="shared" si="92"/>
        <v>5.8757749486676496E-2</v>
      </c>
      <c r="S152" s="91">
        <f t="shared" si="92"/>
        <v>6.059303768673973E-2</v>
      </c>
      <c r="T152" s="91">
        <f t="shared" si="92"/>
        <v>6.2328131729370434E-2</v>
      </c>
      <c r="U152" s="91">
        <f t="shared" si="92"/>
        <v>6.3760503080617439E-2</v>
      </c>
      <c r="V152" s="91">
        <f t="shared" si="92"/>
        <v>6.4904735244002754E-2</v>
      </c>
      <c r="W152" s="91">
        <f t="shared" si="92"/>
        <v>6.5845504400378327E-2</v>
      </c>
      <c r="X152" s="186">
        <f t="shared" si="92"/>
        <v>6.6531540352623195E-2</v>
      </c>
    </row>
    <row r="153" spans="1:35" hidden="1">
      <c r="A153" t="s">
        <v>201</v>
      </c>
      <c r="C153" s="343">
        <f>'backup - EIA liq_fuelS_aeo2014'!E46</f>
        <v>273.77869168296451</v>
      </c>
      <c r="D153" s="343">
        <f>'backup - EIA liq_fuelS_aeo2014'!F46</f>
        <v>330.59007454663532</v>
      </c>
      <c r="E153" s="343">
        <f>'backup - EIA liq_fuelS_aeo2014'!G46</f>
        <v>346.41273999999999</v>
      </c>
      <c r="F153" s="343">
        <f>'backup - EIA liq_fuelS_aeo2014'!H46</f>
        <v>332.23648773503913</v>
      </c>
      <c r="G153" s="343">
        <f>'backup - EIA liq_fuelS_aeo2014'!I46</f>
        <v>336.63400877733272</v>
      </c>
      <c r="H153" s="408">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90">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2">
        <f>'backup - EIA liq_fuelS_aeo2014'!Z46</f>
        <v>459.60339229062083</v>
      </c>
    </row>
    <row r="154" spans="1:35" hidden="1">
      <c r="A154" t="s">
        <v>204</v>
      </c>
      <c r="C154" s="333">
        <f>C153/C149</f>
        <v>3.8621421054708789E-2</v>
      </c>
      <c r="D154" s="333">
        <f t="shared" ref="D154:X154" si="93">D153/D149</f>
        <v>4.62389906452398E-2</v>
      </c>
      <c r="E154" s="333">
        <f t="shared" si="93"/>
        <v>5.0113358533740347E-2</v>
      </c>
      <c r="F154" s="333">
        <f t="shared" si="93"/>
        <v>4.8957766991398283E-2</v>
      </c>
      <c r="G154" s="333">
        <f t="shared" si="93"/>
        <v>4.8578849560248959E-2</v>
      </c>
      <c r="H154" s="285">
        <f t="shared" si="93"/>
        <v>5.1284361693822764E-2</v>
      </c>
      <c r="I154" s="91">
        <f t="shared" si="93"/>
        <v>4.7576032869045513E-2</v>
      </c>
      <c r="J154" s="91">
        <f t="shared" si="93"/>
        <v>4.7305096007127082E-2</v>
      </c>
      <c r="K154" s="91">
        <f t="shared" si="93"/>
        <v>4.7990408149769591E-2</v>
      </c>
      <c r="L154" s="91">
        <f t="shared" si="93"/>
        <v>4.8486149400757073E-2</v>
      </c>
      <c r="M154" s="91">
        <f t="shared" si="93"/>
        <v>4.9368514215783074E-2</v>
      </c>
      <c r="N154" s="181">
        <f t="shared" si="93"/>
        <v>5.0830360119830421E-2</v>
      </c>
      <c r="O154" s="91">
        <f t="shared" si="93"/>
        <v>5.2227082464624618E-2</v>
      </c>
      <c r="P154" s="91">
        <f t="shared" si="93"/>
        <v>5.4509371249060634E-2</v>
      </c>
      <c r="Q154" s="91">
        <f t="shared" si="93"/>
        <v>5.6685779692733994E-2</v>
      </c>
      <c r="R154" s="91">
        <f t="shared" si="93"/>
        <v>5.8757749486676496E-2</v>
      </c>
      <c r="S154" s="91">
        <f t="shared" si="93"/>
        <v>6.059303768673973E-2</v>
      </c>
      <c r="T154" s="91">
        <f t="shared" si="93"/>
        <v>6.2328131729370434E-2</v>
      </c>
      <c r="U154" s="91">
        <f t="shared" si="93"/>
        <v>6.3760503080617439E-2</v>
      </c>
      <c r="V154" s="91">
        <f t="shared" si="93"/>
        <v>6.4904735244002754E-2</v>
      </c>
      <c r="W154" s="91">
        <f t="shared" si="93"/>
        <v>6.5845504400378327E-2</v>
      </c>
      <c r="X154" s="186">
        <f t="shared" si="93"/>
        <v>6.6531540352623195E-2</v>
      </c>
    </row>
    <row r="155" spans="1:35" hidden="1">
      <c r="A155" s="1" t="s">
        <v>202</v>
      </c>
      <c r="C155" s="343">
        <f>MAX(C151,C153)</f>
        <v>273.77869168296451</v>
      </c>
      <c r="D155" s="343">
        <f t="shared" ref="D155:X155" si="94">MAX(D151,D153)</f>
        <v>330.59007454663532</v>
      </c>
      <c r="E155" s="343">
        <f t="shared" si="94"/>
        <v>346.41273999999999</v>
      </c>
      <c r="F155" s="343">
        <f t="shared" si="94"/>
        <v>332.23648773503913</v>
      </c>
      <c r="G155" s="343">
        <f t="shared" si="94"/>
        <v>336.63400877733272</v>
      </c>
      <c r="H155" s="408">
        <f t="shared" si="94"/>
        <v>352.19858305216189</v>
      </c>
      <c r="I155" s="52">
        <f t="shared" si="94"/>
        <v>332.67387741278202</v>
      </c>
      <c r="J155" s="52">
        <f t="shared" si="94"/>
        <v>334.25860074671806</v>
      </c>
      <c r="K155" s="52">
        <f t="shared" si="94"/>
        <v>341.17813427402433</v>
      </c>
      <c r="L155" s="52">
        <f t="shared" si="94"/>
        <v>345.58877710595249</v>
      </c>
      <c r="M155" s="52">
        <f t="shared" si="94"/>
        <v>352.0193896929872</v>
      </c>
      <c r="N155" s="190">
        <f t="shared" si="94"/>
        <v>362.16295876265764</v>
      </c>
      <c r="O155" s="52">
        <f t="shared" si="94"/>
        <v>371.28950968144909</v>
      </c>
      <c r="P155" s="52">
        <f t="shared" si="94"/>
        <v>386.73310267300621</v>
      </c>
      <c r="Q155" s="52">
        <f t="shared" si="94"/>
        <v>401.15959175664915</v>
      </c>
      <c r="R155" s="52">
        <f t="shared" si="94"/>
        <v>414.56272820760728</v>
      </c>
      <c r="S155" s="52">
        <f t="shared" si="94"/>
        <v>426.01426158540727</v>
      </c>
      <c r="T155" s="52">
        <f t="shared" si="94"/>
        <v>436.3142303161336</v>
      </c>
      <c r="U155" s="52">
        <f t="shared" si="94"/>
        <v>444.95490300330164</v>
      </c>
      <c r="V155" s="52">
        <f t="shared" si="94"/>
        <v>451.53307562319765</v>
      </c>
      <c r="W155" s="52">
        <f t="shared" si="94"/>
        <v>456.17321024350161</v>
      </c>
      <c r="X155" s="372">
        <f t="shared" si="94"/>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4">
        <f>C149-C150</f>
        <v>0</v>
      </c>
      <c r="D157" s="334">
        <f t="shared" ref="D157:X157" si="95">D149-D150</f>
        <v>0</v>
      </c>
      <c r="E157" s="334">
        <f t="shared" si="95"/>
        <v>0</v>
      </c>
      <c r="F157" s="334">
        <f t="shared" si="95"/>
        <v>0</v>
      </c>
      <c r="G157" s="334">
        <f t="shared" si="95"/>
        <v>0</v>
      </c>
      <c r="H157" s="407">
        <f t="shared" si="95"/>
        <v>0</v>
      </c>
      <c r="I157" s="16">
        <f t="shared" si="95"/>
        <v>0</v>
      </c>
      <c r="J157" s="16">
        <f t="shared" si="95"/>
        <v>0</v>
      </c>
      <c r="K157" s="16">
        <f t="shared" si="95"/>
        <v>0</v>
      </c>
      <c r="L157" s="16">
        <f t="shared" si="95"/>
        <v>0</v>
      </c>
      <c r="M157" s="16">
        <f t="shared" si="95"/>
        <v>0</v>
      </c>
      <c r="N157" s="189">
        <f t="shared" si="95"/>
        <v>0</v>
      </c>
      <c r="O157" s="16">
        <f t="shared" si="95"/>
        <v>0</v>
      </c>
      <c r="P157" s="16">
        <f t="shared" si="95"/>
        <v>0</v>
      </c>
      <c r="Q157" s="16">
        <f t="shared" si="95"/>
        <v>0</v>
      </c>
      <c r="R157" s="16">
        <f t="shared" si="95"/>
        <v>0</v>
      </c>
      <c r="S157" s="16">
        <f t="shared" si="95"/>
        <v>0</v>
      </c>
      <c r="T157" s="16">
        <f t="shared" si="95"/>
        <v>0</v>
      </c>
      <c r="U157" s="16">
        <f t="shared" si="95"/>
        <v>0</v>
      </c>
      <c r="V157" s="16">
        <f t="shared" si="95"/>
        <v>0</v>
      </c>
      <c r="W157" s="16">
        <f t="shared" si="95"/>
        <v>0</v>
      </c>
      <c r="X157" s="371">
        <f t="shared" si="95"/>
        <v>0</v>
      </c>
    </row>
    <row r="158" spans="1:35" hidden="1"/>
    <row r="159" spans="1:35" hidden="1">
      <c r="A159" s="1" t="s">
        <v>252</v>
      </c>
    </row>
    <row r="160" spans="1:35" hidden="1">
      <c r="A160" t="s">
        <v>285</v>
      </c>
      <c r="C160" s="331">
        <v>0</v>
      </c>
      <c r="D160" s="331">
        <v>0</v>
      </c>
      <c r="E160" s="331">
        <v>0</v>
      </c>
      <c r="F160" s="331">
        <v>0</v>
      </c>
      <c r="G160" s="331">
        <v>0</v>
      </c>
      <c r="H160" s="287">
        <v>0</v>
      </c>
      <c r="I160" s="83">
        <v>0</v>
      </c>
      <c r="J160" s="83">
        <v>0</v>
      </c>
      <c r="K160" s="83">
        <v>0</v>
      </c>
      <c r="L160" s="83">
        <v>0</v>
      </c>
      <c r="M160" s="83">
        <v>0</v>
      </c>
      <c r="N160" s="178">
        <v>0</v>
      </c>
      <c r="O160" s="83">
        <v>0</v>
      </c>
      <c r="P160" s="83">
        <v>0</v>
      </c>
      <c r="Q160" s="83">
        <v>0</v>
      </c>
      <c r="R160" s="83">
        <v>0</v>
      </c>
      <c r="S160" s="83">
        <v>0</v>
      </c>
      <c r="T160" s="83">
        <v>0</v>
      </c>
      <c r="U160" s="83">
        <v>0</v>
      </c>
      <c r="V160" s="83">
        <v>0</v>
      </c>
      <c r="W160" s="83">
        <v>0</v>
      </c>
      <c r="X160" s="185">
        <v>0</v>
      </c>
    </row>
    <row r="161" spans="1:35" hidden="1">
      <c r="A161" t="s">
        <v>286</v>
      </c>
      <c r="C161" s="331">
        <v>0</v>
      </c>
      <c r="D161" s="331">
        <v>0</v>
      </c>
      <c r="E161" s="331">
        <v>0</v>
      </c>
      <c r="F161" s="331">
        <v>0</v>
      </c>
      <c r="G161" s="331">
        <v>0</v>
      </c>
      <c r="H161" s="287">
        <v>0</v>
      </c>
      <c r="I161" s="83">
        <v>0</v>
      </c>
      <c r="J161" s="83">
        <v>0</v>
      </c>
      <c r="K161" s="83">
        <v>0</v>
      </c>
      <c r="L161" s="83">
        <v>0</v>
      </c>
      <c r="M161" s="83">
        <v>0</v>
      </c>
      <c r="N161" s="178">
        <v>0</v>
      </c>
      <c r="O161" s="83">
        <v>0</v>
      </c>
      <c r="P161" s="83">
        <v>0</v>
      </c>
      <c r="Q161" s="83">
        <v>0</v>
      </c>
      <c r="R161" s="83">
        <v>0</v>
      </c>
      <c r="S161" s="83">
        <v>0</v>
      </c>
      <c r="T161" s="83">
        <v>0</v>
      </c>
      <c r="U161" s="83">
        <v>0</v>
      </c>
      <c r="V161" s="83">
        <v>0</v>
      </c>
      <c r="W161" s="83">
        <v>0</v>
      </c>
      <c r="X161" s="185">
        <v>0</v>
      </c>
    </row>
    <row r="162" spans="1:35" hidden="1">
      <c r="A162" t="s">
        <v>287</v>
      </c>
      <c r="C162" s="331">
        <v>0</v>
      </c>
      <c r="D162" s="331">
        <v>0</v>
      </c>
      <c r="E162" s="331">
        <v>0</v>
      </c>
      <c r="F162" s="331">
        <v>0</v>
      </c>
      <c r="G162" s="331">
        <v>0</v>
      </c>
      <c r="H162" s="287">
        <v>0</v>
      </c>
      <c r="I162" s="83">
        <v>0</v>
      </c>
      <c r="J162" s="83">
        <v>0</v>
      </c>
      <c r="K162" s="83">
        <v>0</v>
      </c>
      <c r="L162" s="83">
        <v>0</v>
      </c>
      <c r="M162" s="83">
        <v>0</v>
      </c>
      <c r="N162" s="178">
        <v>0</v>
      </c>
      <c r="O162" s="83">
        <v>0</v>
      </c>
      <c r="P162" s="83">
        <v>0</v>
      </c>
      <c r="Q162" s="83">
        <v>0</v>
      </c>
      <c r="R162" s="83">
        <v>0</v>
      </c>
      <c r="S162" s="83">
        <v>0</v>
      </c>
      <c r="T162" s="83">
        <v>0</v>
      </c>
      <c r="U162" s="83">
        <v>0</v>
      </c>
      <c r="V162" s="83">
        <v>0</v>
      </c>
      <c r="W162" s="83">
        <v>0</v>
      </c>
      <c r="X162" s="185">
        <v>0</v>
      </c>
    </row>
    <row r="163" spans="1:35" hidden="1">
      <c r="A163" t="s">
        <v>288</v>
      </c>
      <c r="C163" s="331">
        <v>0</v>
      </c>
      <c r="D163" s="331">
        <v>0</v>
      </c>
      <c r="E163" s="331">
        <v>0</v>
      </c>
      <c r="F163" s="331">
        <v>0</v>
      </c>
      <c r="G163" s="331">
        <v>0</v>
      </c>
      <c r="H163" s="287">
        <v>0</v>
      </c>
      <c r="I163" s="83">
        <v>0</v>
      </c>
      <c r="J163" s="83">
        <v>0</v>
      </c>
      <c r="K163" s="83">
        <v>0</v>
      </c>
      <c r="L163" s="83">
        <v>0</v>
      </c>
      <c r="M163" s="83">
        <v>0</v>
      </c>
      <c r="N163" s="178">
        <v>0</v>
      </c>
      <c r="O163" s="83">
        <v>0</v>
      </c>
      <c r="P163" s="83">
        <v>0</v>
      </c>
      <c r="Q163" s="83">
        <v>0</v>
      </c>
      <c r="R163" s="83">
        <v>0</v>
      </c>
      <c r="S163" s="83">
        <v>0</v>
      </c>
      <c r="T163" s="83">
        <v>0</v>
      </c>
      <c r="U163" s="83">
        <v>0</v>
      </c>
      <c r="V163" s="83">
        <v>0</v>
      </c>
      <c r="W163" s="83">
        <v>0</v>
      </c>
      <c r="X163" s="185">
        <v>0</v>
      </c>
      <c r="AI163" s="79" t="s">
        <v>0</v>
      </c>
    </row>
    <row r="164" spans="1:35" hidden="1">
      <c r="A164" t="s">
        <v>289</v>
      </c>
      <c r="C164" s="331" t="e">
        <f>C157*#REF!</f>
        <v>#REF!</v>
      </c>
      <c r="D164" s="331" t="e">
        <f>D157*#REF!</f>
        <v>#REF!</v>
      </c>
      <c r="E164" s="331" t="e">
        <f>E157*#REF!</f>
        <v>#REF!</v>
      </c>
      <c r="F164" s="331" t="e">
        <f>F157*#REF!</f>
        <v>#REF!</v>
      </c>
      <c r="G164" s="331" t="e">
        <f>G157*#REF!</f>
        <v>#REF!</v>
      </c>
      <c r="H164" s="287" t="e">
        <f>H157*#REF!</f>
        <v>#REF!</v>
      </c>
      <c r="I164" s="83" t="e">
        <f>I157*#REF!</f>
        <v>#REF!</v>
      </c>
      <c r="J164" s="83" t="e">
        <f>J157*#REF!</f>
        <v>#REF!</v>
      </c>
      <c r="K164" s="83" t="e">
        <f>K157*#REF!</f>
        <v>#REF!</v>
      </c>
      <c r="L164" s="83" t="e">
        <f>L157*#REF!</f>
        <v>#REF!</v>
      </c>
      <c r="M164" s="83" t="e">
        <f>M157*#REF!</f>
        <v>#REF!</v>
      </c>
      <c r="N164" s="178"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5" t="e">
        <f>X157*#REF!</f>
        <v>#REF!</v>
      </c>
    </row>
    <row r="165" spans="1:35" hidden="1">
      <c r="A165" t="s">
        <v>290</v>
      </c>
      <c r="C165" s="331">
        <v>0</v>
      </c>
      <c r="D165" s="331">
        <v>0</v>
      </c>
      <c r="E165" s="331">
        <v>0</v>
      </c>
      <c r="F165" s="331">
        <v>0</v>
      </c>
      <c r="G165" s="331">
        <v>0</v>
      </c>
      <c r="H165" s="287">
        <v>0</v>
      </c>
      <c r="I165" s="83">
        <v>0</v>
      </c>
      <c r="J165" s="83">
        <v>0</v>
      </c>
      <c r="K165" s="83">
        <v>0</v>
      </c>
      <c r="L165" s="83">
        <v>0</v>
      </c>
      <c r="M165" s="83">
        <v>0</v>
      </c>
      <c r="N165" s="178">
        <v>0</v>
      </c>
      <c r="O165" s="83">
        <v>0</v>
      </c>
      <c r="P165" s="83">
        <v>0</v>
      </c>
      <c r="Q165" s="83">
        <v>0</v>
      </c>
      <c r="R165" s="83">
        <v>0</v>
      </c>
      <c r="S165" s="83">
        <v>0</v>
      </c>
      <c r="T165" s="83">
        <v>0</v>
      </c>
      <c r="U165" s="83">
        <v>0</v>
      </c>
      <c r="V165" s="83">
        <v>0</v>
      </c>
      <c r="W165" s="83">
        <v>0</v>
      </c>
      <c r="X165" s="185">
        <v>0</v>
      </c>
    </row>
    <row r="166" spans="1:35" hidden="1">
      <c r="A166" t="s">
        <v>254</v>
      </c>
      <c r="C166" s="331" t="e">
        <f>C162-C160+C164+C165</f>
        <v>#REF!</v>
      </c>
      <c r="D166" s="331">
        <v>0</v>
      </c>
      <c r="E166" s="331">
        <v>0</v>
      </c>
      <c r="F166" s="331">
        <v>0</v>
      </c>
      <c r="G166" s="331">
        <v>0</v>
      </c>
      <c r="H166" s="287">
        <v>0</v>
      </c>
      <c r="I166" s="83">
        <v>0</v>
      </c>
      <c r="J166" s="83">
        <v>0</v>
      </c>
      <c r="K166" s="83">
        <v>0</v>
      </c>
      <c r="L166" s="83">
        <v>0</v>
      </c>
      <c r="M166" s="83">
        <v>0</v>
      </c>
      <c r="N166" s="178">
        <v>0</v>
      </c>
      <c r="O166" s="83">
        <v>0</v>
      </c>
      <c r="P166" s="83">
        <v>0</v>
      </c>
      <c r="Q166" s="83">
        <v>0</v>
      </c>
      <c r="R166" s="83">
        <v>0</v>
      </c>
      <c r="S166" s="83">
        <v>0</v>
      </c>
      <c r="T166" s="83">
        <v>0</v>
      </c>
      <c r="U166" s="83">
        <v>0</v>
      </c>
      <c r="V166" s="83">
        <v>0</v>
      </c>
      <c r="W166" s="83">
        <v>0</v>
      </c>
      <c r="X166" s="185">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1">
        <v>0</v>
      </c>
      <c r="D169" s="331">
        <v>0</v>
      </c>
      <c r="E169" s="331">
        <v>0</v>
      </c>
      <c r="F169" s="331">
        <v>0</v>
      </c>
      <c r="G169" s="331">
        <v>0</v>
      </c>
      <c r="H169" s="287">
        <v>0</v>
      </c>
      <c r="I169" s="83">
        <v>0</v>
      </c>
      <c r="J169" s="83">
        <v>0</v>
      </c>
      <c r="K169" s="83">
        <v>0</v>
      </c>
      <c r="L169" s="83">
        <v>0</v>
      </c>
      <c r="M169" s="83">
        <v>0</v>
      </c>
      <c r="N169" s="178">
        <v>0</v>
      </c>
      <c r="O169" s="83">
        <v>0</v>
      </c>
      <c r="P169" s="83">
        <v>0</v>
      </c>
      <c r="Q169" s="83">
        <v>0</v>
      </c>
      <c r="R169" s="83">
        <v>0</v>
      </c>
      <c r="S169" s="83">
        <v>0</v>
      </c>
      <c r="T169" s="83">
        <v>0</v>
      </c>
      <c r="U169" s="83">
        <v>0</v>
      </c>
      <c r="V169" s="83">
        <v>0</v>
      </c>
      <c r="W169" s="83">
        <v>0</v>
      </c>
      <c r="X169" s="185">
        <v>0</v>
      </c>
    </row>
    <row r="170" spans="1:35" hidden="1">
      <c r="A170" s="55" t="s">
        <v>295</v>
      </c>
      <c r="C170" s="331">
        <v>0</v>
      </c>
      <c r="D170" s="331">
        <v>0</v>
      </c>
      <c r="E170" s="331">
        <v>0</v>
      </c>
      <c r="F170" s="331">
        <v>0</v>
      </c>
      <c r="G170" s="331">
        <v>0</v>
      </c>
      <c r="H170" s="287">
        <v>0</v>
      </c>
      <c r="I170" s="83">
        <v>0</v>
      </c>
      <c r="J170" s="83">
        <v>0</v>
      </c>
      <c r="K170" s="83">
        <v>0</v>
      </c>
      <c r="L170" s="83">
        <v>0</v>
      </c>
      <c r="M170" s="83">
        <v>0</v>
      </c>
      <c r="N170" s="178">
        <v>0</v>
      </c>
      <c r="O170" s="83">
        <v>0</v>
      </c>
      <c r="P170" s="83">
        <v>0</v>
      </c>
      <c r="Q170" s="83">
        <v>0</v>
      </c>
      <c r="R170" s="83">
        <v>0</v>
      </c>
      <c r="S170" s="83">
        <v>0</v>
      </c>
      <c r="T170" s="83">
        <v>0</v>
      </c>
      <c r="U170" s="83">
        <v>0</v>
      </c>
      <c r="V170" s="83">
        <v>0</v>
      </c>
      <c r="W170" s="83">
        <v>0</v>
      </c>
      <c r="X170" s="185">
        <v>0</v>
      </c>
    </row>
    <row r="171" spans="1:35" hidden="1">
      <c r="A171" s="55" t="s">
        <v>296</v>
      </c>
      <c r="C171" s="331">
        <v>0</v>
      </c>
      <c r="D171" s="331">
        <v>0</v>
      </c>
      <c r="E171" s="331">
        <v>0</v>
      </c>
      <c r="F171" s="331">
        <v>0</v>
      </c>
      <c r="G171" s="331">
        <v>0</v>
      </c>
      <c r="H171" s="287">
        <v>0</v>
      </c>
      <c r="I171" s="83">
        <v>0</v>
      </c>
      <c r="J171" s="83">
        <v>0</v>
      </c>
      <c r="K171" s="83">
        <v>0</v>
      </c>
      <c r="L171" s="83">
        <v>0</v>
      </c>
      <c r="M171" s="83">
        <v>0</v>
      </c>
      <c r="N171" s="178">
        <v>0</v>
      </c>
      <c r="O171" s="83">
        <v>0</v>
      </c>
      <c r="P171" s="83">
        <v>0</v>
      </c>
      <c r="Q171" s="83">
        <v>0</v>
      </c>
      <c r="R171" s="83">
        <v>0</v>
      </c>
      <c r="S171" s="83">
        <v>0</v>
      </c>
      <c r="T171" s="83">
        <v>0</v>
      </c>
      <c r="U171" s="83">
        <v>0</v>
      </c>
      <c r="V171" s="83">
        <v>0</v>
      </c>
      <c r="W171" s="83">
        <v>0</v>
      </c>
      <c r="X171" s="185">
        <v>0</v>
      </c>
    </row>
    <row r="172" spans="1:35" hidden="1">
      <c r="A172" s="55" t="s">
        <v>297</v>
      </c>
      <c r="C172" s="331">
        <v>0</v>
      </c>
      <c r="D172" s="331">
        <v>0</v>
      </c>
      <c r="E172" s="331">
        <v>0</v>
      </c>
      <c r="F172" s="331">
        <v>0</v>
      </c>
      <c r="G172" s="331">
        <v>0</v>
      </c>
      <c r="H172" s="287">
        <v>0</v>
      </c>
      <c r="I172" s="83">
        <v>0</v>
      </c>
      <c r="J172" s="83">
        <v>0</v>
      </c>
      <c r="K172" s="83">
        <v>0</v>
      </c>
      <c r="L172" s="83">
        <v>0</v>
      </c>
      <c r="M172" s="83">
        <v>0</v>
      </c>
      <c r="N172" s="178">
        <v>0</v>
      </c>
      <c r="O172" s="83">
        <v>0</v>
      </c>
      <c r="P172" s="83">
        <v>0</v>
      </c>
      <c r="Q172" s="83">
        <v>0</v>
      </c>
      <c r="R172" s="83">
        <v>0</v>
      </c>
      <c r="S172" s="83">
        <v>0</v>
      </c>
      <c r="T172" s="83">
        <v>0</v>
      </c>
      <c r="U172" s="83">
        <v>0</v>
      </c>
      <c r="V172" s="83">
        <v>0</v>
      </c>
      <c r="W172" s="83">
        <v>0</v>
      </c>
      <c r="X172" s="185">
        <v>0</v>
      </c>
    </row>
    <row r="173" spans="1:35" hidden="1">
      <c r="A173" s="55" t="s">
        <v>255</v>
      </c>
      <c r="C173" s="331" t="e">
        <f>'backup - Mass Transit'!BC34</f>
        <v>#REF!</v>
      </c>
      <c r="D173" s="331" t="e">
        <f>'backup - Mass Transit'!BD34</f>
        <v>#REF!</v>
      </c>
      <c r="E173" s="331" t="e">
        <f>'backup - Mass Transit'!BE34</f>
        <v>#REF!</v>
      </c>
      <c r="F173" s="331" t="e">
        <f>'backup - Mass Transit'!BF34</f>
        <v>#REF!</v>
      </c>
      <c r="G173" s="331" t="e">
        <f>'backup - Mass Transit'!BG34</f>
        <v>#REF!</v>
      </c>
      <c r="H173" s="287"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8"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5" t="e">
        <f>'backup - Mass Transit'!BX34</f>
        <v>#REF!</v>
      </c>
    </row>
    <row r="175" spans="1:35">
      <c r="A175" s="75" t="s">
        <v>256</v>
      </c>
      <c r="C175" s="329">
        <v>2009</v>
      </c>
      <c r="D175" s="329">
        <v>2010</v>
      </c>
      <c r="E175" s="329">
        <v>2011</v>
      </c>
      <c r="F175" s="329">
        <v>2012</v>
      </c>
      <c r="G175" s="329">
        <v>2013</v>
      </c>
      <c r="H175" s="401">
        <v>2014</v>
      </c>
      <c r="I175" s="13">
        <v>2015</v>
      </c>
      <c r="J175" s="13">
        <v>2016</v>
      </c>
      <c r="K175" s="13">
        <v>2017</v>
      </c>
      <c r="L175" s="13">
        <v>2018</v>
      </c>
      <c r="M175" s="13">
        <v>2019</v>
      </c>
      <c r="N175" s="177">
        <v>2020</v>
      </c>
      <c r="O175" s="13">
        <v>2021</v>
      </c>
      <c r="P175" s="13">
        <v>2022</v>
      </c>
      <c r="Q175" s="13">
        <v>2023</v>
      </c>
      <c r="R175" s="13">
        <v>2024</v>
      </c>
      <c r="S175" s="13">
        <v>2025</v>
      </c>
      <c r="T175" s="13">
        <v>2026</v>
      </c>
      <c r="U175" s="13">
        <v>2027</v>
      </c>
      <c r="V175" s="13">
        <v>2028</v>
      </c>
      <c r="W175" s="13">
        <v>2029</v>
      </c>
      <c r="X175" s="177">
        <v>2030</v>
      </c>
      <c r="Y175" s="13">
        <v>2031</v>
      </c>
      <c r="Z175" s="13">
        <v>2032</v>
      </c>
      <c r="AA175" s="13">
        <v>2033</v>
      </c>
      <c r="AB175" s="13">
        <v>2034</v>
      </c>
      <c r="AC175" s="13">
        <v>2035</v>
      </c>
      <c r="AD175" s="13">
        <v>2036</v>
      </c>
      <c r="AE175" s="13">
        <v>2037</v>
      </c>
      <c r="AF175" s="13">
        <v>2038</v>
      </c>
      <c r="AG175" s="13">
        <v>2039</v>
      </c>
      <c r="AH175" s="177">
        <v>2040</v>
      </c>
      <c r="AI175" s="1" t="s">
        <v>0</v>
      </c>
    </row>
    <row r="176" spans="1:35">
      <c r="A176" s="75" t="s">
        <v>299</v>
      </c>
      <c r="C176" s="335">
        <f>'Output - Jobs vs Yr (BAU)'!C55+'Output - Jobs vs Yr (BAU)'!C73</f>
        <v>4994.9907499999999</v>
      </c>
      <c r="D176" s="335">
        <f>'Output - Jobs vs Yr (BAU)'!D55+'Output - Jobs vs Yr (BAU)'!D73</f>
        <v>5201.8988499999996</v>
      </c>
      <c r="E176" s="335">
        <f>'Output - Jobs vs Yr (BAU)'!E55+'Output - Jobs vs Yr (BAU)'!E73</f>
        <v>5386.2432013788912</v>
      </c>
      <c r="F176" s="335">
        <f>'Output - Jobs vs Yr (BAU)'!F55+'Output - Jobs vs Yr (BAU)'!F73</f>
        <v>5250.8010845514254</v>
      </c>
      <c r="G176" s="335">
        <f>'Output - Jobs vs Yr (BAU)'!G55+'Output - Jobs vs Yr (BAU)'!G73</f>
        <v>5127.4365047245119</v>
      </c>
      <c r="H176" s="405">
        <f>'Output - Jobs vs Yr (BAU)'!H55+'Output - Jobs vs Yr (BAU)'!H73</f>
        <v>5281.1587690290098</v>
      </c>
      <c r="I176" s="19">
        <f>'Output - Jobs vs Yr (BAU)'!I55+'Output - Jobs vs Yr (BAU)'!I73</f>
        <v>6208.0019011391432</v>
      </c>
      <c r="J176" s="19">
        <f>'Output - Jobs vs Yr (BAU)'!J55+'Output - Jobs vs Yr (BAU)'!J73</f>
        <v>7188.2374236084488</v>
      </c>
      <c r="K176" s="19">
        <f>'Output - Jobs vs Yr (BAU)'!K55+'Output - Jobs vs Yr (BAU)'!K73</f>
        <v>7304.224427995774</v>
      </c>
      <c r="L176" s="19">
        <f>'Output - Jobs vs Yr (BAU)'!L55+'Output - Jobs vs Yr (BAU)'!L73</f>
        <v>7354.5183969063855</v>
      </c>
      <c r="M176" s="19">
        <f>'Output - Jobs vs Yr (BAU)'!M55+'Output - Jobs vs Yr (BAU)'!M73</f>
        <v>7396.7519874227546</v>
      </c>
      <c r="N176" s="183">
        <f>'Output - Jobs vs Yr (BAU)'!N55+'Output - Jobs vs Yr (BAU)'!N73</f>
        <v>7399.2802259823466</v>
      </c>
      <c r="O176" s="19">
        <f>'Output - Jobs vs Yr (BAU)'!O55+'Output - Jobs vs Yr (BAU)'!O73</f>
        <v>7521.8302396544914</v>
      </c>
      <c r="P176" s="19">
        <f>'Output - Jobs vs Yr (BAU)'!P55+'Output - Jobs vs Yr (BAU)'!P73</f>
        <v>7466.1374308934719</v>
      </c>
      <c r="Q176" s="19">
        <f>'Output - Jobs vs Yr (BAU)'!Q55+'Output - Jobs vs Yr (BAU)'!Q73</f>
        <v>7483.5712780796184</v>
      </c>
      <c r="R176" s="19">
        <f>'Output - Jobs vs Yr (BAU)'!R55+'Output - Jobs vs Yr (BAU)'!R73</f>
        <v>7486.8854897302772</v>
      </c>
      <c r="S176" s="19">
        <f>'Output - Jobs vs Yr (BAU)'!S55+'Output - Jobs vs Yr (BAU)'!S73</f>
        <v>7487.3790164843003</v>
      </c>
      <c r="T176" s="19">
        <f>'Output - Jobs vs Yr (BAU)'!T55+'Output - Jobs vs Yr (BAU)'!T73</f>
        <v>7452.5922891998462</v>
      </c>
      <c r="U176" s="19">
        <f>'Output - Jobs vs Yr (BAU)'!U55+'Output - Jobs vs Yr (BAU)'!U73</f>
        <v>7463.4727398808182</v>
      </c>
      <c r="V176" s="19">
        <f>'Output - Jobs vs Yr (BAU)'!V55+'Output - Jobs vs Yr (BAU)'!V73</f>
        <v>7630.5232174226967</v>
      </c>
      <c r="W176" s="19">
        <f>'Output - Jobs vs Yr (BAU)'!W55+'Output - Jobs vs Yr (BAU)'!W73</f>
        <v>7571.857179092357</v>
      </c>
      <c r="X176" s="183">
        <f>'Output - Jobs vs Yr (BAU)'!X55+'Output - Jobs vs Yr (BAU)'!X73</f>
        <v>7613.1884076623965</v>
      </c>
      <c r="Y176" s="207">
        <f>'Output - Jobs vs Yr (BAU)'!Y55+'Output - Jobs vs Yr (BAU)'!Y73</f>
        <v>7671.1116965254987</v>
      </c>
      <c r="Z176" s="207">
        <f>'Output - Jobs vs Yr (BAU)'!Z55+'Output - Jobs vs Yr (BAU)'!Z73</f>
        <v>7727.3422578997715</v>
      </c>
      <c r="AA176" s="207">
        <f>'Output - Jobs vs Yr (BAU)'!AA55+'Output - Jobs vs Yr (BAU)'!AA73</f>
        <v>7835.3759647660881</v>
      </c>
      <c r="AB176" s="207">
        <f>'Output - Jobs vs Yr (BAU)'!AB55+'Output - Jobs vs Yr (BAU)'!AB73</f>
        <v>7922.1881209636658</v>
      </c>
      <c r="AC176" s="207">
        <f>'Output - Jobs vs Yr (BAU)'!AC55+'Output - Jobs vs Yr (BAU)'!AC73</f>
        <v>7923.8342772348769</v>
      </c>
      <c r="AD176" s="207">
        <f>'Output - Jobs vs Yr (BAU)'!AD55+'Output - Jobs vs Yr (BAU)'!AD73</f>
        <v>8050.3799458790072</v>
      </c>
      <c r="AE176" s="207">
        <f>'Output - Jobs vs Yr (BAU)'!AE55+'Output - Jobs vs Yr (BAU)'!AE73</f>
        <v>8178.4240207233379</v>
      </c>
      <c r="AF176" s="207">
        <f>'Output - Jobs vs Yr (BAU)'!AF55+'Output - Jobs vs Yr (BAU)'!AF73</f>
        <v>8140.5107959752704</v>
      </c>
      <c r="AG176" s="207">
        <f>'Output - Jobs vs Yr (BAU)'!AG55+'Output - Jobs vs Yr (BAU)'!AG73</f>
        <v>8154.3730283852692</v>
      </c>
      <c r="AH176" s="183">
        <f>'Output - Jobs vs Yr (BAU)'!AH55+'Output - Jobs vs Yr (BAU)'!AH73</f>
        <v>8141.3181234892818</v>
      </c>
      <c r="AI176" s="1"/>
    </row>
    <row r="177" spans="1:35">
      <c r="A177" s="76" t="s">
        <v>300</v>
      </c>
      <c r="C177" s="335">
        <f>'Output - Jobs vs Yr (BAU)'!C55</f>
        <v>2628.9425000000001</v>
      </c>
      <c r="D177" s="335">
        <f>'Output - Jobs vs Yr (BAU)'!D55</f>
        <v>2737.8414999999995</v>
      </c>
      <c r="E177" s="335">
        <f>'Output - Jobs vs Yr (BAU)'!E55</f>
        <v>2834.8648428309953</v>
      </c>
      <c r="F177" s="335">
        <f>'Output - Jobs vs Yr (BAU)'!F55</f>
        <v>2763.5795181849608</v>
      </c>
      <c r="G177" s="335">
        <f>'Output - Jobs vs Yr (BAU)'!G55</f>
        <v>2698.6507919602691</v>
      </c>
      <c r="H177" s="405">
        <f>'Output - Jobs vs Yr (BAU)'!H55</f>
        <v>2779.5572468573732</v>
      </c>
      <c r="I177" s="19">
        <f>'Output - Jobs vs Yr (BAU)'!I55</f>
        <v>3267.3694216521803</v>
      </c>
      <c r="J177" s="19">
        <f>'Output - Jobs vs Yr (BAU)'!J55</f>
        <v>3783.2828545307621</v>
      </c>
      <c r="K177" s="19">
        <f>'Output - Jobs vs Yr (BAU)'!K55</f>
        <v>3844.3286463135651</v>
      </c>
      <c r="L177" s="19">
        <f>'Output - Jobs vs Yr (BAU)'!L55</f>
        <v>3870.7991562665188</v>
      </c>
      <c r="M177" s="19">
        <f>'Output - Jobs vs Yr (BAU)'!M55</f>
        <v>3893.0273618014494</v>
      </c>
      <c r="N177" s="183">
        <f>'Output - Jobs vs Yr (BAU)'!N55</f>
        <v>3894.3580136749192</v>
      </c>
      <c r="O177" s="19">
        <f>'Output - Jobs vs Yr (BAU)'!O55</f>
        <v>3958.8580208707849</v>
      </c>
      <c r="P177" s="19">
        <f>'Output - Jobs vs Yr (BAU)'!P55</f>
        <v>3929.5460162597219</v>
      </c>
      <c r="Q177" s="19">
        <f>'Output - Jobs vs Yr (BAU)'!Q55</f>
        <v>3938.7217253050626</v>
      </c>
      <c r="R177" s="19">
        <f>'Output - Jobs vs Yr (BAU)'!R55</f>
        <v>3940.4660472264618</v>
      </c>
      <c r="S177" s="19">
        <f>'Output - Jobs vs Yr (BAU)'!S55</f>
        <v>3940.7257981496318</v>
      </c>
      <c r="T177" s="19">
        <f>'Output - Jobs vs Yr (BAU)'!T55</f>
        <v>3922.4169943157085</v>
      </c>
      <c r="U177" s="19">
        <f>'Output - Jobs vs Yr (BAU)'!U55</f>
        <v>3928.1435473056936</v>
      </c>
      <c r="V177" s="19">
        <f>'Output - Jobs vs Yr (BAU)'!V55</f>
        <v>4016.0648512751036</v>
      </c>
      <c r="W177" s="19">
        <f>'Output - Jobs vs Yr (BAU)'!W55</f>
        <v>3985.1879889959773</v>
      </c>
      <c r="X177" s="183">
        <f>'Output - Jobs vs Yr (BAU)'!X55</f>
        <v>4006.9412671907348</v>
      </c>
      <c r="Y177" s="207">
        <f>'Output - Jobs vs Yr (BAU)'!Y55</f>
        <v>4037.4272086976307</v>
      </c>
      <c r="Z177" s="207">
        <f>'Output - Jobs vs Yr (BAU)'!Z55</f>
        <v>4067.0222409998796</v>
      </c>
      <c r="AA177" s="207">
        <f>'Output - Jobs vs Yr (BAU)'!AA55</f>
        <v>4123.8820867189934</v>
      </c>
      <c r="AB177" s="207">
        <f>'Output - Jobs vs Yr (BAU)'!AB55</f>
        <v>4169.5726952440345</v>
      </c>
      <c r="AC177" s="207">
        <f>'Output - Jobs vs Yr (BAU)'!AC55</f>
        <v>4170.439093281514</v>
      </c>
      <c r="AD177" s="207">
        <f>'Output - Jobs vs Yr (BAU)'!AD55</f>
        <v>4237.0420767784244</v>
      </c>
      <c r="AE177" s="207">
        <f>'Output - Jobs vs Yr (BAU)'!AE55</f>
        <v>4304.4336951175464</v>
      </c>
      <c r="AF177" s="207">
        <f>'Output - Jobs vs Yr (BAU)'!AF55</f>
        <v>4284.479366302774</v>
      </c>
      <c r="AG177" s="207">
        <f>'Output - Jobs vs Yr (BAU)'!AG55</f>
        <v>4291.7752780975097</v>
      </c>
      <c r="AH177" s="183">
        <f>'Output - Jobs vs Yr (BAU)'!AH55</f>
        <v>4284.9042755206747</v>
      </c>
      <c r="AI177" s="1"/>
    </row>
    <row r="178" spans="1:35">
      <c r="A178" s="76" t="s">
        <v>301</v>
      </c>
      <c r="C178" s="335">
        <f>'Output - Jobs vs Yr (BAU)'!C73</f>
        <v>2366.0482499999998</v>
      </c>
      <c r="D178" s="335">
        <f>'Output - Jobs vs Yr (BAU)'!D73</f>
        <v>2464.05735</v>
      </c>
      <c r="E178" s="335">
        <f>'Output - Jobs vs Yr (BAU)'!E73</f>
        <v>2551.3783585478959</v>
      </c>
      <c r="F178" s="335">
        <f>'Output - Jobs vs Yr (BAU)'!F73</f>
        <v>2487.2215663664651</v>
      </c>
      <c r="G178" s="335">
        <f>'Output - Jobs vs Yr (BAU)'!G73</f>
        <v>2428.7857127642424</v>
      </c>
      <c r="H178" s="405">
        <f>'Output - Jobs vs Yr (BAU)'!H73</f>
        <v>2501.6015221716366</v>
      </c>
      <c r="I178" s="19">
        <f>'Output - Jobs vs Yr (BAU)'!I73</f>
        <v>2940.6324794869624</v>
      </c>
      <c r="J178" s="19">
        <f>'Output - Jobs vs Yr (BAU)'!J73</f>
        <v>3404.9545690776863</v>
      </c>
      <c r="K178" s="19">
        <f>'Output - Jobs vs Yr (BAU)'!K73</f>
        <v>3459.8957816822085</v>
      </c>
      <c r="L178" s="19">
        <f>'Output - Jobs vs Yr (BAU)'!L73</f>
        <v>3483.7192406398672</v>
      </c>
      <c r="M178" s="19">
        <f>'Output - Jobs vs Yr (BAU)'!M73</f>
        <v>3503.7246256213048</v>
      </c>
      <c r="N178" s="183">
        <f>'Output - Jobs vs Yr (BAU)'!N73</f>
        <v>3504.9222123074273</v>
      </c>
      <c r="O178" s="19">
        <f>'Output - Jobs vs Yr (BAU)'!O73</f>
        <v>3562.9722187837065</v>
      </c>
      <c r="P178" s="19">
        <f>'Output - Jobs vs Yr (BAU)'!P73</f>
        <v>3536.59141463375</v>
      </c>
      <c r="Q178" s="19">
        <f>'Output - Jobs vs Yr (BAU)'!Q73</f>
        <v>3544.8495527745563</v>
      </c>
      <c r="R178" s="19">
        <f>'Output - Jobs vs Yr (BAU)'!R73</f>
        <v>3546.4194425038158</v>
      </c>
      <c r="S178" s="19">
        <f>'Output - Jobs vs Yr (BAU)'!S73</f>
        <v>3546.6532183346685</v>
      </c>
      <c r="T178" s="19">
        <f>'Output - Jobs vs Yr (BAU)'!T73</f>
        <v>3530.1752948841377</v>
      </c>
      <c r="U178" s="19">
        <f>'Output - Jobs vs Yr (BAU)'!U73</f>
        <v>3535.3291925751246</v>
      </c>
      <c r="V178" s="19">
        <f>'Output - Jobs vs Yr (BAU)'!V73</f>
        <v>3614.4583661475936</v>
      </c>
      <c r="W178" s="19">
        <f>'Output - Jobs vs Yr (BAU)'!W73</f>
        <v>3586.6691900963797</v>
      </c>
      <c r="X178" s="183">
        <f>'Output - Jobs vs Yr (BAU)'!X73</f>
        <v>3606.2471404716616</v>
      </c>
      <c r="Y178" s="207">
        <f>'Output - Jobs vs Yr (BAU)'!Y73</f>
        <v>3633.684487827868</v>
      </c>
      <c r="Z178" s="207">
        <f>'Output - Jobs vs Yr (BAU)'!Z73</f>
        <v>3660.3200168998919</v>
      </c>
      <c r="AA178" s="207">
        <f>'Output - Jobs vs Yr (BAU)'!AA73</f>
        <v>3711.4938780470943</v>
      </c>
      <c r="AB178" s="207">
        <f>'Output - Jobs vs Yr (BAU)'!AB73</f>
        <v>3752.6154257196313</v>
      </c>
      <c r="AC178" s="207">
        <f>'Output - Jobs vs Yr (BAU)'!AC73</f>
        <v>3753.3951839533634</v>
      </c>
      <c r="AD178" s="207">
        <f>'Output - Jobs vs Yr (BAU)'!AD73</f>
        <v>3813.3378691005823</v>
      </c>
      <c r="AE178" s="207">
        <f>'Output - Jobs vs Yr (BAU)'!AE73</f>
        <v>3873.9903256057919</v>
      </c>
      <c r="AF178" s="207">
        <f>'Output - Jobs vs Yr (BAU)'!AF73</f>
        <v>3856.0314296724964</v>
      </c>
      <c r="AG178" s="207">
        <f>'Output - Jobs vs Yr (BAU)'!AG73</f>
        <v>3862.5977502877595</v>
      </c>
      <c r="AH178" s="183">
        <f>'Output - Jobs vs Yr (BAU)'!AH73</f>
        <v>3856.4138479686076</v>
      </c>
      <c r="AI178" s="80" t="s">
        <v>0</v>
      </c>
    </row>
    <row r="179" spans="1:35">
      <c r="A179" s="75" t="s">
        <v>298</v>
      </c>
      <c r="C179" s="332">
        <f>SUM(C118,C145)</f>
        <v>4900.8422499999997</v>
      </c>
      <c r="D179" s="332">
        <f t="shared" ref="D179:AH179" si="96">SUM(D118,D145)+D249+D252</f>
        <v>5232.5755817311347</v>
      </c>
      <c r="E179" s="332">
        <f t="shared" si="96"/>
        <v>5463.2283208165763</v>
      </c>
      <c r="F179" s="332">
        <f t="shared" si="96"/>
        <v>5417.0587462111498</v>
      </c>
      <c r="G179" s="332">
        <f t="shared" si="96"/>
        <v>5538.1881858819297</v>
      </c>
      <c r="H179" s="403">
        <f>SUM(H118,H145)+H249+H252</f>
        <v>5244.5571984218986</v>
      </c>
      <c r="I179" s="14">
        <f t="shared" si="96"/>
        <v>6181.1619258382489</v>
      </c>
      <c r="J179" s="14">
        <f t="shared" si="96"/>
        <v>7046.4920289527454</v>
      </c>
      <c r="K179" s="14">
        <f t="shared" si="96"/>
        <v>7243.1412390877285</v>
      </c>
      <c r="L179" s="14">
        <f t="shared" si="96"/>
        <v>7376.9696214930682</v>
      </c>
      <c r="M179" s="14">
        <f t="shared" si="96"/>
        <v>7523.0053138080166</v>
      </c>
      <c r="N179" s="188">
        <f t="shared" si="96"/>
        <v>7739.0265235024999</v>
      </c>
      <c r="O179" s="14">
        <f t="shared" si="96"/>
        <v>7814.4983352921954</v>
      </c>
      <c r="P179" s="14">
        <f t="shared" si="96"/>
        <v>7757.5031540215259</v>
      </c>
      <c r="Q179" s="14">
        <f t="shared" si="96"/>
        <v>7790.5595721933241</v>
      </c>
      <c r="R179" s="14">
        <f t="shared" si="96"/>
        <v>7809.855260676004</v>
      </c>
      <c r="S179" s="14">
        <f t="shared" si="96"/>
        <v>7839.1213143356063</v>
      </c>
      <c r="T179" s="14">
        <f t="shared" si="96"/>
        <v>7802.1249759465209</v>
      </c>
      <c r="U179" s="14">
        <f t="shared" si="96"/>
        <v>7779.1974990593135</v>
      </c>
      <c r="V179" s="14">
        <f t="shared" si="96"/>
        <v>7930.3125976177307</v>
      </c>
      <c r="W179" s="14">
        <f t="shared" si="96"/>
        <v>7879.8968874081511</v>
      </c>
      <c r="X179" s="188">
        <f t="shared" si="96"/>
        <v>7971.6555146819583</v>
      </c>
      <c r="Y179" s="159">
        <f t="shared" si="96"/>
        <v>8056.9024676317422</v>
      </c>
      <c r="Z179" s="159">
        <f t="shared" si="96"/>
        <v>8164.8654039104877</v>
      </c>
      <c r="AA179" s="159">
        <f t="shared" si="96"/>
        <v>8309.1168447523523</v>
      </c>
      <c r="AB179" s="159">
        <f t="shared" si="96"/>
        <v>8421.9690829042065</v>
      </c>
      <c r="AC179" s="159">
        <f t="shared" si="96"/>
        <v>8432.1741038397104</v>
      </c>
      <c r="AD179" s="159">
        <f t="shared" si="96"/>
        <v>8545.7512170289156</v>
      </c>
      <c r="AE179" s="159">
        <f t="shared" si="96"/>
        <v>8654.0562093802073</v>
      </c>
      <c r="AF179" s="159">
        <f t="shared" si="96"/>
        <v>8646.3309777014638</v>
      </c>
      <c r="AG179" s="159">
        <f t="shared" si="96"/>
        <v>8663.8192459834099</v>
      </c>
      <c r="AH179" s="188">
        <f t="shared" si="96"/>
        <v>8635.1225125065539</v>
      </c>
    </row>
    <row r="180" spans="1:35">
      <c r="A180" s="76" t="s">
        <v>302</v>
      </c>
      <c r="C180" s="332">
        <f>C118</f>
        <v>2579.3908000000001</v>
      </c>
      <c r="D180" s="332">
        <f t="shared" ref="D180:AH180" si="97">D118+D250+D253</f>
        <v>2753.9872966268358</v>
      </c>
      <c r="E180" s="332">
        <f t="shared" si="97"/>
        <v>2875.3834781478363</v>
      </c>
      <c r="F180" s="332">
        <f t="shared" si="97"/>
        <v>2851.0836981446264</v>
      </c>
      <c r="G180" s="332">
        <f t="shared" si="97"/>
        <v>2914.836034580554</v>
      </c>
      <c r="H180" s="403">
        <f t="shared" si="97"/>
        <v>2760.293404432578</v>
      </c>
      <c r="I180" s="14">
        <f t="shared" si="97"/>
        <v>3253.243278549176</v>
      </c>
      <c r="J180" s="14">
        <f t="shared" si="97"/>
        <v>3708.6801922699351</v>
      </c>
      <c r="K180" s="14">
        <f t="shared" si="97"/>
        <v>3812.1797797687977</v>
      </c>
      <c r="L180" s="14">
        <f t="shared" si="97"/>
        <v>3882.6157720424285</v>
      </c>
      <c r="M180" s="14">
        <f t="shared" si="97"/>
        <v>3959.4766637061175</v>
      </c>
      <c r="N180" s="188">
        <f t="shared" si="97"/>
        <v>4073.1720369199529</v>
      </c>
      <c r="O180" s="14">
        <f t="shared" si="97"/>
        <v>4112.8940457256658</v>
      </c>
      <c r="P180" s="14">
        <f t="shared" si="97"/>
        <v>4082.8965813905543</v>
      </c>
      <c r="Q180" s="14">
        <f t="shared" si="97"/>
        <v>4100.2946978451364</v>
      </c>
      <c r="R180" s="14">
        <f t="shared" si="97"/>
        <v>4110.4503246576824</v>
      </c>
      <c r="S180" s="14">
        <f t="shared" si="97"/>
        <v>4125.853512347524</v>
      </c>
      <c r="T180" s="14">
        <f t="shared" si="97"/>
        <v>4106.3817552656037</v>
      </c>
      <c r="U180" s="14">
        <f t="shared" si="97"/>
        <v>4094.3146624770684</v>
      </c>
      <c r="V180" s="14">
        <f t="shared" si="97"/>
        <v>4173.8489293934808</v>
      </c>
      <c r="W180" s="14">
        <f t="shared" si="97"/>
        <v>4147.3143447169723</v>
      </c>
      <c r="X180" s="188">
        <f t="shared" si="97"/>
        <v>4195.6083621829812</v>
      </c>
      <c r="Y180" s="159">
        <f t="shared" si="97"/>
        <v>4240.4751821820983</v>
      </c>
      <c r="Z180" s="159">
        <f t="shared" si="97"/>
        <v>4297.2977834475432</v>
      </c>
      <c r="AA180" s="159">
        <f t="shared" si="97"/>
        <v>4373.2195985552535</v>
      </c>
      <c r="AB180" s="159">
        <f t="shared" si="97"/>
        <v>4432.6155167547513</v>
      </c>
      <c r="AC180" s="159">
        <f t="shared" si="97"/>
        <v>4437.9865812547823</v>
      </c>
      <c r="AD180" s="159">
        <f t="shared" si="97"/>
        <v>4497.7640126800288</v>
      </c>
      <c r="AE180" s="159">
        <f t="shared" si="97"/>
        <v>4554.7666435438505</v>
      </c>
      <c r="AF180" s="159">
        <f t="shared" si="97"/>
        <v>4550.7007325598879</v>
      </c>
      <c r="AG180" s="159">
        <f t="shared" si="97"/>
        <v>4559.9050853445278</v>
      </c>
      <c r="AH180" s="188">
        <f t="shared" si="97"/>
        <v>4544.8015413076946</v>
      </c>
    </row>
    <row r="181" spans="1:35">
      <c r="A181" s="76" t="s">
        <v>303</v>
      </c>
      <c r="C181" s="332">
        <f>C145</f>
        <v>2321.45145</v>
      </c>
      <c r="D181" s="332">
        <f t="shared" ref="D181:AH181" si="98">D145+D251+D254</f>
        <v>2478.5882851042993</v>
      </c>
      <c r="E181" s="332">
        <f t="shared" si="98"/>
        <v>2587.8448426687401</v>
      </c>
      <c r="F181" s="332">
        <f t="shared" si="98"/>
        <v>2565.9750480665234</v>
      </c>
      <c r="G181" s="332">
        <f t="shared" si="98"/>
        <v>2623.3521513013757</v>
      </c>
      <c r="H181" s="403">
        <f>H145+H251+H254</f>
        <v>2484.2637939893207</v>
      </c>
      <c r="I181" s="14">
        <f t="shared" si="98"/>
        <v>2927.9186472890724</v>
      </c>
      <c r="J181" s="14">
        <f t="shared" si="98"/>
        <v>3337.8118366828107</v>
      </c>
      <c r="K181" s="14">
        <f t="shared" si="98"/>
        <v>3430.9614593189308</v>
      </c>
      <c r="L181" s="14">
        <f t="shared" si="98"/>
        <v>3494.3538494506402</v>
      </c>
      <c r="M181" s="14">
        <f t="shared" si="98"/>
        <v>3563.5286501018995</v>
      </c>
      <c r="N181" s="188">
        <f t="shared" si="98"/>
        <v>3665.854486582547</v>
      </c>
      <c r="O181" s="14">
        <f t="shared" si="98"/>
        <v>3701.6042895665296</v>
      </c>
      <c r="P181" s="14">
        <f t="shared" si="98"/>
        <v>3674.6065726309712</v>
      </c>
      <c r="Q181" s="14">
        <f t="shared" si="98"/>
        <v>3690.2648743481882</v>
      </c>
      <c r="R181" s="14">
        <f t="shared" si="98"/>
        <v>3699.4049360183212</v>
      </c>
      <c r="S181" s="14">
        <f t="shared" si="98"/>
        <v>3713.2678019880823</v>
      </c>
      <c r="T181" s="14">
        <f t="shared" si="98"/>
        <v>3695.7432206809176</v>
      </c>
      <c r="U181" s="14">
        <f t="shared" si="98"/>
        <v>3684.8828365822455</v>
      </c>
      <c r="V181" s="14">
        <f t="shared" si="98"/>
        <v>3756.4636682242503</v>
      </c>
      <c r="W181" s="14">
        <f t="shared" si="98"/>
        <v>3732.5825426911783</v>
      </c>
      <c r="X181" s="188">
        <f t="shared" si="98"/>
        <v>3776.0471524989771</v>
      </c>
      <c r="Y181" s="159">
        <f t="shared" si="98"/>
        <v>3816.4272854496439</v>
      </c>
      <c r="Z181" s="159">
        <f t="shared" si="98"/>
        <v>3867.5676204629444</v>
      </c>
      <c r="AA181" s="159">
        <f t="shared" si="98"/>
        <v>3935.897246197098</v>
      </c>
      <c r="AB181" s="159">
        <f t="shared" si="98"/>
        <v>3989.3535661494548</v>
      </c>
      <c r="AC181" s="159">
        <f t="shared" si="98"/>
        <v>3994.1875225849276</v>
      </c>
      <c r="AD181" s="159">
        <f t="shared" si="98"/>
        <v>4047.9872043488876</v>
      </c>
      <c r="AE181" s="159">
        <f t="shared" si="98"/>
        <v>4099.2895658363559</v>
      </c>
      <c r="AF181" s="159">
        <f t="shared" si="98"/>
        <v>4095.6302451415759</v>
      </c>
      <c r="AG181" s="159">
        <f t="shared" si="98"/>
        <v>4103.9141606388812</v>
      </c>
      <c r="AH181" s="188">
        <f t="shared" si="98"/>
        <v>4090.3209711988593</v>
      </c>
      <c r="AI181" s="31" t="s">
        <v>0</v>
      </c>
    </row>
    <row r="182" spans="1:35" s="1" customFormat="1">
      <c r="A182" s="75" t="s">
        <v>304</v>
      </c>
      <c r="B182" s="13"/>
      <c r="C182" s="342" t="s">
        <v>0</v>
      </c>
      <c r="D182" s="342">
        <f t="shared" ref="D182:AH182" si="99">D179-D176</f>
        <v>30.676731731135078</v>
      </c>
      <c r="E182" s="342">
        <f t="shared" si="99"/>
        <v>76.985119437685171</v>
      </c>
      <c r="F182" s="342">
        <f t="shared" si="99"/>
        <v>166.25766165972436</v>
      </c>
      <c r="G182" s="342">
        <f t="shared" si="99"/>
        <v>410.75168115741781</v>
      </c>
      <c r="H182" s="406">
        <f>H179-H176</f>
        <v>-36.601570607111171</v>
      </c>
      <c r="I182" s="15">
        <f t="shared" si="99"/>
        <v>-26.839975300894366</v>
      </c>
      <c r="J182" s="15">
        <f t="shared" si="99"/>
        <v>-141.74539465570342</v>
      </c>
      <c r="K182" s="15">
        <f t="shared" si="99"/>
        <v>-61.083188908045486</v>
      </c>
      <c r="L182" s="15">
        <f t="shared" si="99"/>
        <v>22.451224586682656</v>
      </c>
      <c r="M182" s="15">
        <f t="shared" si="99"/>
        <v>126.25332638526197</v>
      </c>
      <c r="N182" s="191">
        <f t="shared" si="99"/>
        <v>339.74629752015335</v>
      </c>
      <c r="O182" s="15">
        <f t="shared" si="99"/>
        <v>292.66809563770403</v>
      </c>
      <c r="P182" s="15">
        <f t="shared" si="99"/>
        <v>291.36572312805401</v>
      </c>
      <c r="Q182" s="15">
        <f t="shared" si="99"/>
        <v>306.98829411370571</v>
      </c>
      <c r="R182" s="15">
        <f t="shared" si="99"/>
        <v>322.96977094572685</v>
      </c>
      <c r="S182" s="15">
        <f t="shared" si="99"/>
        <v>351.74229785130592</v>
      </c>
      <c r="T182" s="15">
        <f t="shared" si="99"/>
        <v>349.5326867466747</v>
      </c>
      <c r="U182" s="15">
        <f t="shared" si="99"/>
        <v>315.72475917849533</v>
      </c>
      <c r="V182" s="15">
        <f t="shared" si="99"/>
        <v>299.78938019503403</v>
      </c>
      <c r="W182" s="15">
        <f t="shared" si="99"/>
        <v>308.03970831579409</v>
      </c>
      <c r="X182" s="191">
        <f t="shared" si="99"/>
        <v>358.46710701956181</v>
      </c>
      <c r="Y182" s="131">
        <f t="shared" si="99"/>
        <v>385.79077110624348</v>
      </c>
      <c r="Z182" s="131">
        <f t="shared" si="99"/>
        <v>437.52314601071612</v>
      </c>
      <c r="AA182" s="131">
        <f t="shared" si="99"/>
        <v>473.74087998626419</v>
      </c>
      <c r="AB182" s="131">
        <f t="shared" si="99"/>
        <v>499.78096194054069</v>
      </c>
      <c r="AC182" s="131">
        <f t="shared" si="99"/>
        <v>508.33982660483343</v>
      </c>
      <c r="AD182" s="131">
        <f t="shared" si="99"/>
        <v>495.37127114990835</v>
      </c>
      <c r="AE182" s="131">
        <f t="shared" si="99"/>
        <v>475.6321886568694</v>
      </c>
      <c r="AF182" s="131">
        <f t="shared" si="99"/>
        <v>505.82018172619337</v>
      </c>
      <c r="AG182" s="131">
        <f t="shared" si="99"/>
        <v>509.44621759814072</v>
      </c>
      <c r="AH182" s="191">
        <f t="shared" si="99"/>
        <v>493.80438901727211</v>
      </c>
    </row>
    <row r="183" spans="1:35" s="20" customFormat="1">
      <c r="A183" s="20" t="s">
        <v>305</v>
      </c>
      <c r="B183" s="33"/>
      <c r="C183" s="335" t="s">
        <v>0</v>
      </c>
      <c r="D183" s="335">
        <f t="shared" ref="D183:AH183" si="100">D180-D177</f>
        <v>16.145796626836272</v>
      </c>
      <c r="E183" s="335">
        <f t="shared" si="100"/>
        <v>40.518635316841028</v>
      </c>
      <c r="F183" s="335">
        <f t="shared" si="100"/>
        <v>87.504179959665635</v>
      </c>
      <c r="G183" s="335">
        <f t="shared" si="100"/>
        <v>216.18524262028495</v>
      </c>
      <c r="H183" s="405">
        <f>H180-H177</f>
        <v>-19.263842424795257</v>
      </c>
      <c r="I183" s="19">
        <f t="shared" si="100"/>
        <v>-14.126143103004324</v>
      </c>
      <c r="J183" s="19">
        <f t="shared" si="100"/>
        <v>-74.602662260826946</v>
      </c>
      <c r="K183" s="19">
        <f t="shared" si="100"/>
        <v>-32.148866544767316</v>
      </c>
      <c r="L183" s="19">
        <f t="shared" si="100"/>
        <v>11.816615775909668</v>
      </c>
      <c r="M183" s="19">
        <f t="shared" si="100"/>
        <v>66.449301904668118</v>
      </c>
      <c r="N183" s="183">
        <f t="shared" si="100"/>
        <v>178.8140232450337</v>
      </c>
      <c r="O183" s="19">
        <f t="shared" si="100"/>
        <v>154.03602485488091</v>
      </c>
      <c r="P183" s="19">
        <f t="shared" si="100"/>
        <v>153.35056513083236</v>
      </c>
      <c r="Q183" s="19">
        <f t="shared" si="100"/>
        <v>161.57297254007381</v>
      </c>
      <c r="R183" s="19">
        <f t="shared" si="100"/>
        <v>169.98427743122056</v>
      </c>
      <c r="S183" s="19">
        <f t="shared" si="100"/>
        <v>185.12771419789215</v>
      </c>
      <c r="T183" s="19">
        <f t="shared" si="100"/>
        <v>183.96476094989521</v>
      </c>
      <c r="U183" s="19">
        <f t="shared" si="100"/>
        <v>166.17111517137482</v>
      </c>
      <c r="V183" s="19">
        <f t="shared" si="100"/>
        <v>157.78407811837724</v>
      </c>
      <c r="W183" s="19">
        <f t="shared" si="100"/>
        <v>162.12635572099498</v>
      </c>
      <c r="X183" s="183">
        <f t="shared" si="100"/>
        <v>188.66709499224635</v>
      </c>
      <c r="Y183" s="207">
        <f t="shared" si="100"/>
        <v>203.04797348446755</v>
      </c>
      <c r="Z183" s="207">
        <f t="shared" si="100"/>
        <v>230.27554244766361</v>
      </c>
      <c r="AA183" s="207">
        <f t="shared" si="100"/>
        <v>249.33751183626009</v>
      </c>
      <c r="AB183" s="207">
        <f t="shared" si="100"/>
        <v>263.04282151071675</v>
      </c>
      <c r="AC183" s="207">
        <f t="shared" si="100"/>
        <v>267.54748797326829</v>
      </c>
      <c r="AD183" s="207">
        <f t="shared" si="100"/>
        <v>260.72193590160441</v>
      </c>
      <c r="AE183" s="207">
        <f t="shared" si="100"/>
        <v>250.33294842630403</v>
      </c>
      <c r="AF183" s="207">
        <f t="shared" si="100"/>
        <v>266.22136625711391</v>
      </c>
      <c r="AG183" s="207">
        <f t="shared" si="100"/>
        <v>268.12980724701811</v>
      </c>
      <c r="AH183" s="183">
        <f t="shared" si="100"/>
        <v>259.89726578701993</v>
      </c>
    </row>
    <row r="184" spans="1:35" s="20" customFormat="1">
      <c r="A184" s="20" t="s">
        <v>306</v>
      </c>
      <c r="B184" s="33"/>
      <c r="C184" s="335" t="s">
        <v>0</v>
      </c>
      <c r="D184" s="335">
        <f t="shared" ref="D184:AH184" si="101">D181-D178</f>
        <v>14.53093510429926</v>
      </c>
      <c r="E184" s="335">
        <f t="shared" si="101"/>
        <v>36.466484120844143</v>
      </c>
      <c r="F184" s="335">
        <f t="shared" si="101"/>
        <v>78.753481700058273</v>
      </c>
      <c r="G184" s="335">
        <f t="shared" si="101"/>
        <v>194.56643853713331</v>
      </c>
      <c r="H184" s="405">
        <f t="shared" si="101"/>
        <v>-17.337728182315914</v>
      </c>
      <c r="I184" s="19">
        <f t="shared" si="101"/>
        <v>-12.713832197890042</v>
      </c>
      <c r="J184" s="19">
        <f t="shared" si="101"/>
        <v>-67.142732394875566</v>
      </c>
      <c r="K184" s="19">
        <f t="shared" si="101"/>
        <v>-28.934322363277715</v>
      </c>
      <c r="L184" s="19">
        <f t="shared" si="101"/>
        <v>10.634608810772988</v>
      </c>
      <c r="M184" s="19">
        <f t="shared" si="101"/>
        <v>59.804024480594762</v>
      </c>
      <c r="N184" s="183">
        <f t="shared" si="101"/>
        <v>160.93227427511965</v>
      </c>
      <c r="O184" s="19">
        <f t="shared" si="101"/>
        <v>138.63207078282312</v>
      </c>
      <c r="P184" s="19">
        <f t="shared" si="101"/>
        <v>138.01515799722119</v>
      </c>
      <c r="Q184" s="19">
        <f t="shared" si="101"/>
        <v>145.4153215736319</v>
      </c>
      <c r="R184" s="19">
        <f t="shared" si="101"/>
        <v>152.98549351450538</v>
      </c>
      <c r="S184" s="19">
        <f t="shared" si="101"/>
        <v>166.61458365341377</v>
      </c>
      <c r="T184" s="19">
        <f t="shared" si="101"/>
        <v>165.56792579677995</v>
      </c>
      <c r="U184" s="19">
        <f t="shared" si="101"/>
        <v>149.55364400712097</v>
      </c>
      <c r="V184" s="19">
        <f t="shared" si="101"/>
        <v>142.00530207665679</v>
      </c>
      <c r="W184" s="19">
        <f t="shared" si="101"/>
        <v>145.91335259479865</v>
      </c>
      <c r="X184" s="183">
        <f t="shared" si="101"/>
        <v>169.80001202731546</v>
      </c>
      <c r="Y184" s="207">
        <f t="shared" si="101"/>
        <v>182.74279762177594</v>
      </c>
      <c r="Z184" s="207">
        <f t="shared" si="101"/>
        <v>207.24760356305251</v>
      </c>
      <c r="AA184" s="207">
        <f t="shared" si="101"/>
        <v>224.40336815000364</v>
      </c>
      <c r="AB184" s="207">
        <f t="shared" si="101"/>
        <v>236.73814042982349</v>
      </c>
      <c r="AC184" s="207">
        <f t="shared" si="101"/>
        <v>240.79233863156423</v>
      </c>
      <c r="AD184" s="207">
        <f t="shared" si="101"/>
        <v>234.64933524830531</v>
      </c>
      <c r="AE184" s="207">
        <f t="shared" si="101"/>
        <v>225.29924023056401</v>
      </c>
      <c r="AF184" s="207">
        <f t="shared" si="101"/>
        <v>239.59881546907945</v>
      </c>
      <c r="AG184" s="207">
        <f t="shared" si="101"/>
        <v>241.3164103511217</v>
      </c>
      <c r="AH184" s="183">
        <f t="shared" si="101"/>
        <v>233.90712323025173</v>
      </c>
    </row>
    <row r="185" spans="1:35" s="1" customFormat="1">
      <c r="A185" s="1" t="s">
        <v>449</v>
      </c>
      <c r="B185" s="13"/>
      <c r="C185" s="342"/>
      <c r="D185" s="342">
        <f>D182</f>
        <v>30.676731731135078</v>
      </c>
      <c r="E185" s="342">
        <f>D185+E182</f>
        <v>107.66185116882025</v>
      </c>
      <c r="F185" s="342">
        <f t="shared" ref="E185:N187" si="102">E185+F182</f>
        <v>273.91951282854461</v>
      </c>
      <c r="G185" s="342">
        <f t="shared" si="102"/>
        <v>684.67119398596242</v>
      </c>
      <c r="H185" s="406">
        <f>H182</f>
        <v>-36.601570607111171</v>
      </c>
      <c r="I185" s="15">
        <f t="shared" si="102"/>
        <v>-63.441545908005537</v>
      </c>
      <c r="J185" s="15">
        <f t="shared" si="102"/>
        <v>-205.18694056370896</v>
      </c>
      <c r="K185" s="15">
        <f t="shared" si="102"/>
        <v>-266.27012947175444</v>
      </c>
      <c r="L185" s="15">
        <f t="shared" si="102"/>
        <v>-243.81890488507179</v>
      </c>
      <c r="M185" s="15">
        <f t="shared" si="102"/>
        <v>-117.56557849980982</v>
      </c>
      <c r="N185" s="15">
        <f t="shared" si="102"/>
        <v>222.18071902034353</v>
      </c>
      <c r="O185" s="15">
        <f t="shared" ref="O185:X185" si="103">N185+O182</f>
        <v>514.84881465804756</v>
      </c>
      <c r="P185" s="15">
        <f t="shared" si="103"/>
        <v>806.21453778610157</v>
      </c>
      <c r="Q185" s="15">
        <f t="shared" si="103"/>
        <v>1113.2028318998073</v>
      </c>
      <c r="R185" s="15">
        <f t="shared" si="103"/>
        <v>1436.1726028455341</v>
      </c>
      <c r="S185" s="131">
        <f t="shared" si="103"/>
        <v>1787.91490069684</v>
      </c>
      <c r="T185" s="15">
        <f t="shared" si="103"/>
        <v>2137.4475874435147</v>
      </c>
      <c r="U185" s="15">
        <f t="shared" si="103"/>
        <v>2453.1723466220101</v>
      </c>
      <c r="V185" s="15">
        <f t="shared" si="103"/>
        <v>2752.9617268170441</v>
      </c>
      <c r="W185" s="15">
        <f t="shared" si="103"/>
        <v>3061.0014351328382</v>
      </c>
      <c r="X185" s="191">
        <f t="shared" si="103"/>
        <v>3419.4685421524</v>
      </c>
      <c r="Y185" s="131">
        <f t="shared" ref="Y185:AH185" si="104">X185+Y182</f>
        <v>3805.2593132586435</v>
      </c>
      <c r="Z185" s="131">
        <f t="shared" si="104"/>
        <v>4242.7824592693596</v>
      </c>
      <c r="AA185" s="131">
        <f t="shared" si="104"/>
        <v>4716.5233392556238</v>
      </c>
      <c r="AB185" s="131">
        <f t="shared" si="104"/>
        <v>5216.3043011961645</v>
      </c>
      <c r="AC185" s="131">
        <f t="shared" si="104"/>
        <v>5724.6441278009979</v>
      </c>
      <c r="AD185" s="131">
        <f t="shared" si="104"/>
        <v>6220.0153989509063</v>
      </c>
      <c r="AE185" s="131">
        <f t="shared" si="104"/>
        <v>6695.6475876077757</v>
      </c>
      <c r="AF185" s="131">
        <f t="shared" si="104"/>
        <v>7201.467769333969</v>
      </c>
      <c r="AG185" s="131">
        <f t="shared" si="104"/>
        <v>7710.9139869321098</v>
      </c>
      <c r="AH185" s="191">
        <f t="shared" si="104"/>
        <v>8204.7183759493819</v>
      </c>
    </row>
    <row r="186" spans="1:35" s="20" customFormat="1">
      <c r="A186" s="20" t="s">
        <v>450</v>
      </c>
      <c r="B186" s="33"/>
      <c r="C186" s="335"/>
      <c r="D186" s="335">
        <f>D183</f>
        <v>16.145796626836272</v>
      </c>
      <c r="E186" s="335">
        <f t="shared" si="102"/>
        <v>56.6644319436773</v>
      </c>
      <c r="F186" s="335">
        <f t="shared" si="102"/>
        <v>144.16861190334293</v>
      </c>
      <c r="G186" s="335">
        <f t="shared" si="102"/>
        <v>360.35385452362789</v>
      </c>
      <c r="H186" s="405">
        <f t="shared" si="102"/>
        <v>341.09001209883263</v>
      </c>
      <c r="I186" s="19">
        <f t="shared" ref="I186:X186" si="105">H186+I183</f>
        <v>326.96386899582831</v>
      </c>
      <c r="J186" s="19">
        <f t="shared" si="105"/>
        <v>252.36120673500136</v>
      </c>
      <c r="K186" s="19">
        <f t="shared" si="105"/>
        <v>220.21234019023404</v>
      </c>
      <c r="L186" s="19">
        <f t="shared" si="105"/>
        <v>232.02895596614371</v>
      </c>
      <c r="M186" s="19">
        <f t="shared" si="105"/>
        <v>298.47825787081183</v>
      </c>
      <c r="N186" s="183">
        <f t="shared" si="105"/>
        <v>477.29228111584553</v>
      </c>
      <c r="O186" s="19">
        <f t="shared" si="105"/>
        <v>631.32830597072643</v>
      </c>
      <c r="P186" s="19">
        <f t="shared" si="105"/>
        <v>784.6788711015588</v>
      </c>
      <c r="Q186" s="19">
        <f t="shared" si="105"/>
        <v>946.2518436416326</v>
      </c>
      <c r="R186" s="19">
        <f t="shared" si="105"/>
        <v>1116.2361210728532</v>
      </c>
      <c r="S186" s="207">
        <f t="shared" si="105"/>
        <v>1301.3638352707453</v>
      </c>
      <c r="T186" s="19">
        <f t="shared" si="105"/>
        <v>1485.3285962206405</v>
      </c>
      <c r="U186" s="19">
        <f t="shared" si="105"/>
        <v>1651.4997113920153</v>
      </c>
      <c r="V186" s="19">
        <f t="shared" si="105"/>
        <v>1809.2837895103926</v>
      </c>
      <c r="W186" s="19">
        <f t="shared" si="105"/>
        <v>1971.4101452313876</v>
      </c>
      <c r="X186" s="183">
        <f t="shared" si="105"/>
        <v>2160.0772402236339</v>
      </c>
      <c r="Y186" s="207">
        <f t="shared" ref="Y186:AH186" si="106">X186+Y183</f>
        <v>2363.1252137081015</v>
      </c>
      <c r="Z186" s="207">
        <f t="shared" si="106"/>
        <v>2593.4007561557651</v>
      </c>
      <c r="AA186" s="207">
        <f t="shared" si="106"/>
        <v>2842.7382679920252</v>
      </c>
      <c r="AB186" s="207">
        <f t="shared" si="106"/>
        <v>3105.7810895027419</v>
      </c>
      <c r="AC186" s="207">
        <f t="shared" si="106"/>
        <v>3373.3285774760102</v>
      </c>
      <c r="AD186" s="207">
        <f t="shared" si="106"/>
        <v>3634.0505133776146</v>
      </c>
      <c r="AE186" s="207">
        <f t="shared" si="106"/>
        <v>3884.3834618039186</v>
      </c>
      <c r="AF186" s="207">
        <f t="shared" si="106"/>
        <v>4150.6048280610321</v>
      </c>
      <c r="AG186" s="207">
        <f t="shared" si="106"/>
        <v>4418.7346353080502</v>
      </c>
      <c r="AH186" s="183">
        <f t="shared" si="106"/>
        <v>4678.6319010950701</v>
      </c>
    </row>
    <row r="187" spans="1:35" s="20" customFormat="1">
      <c r="A187" s="20" t="s">
        <v>451</v>
      </c>
      <c r="B187" s="33"/>
      <c r="C187" s="335"/>
      <c r="D187" s="335">
        <f>D184</f>
        <v>14.53093510429926</v>
      </c>
      <c r="E187" s="335">
        <f t="shared" si="102"/>
        <v>50.997419225143403</v>
      </c>
      <c r="F187" s="335">
        <f t="shared" si="102"/>
        <v>129.75090092520168</v>
      </c>
      <c r="G187" s="335">
        <f t="shared" si="102"/>
        <v>324.31733946233499</v>
      </c>
      <c r="H187" s="405">
        <f t="shared" si="102"/>
        <v>306.97961128001907</v>
      </c>
      <c r="I187" s="19">
        <f t="shared" ref="I187:X187" si="107">H187+I184</f>
        <v>294.26577908212903</v>
      </c>
      <c r="J187" s="19">
        <f t="shared" si="107"/>
        <v>227.12304668725346</v>
      </c>
      <c r="K187" s="19">
        <f t="shared" si="107"/>
        <v>198.18872432397575</v>
      </c>
      <c r="L187" s="19">
        <f t="shared" si="107"/>
        <v>208.82333313474874</v>
      </c>
      <c r="M187" s="19">
        <f t="shared" si="107"/>
        <v>268.6273576153435</v>
      </c>
      <c r="N187" s="183">
        <f t="shared" si="107"/>
        <v>429.55963189046315</v>
      </c>
      <c r="O187" s="19">
        <f t="shared" si="107"/>
        <v>568.19170267328627</v>
      </c>
      <c r="P187" s="19">
        <f t="shared" si="107"/>
        <v>706.20686067050747</v>
      </c>
      <c r="Q187" s="19">
        <f t="shared" si="107"/>
        <v>851.62218224413937</v>
      </c>
      <c r="R187" s="19">
        <f t="shared" si="107"/>
        <v>1004.6076757586447</v>
      </c>
      <c r="S187" s="207">
        <f t="shared" si="107"/>
        <v>1171.2222594120585</v>
      </c>
      <c r="T187" s="19">
        <f t="shared" si="107"/>
        <v>1336.7901852088385</v>
      </c>
      <c r="U187" s="19">
        <f t="shared" si="107"/>
        <v>1486.3438292159594</v>
      </c>
      <c r="V187" s="19">
        <f t="shared" si="107"/>
        <v>1628.3491312926162</v>
      </c>
      <c r="W187" s="19">
        <f t="shared" si="107"/>
        <v>1774.2624838874149</v>
      </c>
      <c r="X187" s="183">
        <f t="shared" si="107"/>
        <v>1944.0624959147303</v>
      </c>
      <c r="Y187" s="207">
        <f t="shared" ref="Y187:AH187" si="108">X187+Y184</f>
        <v>2126.8052935365063</v>
      </c>
      <c r="Z187" s="207">
        <f t="shared" si="108"/>
        <v>2334.0528970995588</v>
      </c>
      <c r="AA187" s="207">
        <f t="shared" si="108"/>
        <v>2558.4562652495624</v>
      </c>
      <c r="AB187" s="207">
        <f t="shared" si="108"/>
        <v>2795.1944056793859</v>
      </c>
      <c r="AC187" s="207">
        <f t="shared" si="108"/>
        <v>3035.9867443109501</v>
      </c>
      <c r="AD187" s="207">
        <f t="shared" si="108"/>
        <v>3270.6360795592554</v>
      </c>
      <c r="AE187" s="207">
        <f t="shared" si="108"/>
        <v>3495.9353197898195</v>
      </c>
      <c r="AF187" s="207">
        <f t="shared" si="108"/>
        <v>3735.5341352588989</v>
      </c>
      <c r="AG187" s="207">
        <f t="shared" si="108"/>
        <v>3976.8505456100206</v>
      </c>
      <c r="AH187" s="183">
        <f t="shared" si="108"/>
        <v>4210.7576688402723</v>
      </c>
    </row>
    <row r="188" spans="1:35" s="519" customFormat="1">
      <c r="A188" s="519" t="s">
        <v>549</v>
      </c>
      <c r="B188" s="520"/>
      <c r="C188" s="521"/>
      <c r="D188"/>
      <c r="E188"/>
      <c r="F188"/>
      <c r="G188"/>
      <c r="H188"/>
      <c r="I188"/>
      <c r="J188"/>
      <c r="K188"/>
      <c r="L188"/>
      <c r="M188"/>
      <c r="N188"/>
      <c r="O188"/>
      <c r="P188"/>
      <c r="Q188"/>
      <c r="R188"/>
      <c r="S188"/>
      <c r="T188"/>
      <c r="U188"/>
      <c r="V188"/>
      <c r="W188"/>
      <c r="X188"/>
      <c r="Y188" s="523"/>
      <c r="Z188" s="523"/>
      <c r="AA188" s="523"/>
      <c r="AB188" s="523"/>
      <c r="AC188" s="523"/>
      <c r="AD188" s="523"/>
      <c r="AE188" s="523"/>
      <c r="AF188" s="523"/>
      <c r="AG188" s="523"/>
      <c r="AH188" s="522"/>
    </row>
    <row r="189" spans="1:35" s="1" customFormat="1">
      <c r="B189" s="13"/>
      <c r="C189" s="342"/>
      <c r="D189" s="342"/>
      <c r="E189" s="342"/>
      <c r="F189" s="342"/>
      <c r="G189" s="342"/>
      <c r="H189" s="406"/>
      <c r="I189" s="15" t="s">
        <v>0</v>
      </c>
      <c r="J189" s="15" t="s">
        <v>0</v>
      </c>
      <c r="K189" s="15" t="s">
        <v>0</v>
      </c>
      <c r="L189" s="15" t="s">
        <v>0</v>
      </c>
      <c r="M189" s="15" t="s">
        <v>0</v>
      </c>
      <c r="N189" s="15" t="s">
        <v>0</v>
      </c>
      <c r="O189" s="131"/>
      <c r="P189" s="131"/>
      <c r="Q189" s="131"/>
      <c r="R189" s="131"/>
      <c r="S189" s="159"/>
      <c r="T189" s="131"/>
      <c r="U189" s="15"/>
      <c r="V189" s="15"/>
      <c r="W189" s="15"/>
      <c r="X189" s="191"/>
      <c r="Y189"/>
      <c r="Z189"/>
      <c r="AA189"/>
      <c r="AB189"/>
      <c r="AC189"/>
      <c r="AD189"/>
      <c r="AE189"/>
      <c r="AF189"/>
      <c r="AG189"/>
      <c r="AH189" s="281"/>
    </row>
    <row r="190" spans="1:35" s="1" customFormat="1">
      <c r="A190" s="1" t="s">
        <v>411</v>
      </c>
      <c r="B190" s="13"/>
      <c r="C190" s="329"/>
      <c r="D190" s="329"/>
      <c r="E190" s="329"/>
      <c r="F190" s="329"/>
      <c r="G190" s="329"/>
      <c r="H190" s="401"/>
      <c r="I190" s="15" t="s">
        <v>0</v>
      </c>
      <c r="J190" s="13"/>
      <c r="K190" s="13"/>
      <c r="L190" s="13"/>
      <c r="M190" s="13"/>
      <c r="N190" s="192"/>
      <c r="O190" s="13"/>
      <c r="P190" s="13"/>
      <c r="Q190" s="13"/>
      <c r="R190" s="13"/>
      <c r="T190" s="13"/>
      <c r="U190" s="13"/>
      <c r="V190" s="13"/>
      <c r="W190" s="13"/>
      <c r="X190" s="177"/>
      <c r="Y190"/>
      <c r="Z190"/>
      <c r="AA190"/>
      <c r="AB190"/>
      <c r="AC190"/>
      <c r="AD190"/>
      <c r="AE190"/>
      <c r="AF190"/>
      <c r="AG190"/>
      <c r="AH190" s="281"/>
    </row>
    <row r="191" spans="1:35">
      <c r="A191" t="s">
        <v>405</v>
      </c>
      <c r="I191" s="112"/>
      <c r="J191" s="112"/>
      <c r="K191" s="112"/>
      <c r="L191" s="112"/>
      <c r="M191" s="132"/>
      <c r="N191" s="193"/>
      <c r="O191" s="132"/>
      <c r="P191" s="112"/>
      <c r="Q191" s="112"/>
      <c r="R191" s="132"/>
      <c r="S191" s="132"/>
      <c r="T191" s="132"/>
      <c r="U191" s="132"/>
      <c r="V191" s="112"/>
      <c r="W191" s="112"/>
    </row>
    <row r="192" spans="1:35">
      <c r="A192" t="s">
        <v>406</v>
      </c>
      <c r="I192" s="112"/>
      <c r="J192" s="112"/>
      <c r="K192" s="112"/>
      <c r="L192" s="112"/>
      <c r="M192" s="132"/>
      <c r="N192" s="193"/>
      <c r="O192" s="132"/>
      <c r="P192" s="112"/>
      <c r="Q192" s="112"/>
      <c r="R192" s="132"/>
      <c r="S192" s="132"/>
      <c r="T192" s="132"/>
      <c r="U192" s="132"/>
      <c r="V192" s="112"/>
      <c r="W192" s="112"/>
    </row>
    <row r="193" spans="1:34">
      <c r="A193" t="s">
        <v>407</v>
      </c>
      <c r="I193" s="112"/>
      <c r="J193" s="112"/>
      <c r="K193" s="112"/>
      <c r="L193" s="112"/>
      <c r="M193" s="132"/>
      <c r="N193" s="193"/>
      <c r="O193" s="132"/>
      <c r="P193" s="112"/>
      <c r="Q193" s="112"/>
      <c r="R193" s="132"/>
      <c r="S193" s="132"/>
      <c r="T193" s="132"/>
      <c r="U193" s="132"/>
      <c r="V193" s="112"/>
      <c r="W193" s="112"/>
    </row>
    <row r="194" spans="1:34">
      <c r="A194" t="s">
        <v>387</v>
      </c>
      <c r="C194" s="332">
        <f>SUM(C195:C196)</f>
        <v>2242.3305999999998</v>
      </c>
      <c r="D194" s="332">
        <f t="shared" ref="D194:AH194" si="109">SUM(D195:D196)</f>
        <v>2347.7027000000003</v>
      </c>
      <c r="E194" s="332">
        <f t="shared" si="109"/>
        <v>2421.5846022486858</v>
      </c>
      <c r="F194" s="332">
        <f t="shared" si="109"/>
        <v>2513.0533728444211</v>
      </c>
      <c r="G194" s="332">
        <f t="shared" si="109"/>
        <v>2465.5569438401908</v>
      </c>
      <c r="H194" s="403">
        <f t="shared" si="109"/>
        <v>2537.6761280636047</v>
      </c>
      <c r="I194" s="14">
        <f t="shared" si="109"/>
        <v>3405.9568833543299</v>
      </c>
      <c r="J194" s="14">
        <f t="shared" si="109"/>
        <v>4329.0161361419723</v>
      </c>
      <c r="K194" s="14">
        <f t="shared" si="109"/>
        <v>4381.431503173033</v>
      </c>
      <c r="L194" s="14">
        <f t="shared" si="109"/>
        <v>4418.5806513210882</v>
      </c>
      <c r="M194" s="14">
        <f t="shared" si="109"/>
        <v>4468.0438371294831</v>
      </c>
      <c r="N194" s="188">
        <f t="shared" si="109"/>
        <v>4509.3998863367669</v>
      </c>
      <c r="O194" s="14">
        <f t="shared" si="109"/>
        <v>4655.3883254064658</v>
      </c>
      <c r="P194" s="14">
        <f t="shared" si="109"/>
        <v>4651.4014575016972</v>
      </c>
      <c r="Q194" s="14">
        <f t="shared" si="109"/>
        <v>4655.3468238201822</v>
      </c>
      <c r="R194" s="14">
        <f t="shared" si="109"/>
        <v>4673.8079928573516</v>
      </c>
      <c r="S194" s="15">
        <f t="shared" si="109"/>
        <v>4680.5304719775067</v>
      </c>
      <c r="T194" s="14">
        <f t="shared" si="109"/>
        <v>4697.4697413835538</v>
      </c>
      <c r="U194" s="14">
        <f t="shared" si="109"/>
        <v>4769.4514295848858</v>
      </c>
      <c r="V194" s="14">
        <f t="shared" si="109"/>
        <v>4926.4240837891557</v>
      </c>
      <c r="W194" s="14">
        <f t="shared" si="109"/>
        <v>4923.4488480318614</v>
      </c>
      <c r="X194" s="188">
        <f t="shared" si="109"/>
        <v>4939.7681689048404</v>
      </c>
      <c r="Y194" s="159">
        <f t="shared" si="109"/>
        <v>4975.3063061329458</v>
      </c>
      <c r="Z194" s="159">
        <f t="shared" si="109"/>
        <v>4984.9830882986025</v>
      </c>
      <c r="AA194" s="159">
        <f t="shared" si="109"/>
        <v>5046.6987032397246</v>
      </c>
      <c r="AB194" s="159">
        <f t="shared" si="109"/>
        <v>5105.9240469679808</v>
      </c>
      <c r="AC194" s="159">
        <f t="shared" si="109"/>
        <v>5126.4522637163409</v>
      </c>
      <c r="AD194" s="159">
        <f t="shared" si="109"/>
        <v>5260.9684813052554</v>
      </c>
      <c r="AE194" s="159">
        <f t="shared" si="109"/>
        <v>5400.7595166325536</v>
      </c>
      <c r="AF194" s="159">
        <f t="shared" si="109"/>
        <v>5377.3626944711305</v>
      </c>
      <c r="AG194" s="159">
        <f t="shared" si="109"/>
        <v>5412.6411113830673</v>
      </c>
      <c r="AH194" s="188">
        <f t="shared" si="109"/>
        <v>5452.6904566113517</v>
      </c>
    </row>
    <row r="195" spans="1:34">
      <c r="A195" t="s">
        <v>388</v>
      </c>
      <c r="C195" s="331">
        <f>'Output - Jobs vs Yr (BAU)'!C51</f>
        <v>1180.1739999999998</v>
      </c>
      <c r="D195" s="331">
        <f>'Output - Jobs vs Yr (BAU)'!D51</f>
        <v>1235.633</v>
      </c>
      <c r="E195" s="331">
        <f>'Output - Jobs vs Yr (BAU)'!E51</f>
        <v>1274.5182117098348</v>
      </c>
      <c r="F195" s="331">
        <f>'Output - Jobs vs Yr (BAU)'!F51</f>
        <v>1322.6596699181164</v>
      </c>
      <c r="G195" s="331">
        <f>'Output - Jobs vs Yr (BAU)'!G51</f>
        <v>1297.661549389574</v>
      </c>
      <c r="H195" s="287">
        <f>'Output - Jobs vs Yr (BAU)'!H51</f>
        <v>1335.6190147703182</v>
      </c>
      <c r="I195" s="118">
        <f>'Output - Jobs vs Yr (BAU)'!I51</f>
        <v>1792.6088859759629</v>
      </c>
      <c r="J195" s="118">
        <f>'Output - Jobs vs Yr (BAU)'!J51</f>
        <v>2278.42954533788</v>
      </c>
      <c r="K195" s="118">
        <f>'Output - Jobs vs Yr (BAU)'!K51</f>
        <v>2306.0165806173854</v>
      </c>
      <c r="L195" s="118">
        <f>'Output - Jobs vs Yr (BAU)'!L51</f>
        <v>2325.5687638532045</v>
      </c>
      <c r="M195" s="118">
        <f>'Output - Jobs vs Yr (BAU)'!M51</f>
        <v>2351.6020195418332</v>
      </c>
      <c r="N195" s="178">
        <f>'Output - Jobs vs Yr (BAU)'!N51</f>
        <v>2373.3683612298773</v>
      </c>
      <c r="O195" s="118">
        <f>'Output - Jobs vs Yr (BAU)'!O51</f>
        <v>2450.204381792877</v>
      </c>
      <c r="P195" s="118">
        <f>'Output - Jobs vs Yr (BAU)'!P51</f>
        <v>2448.1060302640508</v>
      </c>
      <c r="Q195" s="118">
        <f>'Output - Jobs vs Yr (BAU)'!Q51</f>
        <v>2450.1825388527272</v>
      </c>
      <c r="R195" s="118">
        <f>'Output - Jobs vs Yr (BAU)'!R51</f>
        <v>2459.8989436091324</v>
      </c>
      <c r="S195" s="118">
        <f>'Output - Jobs vs Yr (BAU)'!S51</f>
        <v>2463.4370905144769</v>
      </c>
      <c r="T195" s="118">
        <f>'Output - Jobs vs Yr (BAU)'!T51</f>
        <v>2472.3524954650284</v>
      </c>
      <c r="U195" s="118">
        <f>'Output - Jobs vs Yr (BAU)'!U51</f>
        <v>2510.2375945183608</v>
      </c>
      <c r="V195" s="118">
        <f>'Output - Jobs vs Yr (BAU)'!V51</f>
        <v>2592.8547809416609</v>
      </c>
      <c r="W195" s="118">
        <f>'Output - Jobs vs Yr (BAU)'!W51</f>
        <v>2591.2888673851903</v>
      </c>
      <c r="X195" s="185">
        <f>'Output - Jobs vs Yr (BAU)'!X51</f>
        <v>2599.8779836341264</v>
      </c>
      <c r="Y195" s="272">
        <f>'Output - Jobs vs Yr (BAU)'!Y51</f>
        <v>2618.5822663857607</v>
      </c>
      <c r="Z195" s="272">
        <f>'Output - Jobs vs Yr (BAU)'!Z51</f>
        <v>2623.675309630843</v>
      </c>
      <c r="AA195" s="272">
        <f>'Output - Jobs vs Yr (BAU)'!AA51</f>
        <v>2656.1572122314337</v>
      </c>
      <c r="AB195" s="272">
        <f>'Output - Jobs vs Yr (BAU)'!AB51</f>
        <v>2687.3284457726218</v>
      </c>
      <c r="AC195" s="272">
        <f>'Output - Jobs vs Yr (BAU)'!AC51</f>
        <v>2698.1327703770216</v>
      </c>
      <c r="AD195" s="272">
        <f>'Output - Jobs vs Yr (BAU)'!AD51</f>
        <v>2768.9307796343446</v>
      </c>
      <c r="AE195" s="272">
        <f>'Output - Jobs vs Yr (BAU)'!AE51</f>
        <v>2842.5050087539753</v>
      </c>
      <c r="AF195" s="272">
        <f>'Output - Jobs vs Yr (BAU)'!AF51</f>
        <v>2830.1908918269105</v>
      </c>
      <c r="AG195" s="272">
        <f>'Output - Jobs vs Yr (BAU)'!AG51</f>
        <v>2848.7584796752985</v>
      </c>
      <c r="AH195" s="185">
        <f>'Output - Jobs vs Yr (BAU)'!AH51</f>
        <v>2869.8370824270269</v>
      </c>
    </row>
    <row r="196" spans="1:34">
      <c r="A196" t="s">
        <v>389</v>
      </c>
      <c r="C196" s="331">
        <f>'Output - Jobs vs Yr (BAU)'!C69</f>
        <v>1062.1566</v>
      </c>
      <c r="D196" s="331">
        <f>'Output - Jobs vs Yr (BAU)'!D69</f>
        <v>1112.0697000000002</v>
      </c>
      <c r="E196" s="331">
        <f>'Output - Jobs vs Yr (BAU)'!E69</f>
        <v>1147.066390538851</v>
      </c>
      <c r="F196" s="331">
        <f>'Output - Jobs vs Yr (BAU)'!F69</f>
        <v>1190.3937029263047</v>
      </c>
      <c r="G196" s="331">
        <f>'Output - Jobs vs Yr (BAU)'!G69</f>
        <v>1167.8953944506165</v>
      </c>
      <c r="H196" s="287">
        <f>'Output - Jobs vs Yr (BAU)'!H69</f>
        <v>1202.0571132932866</v>
      </c>
      <c r="I196" s="118">
        <f>'Output - Jobs vs Yr (BAU)'!I69</f>
        <v>1613.3479973783667</v>
      </c>
      <c r="J196" s="118">
        <f>'Output - Jobs vs Yr (BAU)'!J69</f>
        <v>2050.5865908040919</v>
      </c>
      <c r="K196" s="118">
        <f>'Output - Jobs vs Yr (BAU)'!K69</f>
        <v>2075.4149225556471</v>
      </c>
      <c r="L196" s="118">
        <f>'Output - Jobs vs Yr (BAU)'!L69</f>
        <v>2093.0118874678842</v>
      </c>
      <c r="M196" s="118">
        <f>'Output - Jobs vs Yr (BAU)'!M69</f>
        <v>2116.4418175876499</v>
      </c>
      <c r="N196" s="178">
        <f>'Output - Jobs vs Yr (BAU)'!N69</f>
        <v>2136.0315251068896</v>
      </c>
      <c r="O196" s="118">
        <f>'Output - Jobs vs Yr (BAU)'!O69</f>
        <v>2205.1839436135892</v>
      </c>
      <c r="P196" s="118">
        <f>'Output - Jobs vs Yr (BAU)'!P69</f>
        <v>2203.295427237646</v>
      </c>
      <c r="Q196" s="118">
        <f>'Output - Jobs vs Yr (BAU)'!Q69</f>
        <v>2205.1642849674549</v>
      </c>
      <c r="R196" s="118">
        <f>'Output - Jobs vs Yr (BAU)'!R69</f>
        <v>2213.9090492482192</v>
      </c>
      <c r="S196" s="118">
        <f>'Output - Jobs vs Yr (BAU)'!S69</f>
        <v>2217.0933814630293</v>
      </c>
      <c r="T196" s="118">
        <f>'Output - Jobs vs Yr (BAU)'!T69</f>
        <v>2225.1172459185254</v>
      </c>
      <c r="U196" s="118">
        <f>'Output - Jobs vs Yr (BAU)'!U69</f>
        <v>2259.2138350665246</v>
      </c>
      <c r="V196" s="118">
        <f>'Output - Jobs vs Yr (BAU)'!V69</f>
        <v>2333.5693028474952</v>
      </c>
      <c r="W196" s="118">
        <f>'Output - Jobs vs Yr (BAU)'!W69</f>
        <v>2332.1599806466716</v>
      </c>
      <c r="X196" s="185">
        <f>'Output - Jobs vs Yr (BAU)'!X69</f>
        <v>2339.890185270714</v>
      </c>
      <c r="Y196" s="272">
        <f>'Output - Jobs vs Yr (BAU)'!Y69</f>
        <v>2356.7240397471851</v>
      </c>
      <c r="Z196" s="272">
        <f>'Output - Jobs vs Yr (BAU)'!Z69</f>
        <v>2361.3077786677591</v>
      </c>
      <c r="AA196" s="272">
        <f>'Output - Jobs vs Yr (BAU)'!AA69</f>
        <v>2390.5414910082909</v>
      </c>
      <c r="AB196" s="272">
        <f>'Output - Jobs vs Yr (BAU)'!AB69</f>
        <v>2418.5956011953594</v>
      </c>
      <c r="AC196" s="272">
        <f>'Output - Jobs vs Yr (BAU)'!AC69</f>
        <v>2428.3194933393197</v>
      </c>
      <c r="AD196" s="272">
        <f>'Output - Jobs vs Yr (BAU)'!AD69</f>
        <v>2492.0377016709103</v>
      </c>
      <c r="AE196" s="272">
        <f>'Output - Jobs vs Yr (BAU)'!AE69</f>
        <v>2558.2545078785779</v>
      </c>
      <c r="AF196" s="272">
        <f>'Output - Jobs vs Yr (BAU)'!AF69</f>
        <v>2547.1718026442195</v>
      </c>
      <c r="AG196" s="272">
        <f>'Output - Jobs vs Yr (BAU)'!AG69</f>
        <v>2563.8826317077692</v>
      </c>
      <c r="AH196" s="185">
        <f>'Output - Jobs vs Yr (BAU)'!AH69</f>
        <v>2582.8533741843248</v>
      </c>
    </row>
    <row r="197" spans="1:34">
      <c r="A197" t="s">
        <v>390</v>
      </c>
      <c r="C197" s="332">
        <f>SUM(C198:C199)</f>
        <v>1200.41715</v>
      </c>
      <c r="D197" s="332">
        <f t="shared" ref="D197:AH197" si="110">SUM(D198:D199)</f>
        <v>1085.8471499999998</v>
      </c>
      <c r="E197" s="332">
        <f t="shared" si="110"/>
        <v>1206.5142619248295</v>
      </c>
      <c r="F197" s="332">
        <f t="shared" si="110"/>
        <v>1016.8905112127749</v>
      </c>
      <c r="G197" s="332">
        <f t="shared" si="110"/>
        <v>985.91654972864012</v>
      </c>
      <c r="H197" s="403">
        <f t="shared" si="110"/>
        <v>1002.5146281609087</v>
      </c>
      <c r="I197" s="14">
        <f t="shared" si="110"/>
        <v>1022.3155055496159</v>
      </c>
      <c r="J197" s="14">
        <f t="shared" si="110"/>
        <v>1042.210233808373</v>
      </c>
      <c r="K197" s="14">
        <f t="shared" si="110"/>
        <v>1052.908818946107</v>
      </c>
      <c r="L197" s="14">
        <f t="shared" si="110"/>
        <v>1052.9092329940631</v>
      </c>
      <c r="M197" s="14">
        <f t="shared" si="110"/>
        <v>1052.9093710100485</v>
      </c>
      <c r="N197" s="188">
        <f t="shared" si="110"/>
        <v>1052.908818946107</v>
      </c>
      <c r="O197" s="14">
        <f t="shared" si="110"/>
        <v>1052.908818946107</v>
      </c>
      <c r="P197" s="14">
        <f t="shared" si="110"/>
        <v>1052.9090949780777</v>
      </c>
      <c r="Q197" s="14">
        <f t="shared" si="110"/>
        <v>1105.0402169391264</v>
      </c>
      <c r="R197" s="14">
        <f t="shared" si="110"/>
        <v>1105.040078923141</v>
      </c>
      <c r="S197" s="15">
        <f t="shared" si="110"/>
        <v>1105.0413210670092</v>
      </c>
      <c r="T197" s="14">
        <f t="shared" si="110"/>
        <v>1105.0436673387605</v>
      </c>
      <c r="U197" s="14">
        <f t="shared" si="110"/>
        <v>1112.7575187769366</v>
      </c>
      <c r="V197" s="14">
        <f t="shared" si="110"/>
        <v>1120.4578446485466</v>
      </c>
      <c r="W197" s="14">
        <f t="shared" si="110"/>
        <v>1120.4590867924151</v>
      </c>
      <c r="X197" s="188">
        <f t="shared" si="110"/>
        <v>1120.4589487764297</v>
      </c>
      <c r="Y197" s="159">
        <f t="shared" si="110"/>
        <v>1120.4590867924151</v>
      </c>
      <c r="Z197" s="159">
        <f t="shared" si="110"/>
        <v>1120.4593628243858</v>
      </c>
      <c r="AA197" s="159">
        <f t="shared" si="110"/>
        <v>1120.4577066325614</v>
      </c>
      <c r="AB197" s="159">
        <f t="shared" si="110"/>
        <v>1120.4577066325614</v>
      </c>
      <c r="AC197" s="159">
        <f t="shared" si="110"/>
        <v>1120.4577066325614</v>
      </c>
      <c r="AD197" s="159">
        <f t="shared" si="110"/>
        <v>1126.0410053046187</v>
      </c>
      <c r="AE197" s="159">
        <f t="shared" si="110"/>
        <v>1126.0410053046187</v>
      </c>
      <c r="AF197" s="159">
        <f t="shared" si="110"/>
        <v>1126.0410053046187</v>
      </c>
      <c r="AG197" s="159">
        <f t="shared" si="110"/>
        <v>1126.0410053046187</v>
      </c>
      <c r="AH197" s="188">
        <f t="shared" si="110"/>
        <v>1126.0423854644728</v>
      </c>
    </row>
    <row r="198" spans="1:34">
      <c r="A198" t="s">
        <v>392</v>
      </c>
      <c r="C198" s="331">
        <f>SUM('Output - Jobs vs Yr (BAU)'!C40:C43)</f>
        <v>631.79849999999999</v>
      </c>
      <c r="D198" s="331">
        <f>SUM('Output - Jobs vs Yr (BAU)'!D40:D43)</f>
        <v>571.49849999999992</v>
      </c>
      <c r="E198" s="331">
        <f>SUM('Output - Jobs vs Yr (BAU)'!E40:E43)</f>
        <v>635.00750627622597</v>
      </c>
      <c r="F198" s="331">
        <f>SUM('Output - Jobs vs Yr (BAU)'!F40:F43)</f>
        <v>535.20553221724992</v>
      </c>
      <c r="G198" s="331">
        <f>SUM('Output - Jobs vs Yr (BAU)'!G40:G43)</f>
        <v>518.90344722560008</v>
      </c>
      <c r="H198" s="287">
        <f>SUM('Output - Jobs vs Yr (BAU)'!H40:H43)</f>
        <v>527.63927797942563</v>
      </c>
      <c r="I198" s="118">
        <f>SUM('Output - Jobs vs Yr (BAU)'!I40:I43)</f>
        <v>538.0607923945347</v>
      </c>
      <c r="J198" s="118">
        <f>SUM('Output - Jobs vs Yr (BAU)'!J40:J43)</f>
        <v>548.53170200440684</v>
      </c>
      <c r="K198" s="118">
        <f>SUM('Output - Jobs vs Yr (BAU)'!K40:K43)</f>
        <v>554.1625362874247</v>
      </c>
      <c r="L198" s="118">
        <f>SUM('Output - Jobs vs Yr (BAU)'!L40:L43)</f>
        <v>554.16275420740158</v>
      </c>
      <c r="M198" s="118">
        <f>SUM('Output - Jobs vs Yr (BAU)'!M40:M43)</f>
        <v>554.16282684739394</v>
      </c>
      <c r="N198" s="178">
        <f>SUM('Output - Jobs vs Yr (BAU)'!N40:N43)</f>
        <v>554.1625362874247</v>
      </c>
      <c r="O198" s="118">
        <f>SUM('Output - Jobs vs Yr (BAU)'!O40:O43)</f>
        <v>554.1625362874247</v>
      </c>
      <c r="P198" s="118">
        <f>SUM('Output - Jobs vs Yr (BAU)'!P40:P43)</f>
        <v>554.16268156740932</v>
      </c>
      <c r="Q198" s="118">
        <f>SUM('Output - Jobs vs Yr (BAU)'!Q40:Q43)</f>
        <v>581.60011417848762</v>
      </c>
      <c r="R198" s="118">
        <f>SUM('Output - Jobs vs Yr (BAU)'!R40:R43)</f>
        <v>581.60004153849525</v>
      </c>
      <c r="S198" s="118">
        <f>SUM('Output - Jobs vs Yr (BAU)'!S40:S43)</f>
        <v>581.60069529842588</v>
      </c>
      <c r="T198" s="118">
        <f>SUM('Output - Jobs vs Yr (BAU)'!T40:T43)</f>
        <v>581.60193017829499</v>
      </c>
      <c r="U198" s="118">
        <f>SUM('Output - Jobs vs Yr (BAU)'!U40:U43)</f>
        <v>585.66185198786138</v>
      </c>
      <c r="V198" s="118">
        <f>SUM('Output - Jobs vs Yr (BAU)'!V40:V43)</f>
        <v>589.71465507818243</v>
      </c>
      <c r="W198" s="118">
        <f>SUM('Output - Jobs vs Yr (BAU)'!W40:W43)</f>
        <v>589.71530883811317</v>
      </c>
      <c r="X198" s="185">
        <f>SUM('Output - Jobs vs Yr (BAU)'!X40:X43)</f>
        <v>589.71523619812081</v>
      </c>
      <c r="Y198" s="272">
        <f>SUM('Output - Jobs vs Yr (BAU)'!Y40:Y43)</f>
        <v>589.71530883811317</v>
      </c>
      <c r="Z198" s="272">
        <f>SUM('Output - Jobs vs Yr (BAU)'!Z40:Z43)</f>
        <v>589.7154541180978</v>
      </c>
      <c r="AA198" s="272">
        <f>SUM('Output - Jobs vs Yr (BAU)'!AA40:AA43)</f>
        <v>589.71458243819018</v>
      </c>
      <c r="AB198" s="272">
        <f>SUM('Output - Jobs vs Yr (BAU)'!AB40:AB43)</f>
        <v>589.71458243819018</v>
      </c>
      <c r="AC198" s="272">
        <f>SUM('Output - Jobs vs Yr (BAU)'!AC40:AC43)</f>
        <v>589.71458243819018</v>
      </c>
      <c r="AD198" s="272">
        <f>SUM('Output - Jobs vs Yr (BAU)'!AD40:AD43)</f>
        <v>592.6531606866414</v>
      </c>
      <c r="AE198" s="272">
        <f>SUM('Output - Jobs vs Yr (BAU)'!AE40:AE43)</f>
        <v>592.6531606866414</v>
      </c>
      <c r="AF198" s="272">
        <f>SUM('Output - Jobs vs Yr (BAU)'!AF40:AF43)</f>
        <v>592.6531606866414</v>
      </c>
      <c r="AG198" s="272">
        <f>SUM('Output - Jobs vs Yr (BAU)'!AG40:AG43)</f>
        <v>592.6531606866414</v>
      </c>
      <c r="AH198" s="185">
        <f>SUM('Output - Jobs vs Yr (BAU)'!AH40:AH43)</f>
        <v>592.65388708656462</v>
      </c>
    </row>
    <row r="199" spans="1:34">
      <c r="A199" t="s">
        <v>391</v>
      </c>
      <c r="C199" s="331">
        <f>SUM('Output - Jobs vs Yr (BAU)'!C58:C61)</f>
        <v>568.61865</v>
      </c>
      <c r="D199" s="331">
        <f>SUM('Output - Jobs vs Yr (BAU)'!D58:D61)</f>
        <v>514.34864999999991</v>
      </c>
      <c r="E199" s="331">
        <f>SUM('Output - Jobs vs Yr (BAU)'!E58:E61)</f>
        <v>571.50675564860342</v>
      </c>
      <c r="F199" s="331">
        <f>SUM('Output - Jobs vs Yr (BAU)'!F58:F61)</f>
        <v>481.68497899552494</v>
      </c>
      <c r="G199" s="331">
        <f>SUM('Output - Jobs vs Yr (BAU)'!G58:G61)</f>
        <v>467.0131025030401</v>
      </c>
      <c r="H199" s="287">
        <f>SUM('Output - Jobs vs Yr (BAU)'!H58:H61)</f>
        <v>474.8753501814831</v>
      </c>
      <c r="I199" s="118">
        <f>SUM('Output - Jobs vs Yr (BAU)'!I58:I61)</f>
        <v>484.25471315508122</v>
      </c>
      <c r="J199" s="118">
        <f>SUM('Output - Jobs vs Yr (BAU)'!J58:J61)</f>
        <v>493.67853180396617</v>
      </c>
      <c r="K199" s="118">
        <f>SUM('Output - Jobs vs Yr (BAU)'!K58:K61)</f>
        <v>498.74628265868222</v>
      </c>
      <c r="L199" s="118">
        <f>SUM('Output - Jobs vs Yr (BAU)'!L58:L61)</f>
        <v>498.74647878666144</v>
      </c>
      <c r="M199" s="118">
        <f>SUM('Output - Jobs vs Yr (BAU)'!M58:M61)</f>
        <v>498.74654416265457</v>
      </c>
      <c r="N199" s="178">
        <f>SUM('Output - Jobs vs Yr (BAU)'!N58:N61)</f>
        <v>498.74628265868222</v>
      </c>
      <c r="O199" s="118">
        <f>SUM('Output - Jobs vs Yr (BAU)'!O58:O61)</f>
        <v>498.74628265868222</v>
      </c>
      <c r="P199" s="118">
        <f>SUM('Output - Jobs vs Yr (BAU)'!P58:P61)</f>
        <v>498.74641341066842</v>
      </c>
      <c r="Q199" s="118">
        <f>SUM('Output - Jobs vs Yr (BAU)'!Q58:Q61)</f>
        <v>523.44010276063887</v>
      </c>
      <c r="R199" s="118">
        <f>SUM('Output - Jobs vs Yr (BAU)'!R58:R61)</f>
        <v>523.44003738464573</v>
      </c>
      <c r="S199" s="118">
        <f>SUM('Output - Jobs vs Yr (BAU)'!S58:S61)</f>
        <v>523.44062576858335</v>
      </c>
      <c r="T199" s="118">
        <f>SUM('Output - Jobs vs Yr (BAU)'!T58:T61)</f>
        <v>523.44173716046555</v>
      </c>
      <c r="U199" s="118">
        <f>SUM('Output - Jobs vs Yr (BAU)'!U58:U61)</f>
        <v>527.09566678907527</v>
      </c>
      <c r="V199" s="118">
        <f>SUM('Output - Jobs vs Yr (BAU)'!V58:V61)</f>
        <v>530.74318957036417</v>
      </c>
      <c r="W199" s="118">
        <f>SUM('Output - Jobs vs Yr (BAU)'!W58:W61)</f>
        <v>530.74377795430189</v>
      </c>
      <c r="X199" s="185">
        <f>SUM('Output - Jobs vs Yr (BAU)'!X58:X61)</f>
        <v>530.74371257830876</v>
      </c>
      <c r="Y199" s="272">
        <f>SUM('Output - Jobs vs Yr (BAU)'!Y58:Y61)</f>
        <v>530.74377795430189</v>
      </c>
      <c r="Z199" s="272">
        <f>SUM('Output - Jobs vs Yr (BAU)'!Z58:Z61)</f>
        <v>530.74390870628804</v>
      </c>
      <c r="AA199" s="272">
        <f>SUM('Output - Jobs vs Yr (BAU)'!AA58:AA61)</f>
        <v>530.74312419437115</v>
      </c>
      <c r="AB199" s="272">
        <f>SUM('Output - Jobs vs Yr (BAU)'!AB58:AB61)</f>
        <v>530.74312419437115</v>
      </c>
      <c r="AC199" s="272">
        <f>SUM('Output - Jobs vs Yr (BAU)'!AC58:AC61)</f>
        <v>530.74312419437115</v>
      </c>
      <c r="AD199" s="272">
        <f>SUM('Output - Jobs vs Yr (BAU)'!AD58:AD61)</f>
        <v>533.38784461797729</v>
      </c>
      <c r="AE199" s="272">
        <f>SUM('Output - Jobs vs Yr (BAU)'!AE58:AE61)</f>
        <v>533.38784461797729</v>
      </c>
      <c r="AF199" s="272">
        <f>SUM('Output - Jobs vs Yr (BAU)'!AF58:AF61)</f>
        <v>533.38784461797729</v>
      </c>
      <c r="AG199" s="272">
        <f>SUM('Output - Jobs vs Yr (BAU)'!AG58:AG61)</f>
        <v>533.38784461797729</v>
      </c>
      <c r="AH199" s="185">
        <f>SUM('Output - Jobs vs Yr (BAU)'!AH58:AH61)</f>
        <v>533.38849837790815</v>
      </c>
    </row>
    <row r="200" spans="1:34">
      <c r="A200" t="s">
        <v>393</v>
      </c>
      <c r="C200" s="332">
        <f>SUM(C201:C202)</f>
        <v>1552.2429999999999</v>
      </c>
      <c r="D200" s="332">
        <f t="shared" ref="D200:AH200" si="111">SUM(D201:D202)</f>
        <v>1768.3490000000002</v>
      </c>
      <c r="E200" s="332">
        <f t="shared" si="111"/>
        <v>1758.1443372053761</v>
      </c>
      <c r="F200" s="332">
        <f t="shared" si="111"/>
        <v>1720.8572004942298</v>
      </c>
      <c r="G200" s="332">
        <f t="shared" si="111"/>
        <v>1675.9630111556808</v>
      </c>
      <c r="H200" s="403">
        <f t="shared" si="111"/>
        <v>1740.9680128044959</v>
      </c>
      <c r="I200" s="14">
        <f t="shared" si="111"/>
        <v>1779.7295122351977</v>
      </c>
      <c r="J200" s="14">
        <f t="shared" si="111"/>
        <v>1817.0110536581037</v>
      </c>
      <c r="K200" s="14">
        <f t="shared" si="111"/>
        <v>1869.8841058766343</v>
      </c>
      <c r="L200" s="14">
        <f t="shared" si="111"/>
        <v>1883.0285125912346</v>
      </c>
      <c r="M200" s="14">
        <f t="shared" si="111"/>
        <v>1875.7987792832228</v>
      </c>
      <c r="N200" s="188">
        <f t="shared" si="111"/>
        <v>1836.9715206994722</v>
      </c>
      <c r="O200" s="14">
        <f t="shared" si="111"/>
        <v>1813.5330953019181</v>
      </c>
      <c r="P200" s="14">
        <f t="shared" si="111"/>
        <v>1761.8268784136967</v>
      </c>
      <c r="Q200" s="14">
        <f t="shared" si="111"/>
        <v>1723.1842373203094</v>
      </c>
      <c r="R200" s="14">
        <f t="shared" si="111"/>
        <v>1708.0374179497855</v>
      </c>
      <c r="S200" s="15">
        <f t="shared" si="111"/>
        <v>1701.8072234397846</v>
      </c>
      <c r="T200" s="14">
        <f t="shared" si="111"/>
        <v>1650.0788804775311</v>
      </c>
      <c r="U200" s="14">
        <f t="shared" si="111"/>
        <v>1581.2637915189953</v>
      </c>
      <c r="V200" s="14">
        <f t="shared" si="111"/>
        <v>1583.6412889849942</v>
      </c>
      <c r="W200" s="14">
        <f t="shared" si="111"/>
        <v>1527.9492442680798</v>
      </c>
      <c r="X200" s="188">
        <f t="shared" si="111"/>
        <v>1552.9612899811268</v>
      </c>
      <c r="Y200" s="159">
        <f t="shared" si="111"/>
        <v>1575.3463036001372</v>
      </c>
      <c r="Z200" s="159">
        <f t="shared" si="111"/>
        <v>1621.8998067767834</v>
      </c>
      <c r="AA200" s="159">
        <f t="shared" si="111"/>
        <v>1668.2195548938014</v>
      </c>
      <c r="AB200" s="159">
        <f t="shared" si="111"/>
        <v>1695.8063673631236</v>
      </c>
      <c r="AC200" s="159">
        <f t="shared" si="111"/>
        <v>1676.9243068859748</v>
      </c>
      <c r="AD200" s="159">
        <f t="shared" si="111"/>
        <v>1663.3704592691333</v>
      </c>
      <c r="AE200" s="159">
        <f t="shared" si="111"/>
        <v>1651.6234987861658</v>
      </c>
      <c r="AF200" s="159">
        <f t="shared" si="111"/>
        <v>1637.1070961995222</v>
      </c>
      <c r="AG200" s="159">
        <f t="shared" si="111"/>
        <v>1615.6909116975826</v>
      </c>
      <c r="AH200" s="188">
        <f t="shared" si="111"/>
        <v>1562.5852814134573</v>
      </c>
    </row>
    <row r="201" spans="1:34">
      <c r="A201" t="s">
        <v>394</v>
      </c>
      <c r="C201" s="331">
        <f>SUM('Output - Jobs vs Yr (BAU)'!C53:C54)</f>
        <v>816.96999999999991</v>
      </c>
      <c r="D201" s="331">
        <f>SUM('Output - Jobs vs Yr (BAU)'!D53:D54)</f>
        <v>930.71</v>
      </c>
      <c r="E201" s="331">
        <f>SUM('Output - Jobs vs Yr (BAU)'!E53:E54)</f>
        <v>925.33912484493476</v>
      </c>
      <c r="F201" s="331">
        <f>SUM('Output - Jobs vs Yr (BAU)'!F53:F54)</f>
        <v>905.71431604959457</v>
      </c>
      <c r="G201" s="331">
        <f>SUM('Output - Jobs vs Yr (BAU)'!G53:G54)</f>
        <v>882.08579534509511</v>
      </c>
      <c r="H201" s="287">
        <f>SUM('Output - Jobs vs Yr (BAU)'!H53:H54)</f>
        <v>916.29895410762936</v>
      </c>
      <c r="I201" s="118">
        <f>SUM('Output - Jobs vs Yr (BAU)'!I53:I54)</f>
        <v>936.69974328168303</v>
      </c>
      <c r="J201" s="118">
        <f>SUM('Output - Jobs vs Yr (BAU)'!J53:J54)</f>
        <v>956.32160718847558</v>
      </c>
      <c r="K201" s="118">
        <f>SUM('Output - Jobs vs Yr (BAU)'!K53:K54)</f>
        <v>984.14952940875492</v>
      </c>
      <c r="L201" s="118">
        <f>SUM('Output - Jobs vs Yr (BAU)'!L53:L54)</f>
        <v>991.06763820591289</v>
      </c>
      <c r="M201" s="118">
        <f>SUM('Output - Jobs vs Yr (BAU)'!M53:M54)</f>
        <v>987.26251541222257</v>
      </c>
      <c r="N201" s="178">
        <f>SUM('Output - Jobs vs Yr (BAU)'!N53:N54)</f>
        <v>966.82711615761696</v>
      </c>
      <c r="O201" s="118">
        <f>SUM('Output - Jobs vs Yr (BAU)'!O53:O54)</f>
        <v>954.49110279048318</v>
      </c>
      <c r="P201" s="118">
        <f>SUM('Output - Jobs vs Yr (BAU)'!P53:P54)</f>
        <v>927.27730442826146</v>
      </c>
      <c r="Q201" s="118">
        <f>SUM('Output - Jobs vs Yr (BAU)'!Q53:Q54)</f>
        <v>906.93907227384705</v>
      </c>
      <c r="R201" s="118">
        <f>SUM('Output - Jobs vs Yr (BAU)'!R53:R54)</f>
        <v>898.96706207883449</v>
      </c>
      <c r="S201" s="118">
        <f>SUM('Output - Jobs vs Yr (BAU)'!S53:S54)</f>
        <v>895.68801233672866</v>
      </c>
      <c r="T201" s="118">
        <f>SUM('Output - Jobs vs Yr (BAU)'!T53:T54)</f>
        <v>868.4625686723848</v>
      </c>
      <c r="U201" s="118">
        <f>SUM('Output - Jobs vs Yr (BAU)'!U53:U54)</f>
        <v>832.2441007994712</v>
      </c>
      <c r="V201" s="118">
        <f>SUM('Output - Jobs vs Yr (BAU)'!V53:V54)</f>
        <v>833.49541525526013</v>
      </c>
      <c r="W201" s="118">
        <f>SUM('Output - Jobs vs Yr (BAU)'!W53:W54)</f>
        <v>804.1838127726736</v>
      </c>
      <c r="X201" s="185">
        <f>SUM('Output - Jobs vs Yr (BAU)'!X53:X54)</f>
        <v>817.34804735848775</v>
      </c>
      <c r="Y201" s="272">
        <f>SUM('Output - Jobs vs Yr (BAU)'!Y53:Y54)</f>
        <v>829.12963347375648</v>
      </c>
      <c r="Z201" s="272">
        <f>SUM('Output - Jobs vs Yr (BAU)'!Z53:Z54)</f>
        <v>853.63147725093859</v>
      </c>
      <c r="AA201" s="272">
        <f>SUM('Output - Jobs vs Yr (BAU)'!AA53:AA54)</f>
        <v>878.01029204936913</v>
      </c>
      <c r="AB201" s="272">
        <f>SUM('Output - Jobs vs Yr (BAU)'!AB53:AB54)</f>
        <v>892.52966703322295</v>
      </c>
      <c r="AC201" s="272">
        <f>SUM('Output - Jobs vs Yr (BAU)'!AC53:AC54)</f>
        <v>882.59174046630255</v>
      </c>
      <c r="AD201" s="272">
        <f>SUM('Output - Jobs vs Yr (BAU)'!AD53:AD54)</f>
        <v>875.45813645743863</v>
      </c>
      <c r="AE201" s="272">
        <f>SUM('Output - Jobs vs Yr (BAU)'!AE53:AE54)</f>
        <v>869.27552567692931</v>
      </c>
      <c r="AF201" s="272">
        <f>SUM('Output - Jobs vs Yr (BAU)'!AF53:AF54)</f>
        <v>861.63531378922221</v>
      </c>
      <c r="AG201" s="272">
        <f>SUM('Output - Jobs vs Yr (BAU)'!AG53:AG54)</f>
        <v>850.3636377355698</v>
      </c>
      <c r="AH201" s="185">
        <f>SUM('Output - Jobs vs Yr (BAU)'!AH53:AH54)</f>
        <v>822.41330600708284</v>
      </c>
    </row>
    <row r="202" spans="1:34">
      <c r="A202" t="s">
        <v>395</v>
      </c>
      <c r="C202" s="331">
        <f>SUM('Output - Jobs vs Yr (BAU)'!C71:C72)</f>
        <v>735.27300000000002</v>
      </c>
      <c r="D202" s="331">
        <f>SUM('Output - Jobs vs Yr (BAU)'!D71:D72)</f>
        <v>837.63900000000001</v>
      </c>
      <c r="E202" s="331">
        <f>SUM('Output - Jobs vs Yr (BAU)'!E71:E72)</f>
        <v>832.80521236044137</v>
      </c>
      <c r="F202" s="331">
        <f>SUM('Output - Jobs vs Yr (BAU)'!F71:F72)</f>
        <v>815.14288444463511</v>
      </c>
      <c r="G202" s="331">
        <f>SUM('Output - Jobs vs Yr (BAU)'!G71:G72)</f>
        <v>793.87721581058565</v>
      </c>
      <c r="H202" s="287">
        <f>SUM('Output - Jobs vs Yr (BAU)'!H71:H72)</f>
        <v>824.6690586968665</v>
      </c>
      <c r="I202" s="118">
        <f>SUM('Output - Jobs vs Yr (BAU)'!I71:I72)</f>
        <v>843.02976895351469</v>
      </c>
      <c r="J202" s="118">
        <f>SUM('Output - Jobs vs Yr (BAU)'!J71:J72)</f>
        <v>860.68944646962802</v>
      </c>
      <c r="K202" s="118">
        <f>SUM('Output - Jobs vs Yr (BAU)'!K71:K72)</f>
        <v>885.73457646787938</v>
      </c>
      <c r="L202" s="118">
        <f>SUM('Output - Jobs vs Yr (BAU)'!L71:L72)</f>
        <v>891.96087438532163</v>
      </c>
      <c r="M202" s="118">
        <f>SUM('Output - Jobs vs Yr (BAU)'!M71:M72)</f>
        <v>888.5362638710003</v>
      </c>
      <c r="N202" s="178">
        <f>SUM('Output - Jobs vs Yr (BAU)'!N71:N72)</f>
        <v>870.14440454185524</v>
      </c>
      <c r="O202" s="118">
        <f>SUM('Output - Jobs vs Yr (BAU)'!O71:O72)</f>
        <v>859.04199251143496</v>
      </c>
      <c r="P202" s="118">
        <f>SUM('Output - Jobs vs Yr (BAU)'!P71:P72)</f>
        <v>834.54957398543525</v>
      </c>
      <c r="Q202" s="118">
        <f>SUM('Output - Jobs vs Yr (BAU)'!Q71:Q72)</f>
        <v>816.24516504646238</v>
      </c>
      <c r="R202" s="118">
        <f>SUM('Output - Jobs vs Yr (BAU)'!R71:R72)</f>
        <v>809.07035587095106</v>
      </c>
      <c r="S202" s="118">
        <f>SUM('Output - Jobs vs Yr (BAU)'!S71:S72)</f>
        <v>806.11921110305582</v>
      </c>
      <c r="T202" s="118">
        <f>SUM('Output - Jobs vs Yr (BAU)'!T71:T72)</f>
        <v>781.61631180514644</v>
      </c>
      <c r="U202" s="118">
        <f>SUM('Output - Jobs vs Yr (BAU)'!U71:U72)</f>
        <v>749.01969071952408</v>
      </c>
      <c r="V202" s="118">
        <f>SUM('Output - Jobs vs Yr (BAU)'!V71:V72)</f>
        <v>750.14587372973403</v>
      </c>
      <c r="W202" s="118">
        <f>SUM('Output - Jobs vs Yr (BAU)'!W71:W72)</f>
        <v>723.76543149540623</v>
      </c>
      <c r="X202" s="185">
        <f>SUM('Output - Jobs vs Yr (BAU)'!X71:X72)</f>
        <v>735.61324262263895</v>
      </c>
      <c r="Y202" s="272">
        <f>SUM('Output - Jobs vs Yr (BAU)'!Y71:Y72)</f>
        <v>746.21667012638079</v>
      </c>
      <c r="Z202" s="272">
        <f>SUM('Output - Jobs vs Yr (BAU)'!Z71:Z72)</f>
        <v>768.26832952584471</v>
      </c>
      <c r="AA202" s="272">
        <f>SUM('Output - Jobs vs Yr (BAU)'!AA71:AA72)</f>
        <v>790.20926284443226</v>
      </c>
      <c r="AB202" s="272">
        <f>SUM('Output - Jobs vs Yr (BAU)'!AB71:AB72)</f>
        <v>803.27670032990068</v>
      </c>
      <c r="AC202" s="272">
        <f>SUM('Output - Jobs vs Yr (BAU)'!AC71:AC72)</f>
        <v>794.33256641967228</v>
      </c>
      <c r="AD202" s="272">
        <f>SUM('Output - Jobs vs Yr (BAU)'!AD71:AD72)</f>
        <v>787.91232281169471</v>
      </c>
      <c r="AE202" s="272">
        <f>SUM('Output - Jobs vs Yr (BAU)'!AE71:AE72)</f>
        <v>782.34797310923636</v>
      </c>
      <c r="AF202" s="272">
        <f>SUM('Output - Jobs vs Yr (BAU)'!AF71:AF72)</f>
        <v>775.47178241029997</v>
      </c>
      <c r="AG202" s="272">
        <f>SUM('Output - Jobs vs Yr (BAU)'!AG71:AG72)</f>
        <v>765.32727396201278</v>
      </c>
      <c r="AH202" s="185">
        <f>SUM('Output - Jobs vs Yr (BAU)'!AH71:AH72)</f>
        <v>740.1719754063746</v>
      </c>
    </row>
    <row r="203" spans="1:34">
      <c r="A203" s="1" t="s">
        <v>424</v>
      </c>
      <c r="C203" s="332">
        <f>SUM(C191,C194,C197,C200)</f>
        <v>4994.990749999999</v>
      </c>
      <c r="D203" s="332">
        <f t="shared" ref="D203:AH203" si="112">SUM(D191,D194,D197,D200)</f>
        <v>5201.8988500000005</v>
      </c>
      <c r="E203" s="332">
        <f t="shared" si="112"/>
        <v>5386.2432013788912</v>
      </c>
      <c r="F203" s="332">
        <f t="shared" si="112"/>
        <v>5250.8010845514254</v>
      </c>
      <c r="G203" s="332">
        <f t="shared" si="112"/>
        <v>5127.4365047245119</v>
      </c>
      <c r="H203" s="403">
        <f t="shared" si="112"/>
        <v>5281.1587690290089</v>
      </c>
      <c r="I203" s="14">
        <f t="shared" si="112"/>
        <v>6208.0019011391441</v>
      </c>
      <c r="J203" s="14">
        <f t="shared" si="112"/>
        <v>7188.2374236084488</v>
      </c>
      <c r="K203" s="14">
        <f t="shared" si="112"/>
        <v>7304.224427995774</v>
      </c>
      <c r="L203" s="14">
        <f t="shared" si="112"/>
        <v>7354.5183969063855</v>
      </c>
      <c r="M203" s="133">
        <f t="shared" si="112"/>
        <v>7396.7519874227546</v>
      </c>
      <c r="N203" s="194">
        <f t="shared" si="112"/>
        <v>7399.2802259823466</v>
      </c>
      <c r="O203" s="14">
        <f t="shared" si="112"/>
        <v>7521.8302396544914</v>
      </c>
      <c r="P203" s="14">
        <f t="shared" si="112"/>
        <v>7466.1374308934719</v>
      </c>
      <c r="Q203" s="14">
        <f t="shared" si="112"/>
        <v>7483.5712780796184</v>
      </c>
      <c r="R203" s="14">
        <f t="shared" si="112"/>
        <v>7486.8854897302781</v>
      </c>
      <c r="S203" s="14">
        <f t="shared" si="112"/>
        <v>7487.3790164843012</v>
      </c>
      <c r="T203" s="14">
        <f t="shared" si="112"/>
        <v>7452.5922891998453</v>
      </c>
      <c r="U203" s="14">
        <f t="shared" si="112"/>
        <v>7463.4727398808172</v>
      </c>
      <c r="V203" s="14">
        <f t="shared" si="112"/>
        <v>7630.5232174226967</v>
      </c>
      <c r="W203" s="14">
        <f t="shared" si="112"/>
        <v>7571.8571790923561</v>
      </c>
      <c r="X203" s="188">
        <f t="shared" si="112"/>
        <v>7613.1884076623974</v>
      </c>
      <c r="Y203" s="159">
        <f t="shared" si="112"/>
        <v>7671.1116965254987</v>
      </c>
      <c r="Z203" s="159">
        <f t="shared" si="112"/>
        <v>7727.3422578997715</v>
      </c>
      <c r="AA203" s="159">
        <f t="shared" si="112"/>
        <v>7835.3759647660881</v>
      </c>
      <c r="AB203" s="159">
        <f t="shared" si="112"/>
        <v>7922.1881209636667</v>
      </c>
      <c r="AC203" s="159">
        <f t="shared" si="112"/>
        <v>7923.8342772348778</v>
      </c>
      <c r="AD203" s="159">
        <f t="shared" si="112"/>
        <v>8050.3799458790072</v>
      </c>
      <c r="AE203" s="159">
        <f t="shared" si="112"/>
        <v>8178.4240207233379</v>
      </c>
      <c r="AF203" s="159">
        <f t="shared" si="112"/>
        <v>8140.5107959752713</v>
      </c>
      <c r="AG203" s="159">
        <f t="shared" si="112"/>
        <v>8154.3730283852692</v>
      </c>
      <c r="AH203" s="188">
        <f t="shared" si="112"/>
        <v>8141.3181234892818</v>
      </c>
    </row>
    <row r="204" spans="1:34">
      <c r="A204" s="1" t="s">
        <v>447</v>
      </c>
      <c r="C204" s="332"/>
      <c r="D204" s="332">
        <f>D194+D197</f>
        <v>3433.5498500000003</v>
      </c>
      <c r="E204" s="332">
        <f t="shared" ref="E204:AH204" si="113">E194+E197</f>
        <v>3628.0988641735153</v>
      </c>
      <c r="F204" s="332">
        <f t="shared" si="113"/>
        <v>3529.9438840571961</v>
      </c>
      <c r="G204" s="332">
        <f t="shared" si="113"/>
        <v>3451.4734935688311</v>
      </c>
      <c r="H204" s="403">
        <f t="shared" si="113"/>
        <v>3540.1907562245133</v>
      </c>
      <c r="I204" s="14">
        <f t="shared" si="113"/>
        <v>4428.2723889039462</v>
      </c>
      <c r="J204" s="14">
        <f t="shared" si="113"/>
        <v>5371.2263699503455</v>
      </c>
      <c r="K204" s="14">
        <f t="shared" si="113"/>
        <v>5434.3403221191402</v>
      </c>
      <c r="L204" s="14">
        <f t="shared" si="113"/>
        <v>5471.4898843151514</v>
      </c>
      <c r="M204" s="14">
        <f t="shared" si="113"/>
        <v>5520.9532081395319</v>
      </c>
      <c r="N204" s="188">
        <f t="shared" si="113"/>
        <v>5562.3087052828741</v>
      </c>
      <c r="O204" s="14">
        <f t="shared" si="113"/>
        <v>5708.297144352573</v>
      </c>
      <c r="P204" s="14">
        <f t="shared" si="113"/>
        <v>5704.3105524797747</v>
      </c>
      <c r="Q204" s="14">
        <f t="shared" si="113"/>
        <v>5760.3870407593085</v>
      </c>
      <c r="R204" s="14">
        <f t="shared" si="113"/>
        <v>5778.8480717804923</v>
      </c>
      <c r="S204" s="14">
        <f t="shared" si="113"/>
        <v>5785.5717930445162</v>
      </c>
      <c r="T204" s="14">
        <f t="shared" si="113"/>
        <v>5802.5134087223141</v>
      </c>
      <c r="U204" s="14">
        <f t="shared" si="113"/>
        <v>5882.208948361822</v>
      </c>
      <c r="V204" s="14">
        <f t="shared" si="113"/>
        <v>6046.8819284377023</v>
      </c>
      <c r="W204" s="14">
        <f t="shared" si="113"/>
        <v>6043.9079348242767</v>
      </c>
      <c r="X204" s="188">
        <f t="shared" si="113"/>
        <v>6060.2271176812701</v>
      </c>
      <c r="Y204" s="159">
        <f t="shared" si="113"/>
        <v>6095.7653929253611</v>
      </c>
      <c r="Z204" s="159">
        <f t="shared" si="113"/>
        <v>6105.4424511229881</v>
      </c>
      <c r="AA204" s="159">
        <f t="shared" si="113"/>
        <v>6167.1564098722865</v>
      </c>
      <c r="AB204" s="159">
        <f t="shared" si="113"/>
        <v>6226.3817536005427</v>
      </c>
      <c r="AC204" s="159">
        <f t="shared" si="113"/>
        <v>6246.9099703489028</v>
      </c>
      <c r="AD204" s="159">
        <f t="shared" si="113"/>
        <v>6387.0094866098743</v>
      </c>
      <c r="AE204" s="159">
        <f t="shared" si="113"/>
        <v>6526.8005219371726</v>
      </c>
      <c r="AF204" s="159">
        <f t="shared" si="113"/>
        <v>6503.4036997757494</v>
      </c>
      <c r="AG204" s="159">
        <f t="shared" si="113"/>
        <v>6538.6821166876862</v>
      </c>
      <c r="AH204" s="188">
        <f t="shared" si="113"/>
        <v>6578.732842075824</v>
      </c>
    </row>
    <row r="205" spans="1:34">
      <c r="A205" s="1"/>
      <c r="C205" s="332"/>
      <c r="D205" s="332"/>
      <c r="E205" s="332"/>
      <c r="F205" s="332"/>
      <c r="G205" s="332"/>
      <c r="H205" s="403"/>
      <c r="I205" s="14"/>
      <c r="J205" s="14"/>
      <c r="K205" s="14"/>
      <c r="L205" s="14"/>
      <c r="M205" s="14"/>
      <c r="N205" s="188"/>
      <c r="O205" s="14"/>
      <c r="P205" s="14"/>
      <c r="Q205" s="14"/>
      <c r="R205" s="14"/>
      <c r="S205" s="14"/>
      <c r="T205" s="14"/>
      <c r="U205" s="14"/>
      <c r="V205" s="14"/>
      <c r="W205" s="14"/>
      <c r="X205" s="188"/>
    </row>
    <row r="206" spans="1:34">
      <c r="A206" s="1" t="s">
        <v>452</v>
      </c>
      <c r="C206" s="332"/>
      <c r="D206" s="332">
        <f>D194</f>
        <v>2347.7027000000003</v>
      </c>
      <c r="E206" s="332">
        <f>D206+E194</f>
        <v>4769.2873022486856</v>
      </c>
      <c r="F206" s="332">
        <f>E206+F194</f>
        <v>7282.3406750931063</v>
      </c>
      <c r="G206" s="332">
        <f>F206+G194</f>
        <v>9747.8976189332971</v>
      </c>
      <c r="H206" s="403">
        <f t="shared" ref="H206:X206" si="114">G206+H194</f>
        <v>12285.573746996903</v>
      </c>
      <c r="I206" s="14">
        <f t="shared" si="114"/>
        <v>15691.530630351233</v>
      </c>
      <c r="J206" s="14">
        <f t="shared" si="114"/>
        <v>20020.546766493208</v>
      </c>
      <c r="K206" s="14">
        <f t="shared" si="114"/>
        <v>24401.978269666241</v>
      </c>
      <c r="L206" s="14">
        <f t="shared" si="114"/>
        <v>28820.558920987329</v>
      </c>
      <c r="M206" s="14">
        <f t="shared" si="114"/>
        <v>33288.602758116809</v>
      </c>
      <c r="N206" s="188">
        <f t="shared" si="114"/>
        <v>37798.002644453576</v>
      </c>
      <c r="O206" s="14">
        <f t="shared" si="114"/>
        <v>42453.39096986004</v>
      </c>
      <c r="P206" s="14">
        <f t="shared" si="114"/>
        <v>47104.792427361739</v>
      </c>
      <c r="Q206" s="14">
        <f t="shared" si="114"/>
        <v>51760.139251181921</v>
      </c>
      <c r="R206" s="14">
        <f t="shared" si="114"/>
        <v>56433.947244039271</v>
      </c>
      <c r="S206" s="14">
        <f t="shared" si="114"/>
        <v>61114.47771601678</v>
      </c>
      <c r="T206" s="14">
        <f t="shared" si="114"/>
        <v>65811.94745740034</v>
      </c>
      <c r="U206" s="14">
        <f t="shared" si="114"/>
        <v>70581.398886985233</v>
      </c>
      <c r="V206" s="14">
        <f t="shared" si="114"/>
        <v>75507.822970774389</v>
      </c>
      <c r="W206" s="14">
        <f t="shared" si="114"/>
        <v>80431.271818806243</v>
      </c>
      <c r="X206" s="188">
        <f t="shared" si="114"/>
        <v>85371.03998771109</v>
      </c>
      <c r="Y206" s="159">
        <f t="shared" ref="Y206:AH206" si="115">X206+Y194</f>
        <v>90346.346293844035</v>
      </c>
      <c r="Z206" s="159">
        <f t="shared" si="115"/>
        <v>95331.329382142634</v>
      </c>
      <c r="AA206" s="159">
        <f t="shared" si="115"/>
        <v>100378.02808538236</v>
      </c>
      <c r="AB206" s="159">
        <f t="shared" si="115"/>
        <v>105483.95213235034</v>
      </c>
      <c r="AC206" s="159">
        <f t="shared" si="115"/>
        <v>110610.40439606669</v>
      </c>
      <c r="AD206" s="159">
        <f t="shared" si="115"/>
        <v>115871.37287737195</v>
      </c>
      <c r="AE206" s="159">
        <f t="shared" si="115"/>
        <v>121272.1323940045</v>
      </c>
      <c r="AF206" s="159">
        <f t="shared" si="115"/>
        <v>126649.49508847563</v>
      </c>
      <c r="AG206" s="159">
        <f t="shared" si="115"/>
        <v>132062.13619985868</v>
      </c>
      <c r="AH206" s="188">
        <f t="shared" si="115"/>
        <v>137514.82665647002</v>
      </c>
    </row>
    <row r="207" spans="1:34">
      <c r="A207" s="1" t="s">
        <v>455</v>
      </c>
      <c r="C207" s="332"/>
      <c r="D207" s="332">
        <f>D200</f>
        <v>1768.3490000000002</v>
      </c>
      <c r="E207" s="332">
        <f>D207+E200</f>
        <v>3526.4933372053765</v>
      </c>
      <c r="F207" s="332">
        <f>E207+F200</f>
        <v>5247.3505376996063</v>
      </c>
      <c r="G207" s="332">
        <f t="shared" ref="G207:X207" si="116">F207+G200</f>
        <v>6923.3135488552871</v>
      </c>
      <c r="H207" s="403">
        <f t="shared" si="116"/>
        <v>8664.2815616597836</v>
      </c>
      <c r="I207" s="14">
        <f t="shared" si="116"/>
        <v>10444.011073894981</v>
      </c>
      <c r="J207" s="14">
        <f t="shared" si="116"/>
        <v>12261.022127553084</v>
      </c>
      <c r="K207" s="14">
        <f t="shared" si="116"/>
        <v>14130.906233429718</v>
      </c>
      <c r="L207" s="14">
        <f t="shared" si="116"/>
        <v>16013.934746020952</v>
      </c>
      <c r="M207" s="14">
        <f t="shared" si="116"/>
        <v>17889.733525304175</v>
      </c>
      <c r="N207" s="188">
        <f t="shared" si="116"/>
        <v>19726.705046003648</v>
      </c>
      <c r="O207" s="14">
        <f t="shared" si="116"/>
        <v>21540.238141305566</v>
      </c>
      <c r="P207" s="14">
        <f t="shared" si="116"/>
        <v>23302.065019719263</v>
      </c>
      <c r="Q207" s="14">
        <f t="shared" si="116"/>
        <v>25025.249257039573</v>
      </c>
      <c r="R207" s="14">
        <f t="shared" si="116"/>
        <v>26733.286674989358</v>
      </c>
      <c r="S207" s="14">
        <f t="shared" si="116"/>
        <v>28435.093898429142</v>
      </c>
      <c r="T207" s="14">
        <f t="shared" si="116"/>
        <v>30085.172778906672</v>
      </c>
      <c r="U207" s="14">
        <f t="shared" si="116"/>
        <v>31666.436570425667</v>
      </c>
      <c r="V207" s="14">
        <f t="shared" si="116"/>
        <v>33250.07785941066</v>
      </c>
      <c r="W207" s="14">
        <f t="shared" si="116"/>
        <v>34778.027103678738</v>
      </c>
      <c r="X207" s="188">
        <f t="shared" si="116"/>
        <v>36330.988393659864</v>
      </c>
      <c r="Y207" s="159">
        <f t="shared" ref="Y207:AH207" si="117">X207+Y200</f>
        <v>37906.334697259997</v>
      </c>
      <c r="Z207" s="159">
        <f t="shared" si="117"/>
        <v>39528.23450403678</v>
      </c>
      <c r="AA207" s="159">
        <f t="shared" si="117"/>
        <v>41196.454058930583</v>
      </c>
      <c r="AB207" s="159">
        <f t="shared" si="117"/>
        <v>42892.260426293709</v>
      </c>
      <c r="AC207" s="159">
        <f t="shared" si="117"/>
        <v>44569.184733179682</v>
      </c>
      <c r="AD207" s="159">
        <f t="shared" si="117"/>
        <v>46232.555192448817</v>
      </c>
      <c r="AE207" s="159">
        <f t="shared" si="117"/>
        <v>47884.178691234985</v>
      </c>
      <c r="AF207" s="159">
        <f t="shared" si="117"/>
        <v>49521.285787434506</v>
      </c>
      <c r="AG207" s="159">
        <f t="shared" si="117"/>
        <v>51136.976699132087</v>
      </c>
      <c r="AH207" s="188">
        <f t="shared" si="117"/>
        <v>52699.561980545543</v>
      </c>
    </row>
    <row r="208" spans="1:34">
      <c r="A208" s="1"/>
      <c r="C208" s="332"/>
      <c r="D208" s="332"/>
      <c r="E208" s="332"/>
      <c r="F208" s="332"/>
      <c r="G208" s="332"/>
      <c r="H208" s="403"/>
      <c r="I208" s="14"/>
      <c r="J208" s="14"/>
      <c r="K208" s="14"/>
      <c r="L208" s="14"/>
      <c r="M208" s="14"/>
      <c r="N208" s="188"/>
      <c r="O208" s="14"/>
      <c r="P208" s="14"/>
      <c r="Q208" s="14"/>
      <c r="R208" s="14"/>
      <c r="S208" s="14"/>
      <c r="T208" s="14"/>
      <c r="U208" s="14"/>
      <c r="V208" s="14"/>
      <c r="W208" s="14"/>
      <c r="X208" s="188"/>
    </row>
    <row r="209" spans="1:34">
      <c r="A209" s="1" t="s">
        <v>411</v>
      </c>
      <c r="C209" s="332"/>
      <c r="D209" s="332"/>
      <c r="E209" s="332"/>
      <c r="F209" s="332"/>
      <c r="G209" s="332"/>
      <c r="H209" s="403"/>
      <c r="I209" s="14"/>
      <c r="J209" s="14"/>
      <c r="K209" s="14"/>
      <c r="L209" s="14"/>
      <c r="M209" s="14"/>
      <c r="N209" s="188"/>
      <c r="O209" s="14"/>
      <c r="P209" s="14"/>
      <c r="Q209" s="14"/>
      <c r="R209" s="14"/>
      <c r="S209" s="14"/>
      <c r="T209" s="14"/>
      <c r="U209" s="14"/>
      <c r="V209" s="14"/>
      <c r="W209" s="14"/>
      <c r="X209" s="188"/>
    </row>
    <row r="210" spans="1:34" s="1" customFormat="1">
      <c r="A210" s="1" t="s">
        <v>408</v>
      </c>
      <c r="B210" s="13"/>
      <c r="C210" s="342">
        <f>SUM(C211:C212)</f>
        <v>0</v>
      </c>
      <c r="D210" s="342">
        <f t="shared" ref="D210:AH210" si="118">SUM(D211:D212)</f>
        <v>0</v>
      </c>
      <c r="E210" s="342">
        <f t="shared" si="118"/>
        <v>0</v>
      </c>
      <c r="F210" s="342">
        <f t="shared" si="118"/>
        <v>0</v>
      </c>
      <c r="G210" s="342">
        <f t="shared" si="118"/>
        <v>0</v>
      </c>
      <c r="H210" s="406">
        <f t="shared" si="118"/>
        <v>0</v>
      </c>
      <c r="I210" s="15">
        <f t="shared" si="118"/>
        <v>0</v>
      </c>
      <c r="J210" s="15">
        <f t="shared" si="118"/>
        <v>0</v>
      </c>
      <c r="K210" s="15">
        <f t="shared" si="118"/>
        <v>0</v>
      </c>
      <c r="L210" s="15">
        <f t="shared" si="118"/>
        <v>0</v>
      </c>
      <c r="M210" s="15">
        <f t="shared" si="118"/>
        <v>0</v>
      </c>
      <c r="N210" s="191">
        <f t="shared" si="118"/>
        <v>0</v>
      </c>
      <c r="O210" s="15">
        <f>SUM(O211:O212)</f>
        <v>0</v>
      </c>
      <c r="P210" s="15">
        <f t="shared" si="118"/>
        <v>0</v>
      </c>
      <c r="Q210" s="15">
        <f t="shared" si="118"/>
        <v>0</v>
      </c>
      <c r="R210" s="15">
        <f t="shared" si="118"/>
        <v>0</v>
      </c>
      <c r="S210" s="15">
        <f t="shared" si="118"/>
        <v>0</v>
      </c>
      <c r="T210" s="15">
        <f t="shared" si="118"/>
        <v>0</v>
      </c>
      <c r="U210" s="15">
        <f t="shared" si="118"/>
        <v>0</v>
      </c>
      <c r="V210" s="15">
        <f t="shared" si="118"/>
        <v>0</v>
      </c>
      <c r="W210" s="15">
        <f t="shared" si="118"/>
        <v>0</v>
      </c>
      <c r="X210" s="191">
        <f t="shared" si="118"/>
        <v>0</v>
      </c>
      <c r="Y210" s="131">
        <f t="shared" si="118"/>
        <v>0</v>
      </c>
      <c r="Z210" s="131">
        <f t="shared" si="118"/>
        <v>0</v>
      </c>
      <c r="AA210" s="131">
        <f t="shared" si="118"/>
        <v>0</v>
      </c>
      <c r="AB210" s="131">
        <f t="shared" si="118"/>
        <v>0</v>
      </c>
      <c r="AC210" s="131">
        <f t="shared" si="118"/>
        <v>0</v>
      </c>
      <c r="AD210" s="131">
        <f t="shared" si="118"/>
        <v>0</v>
      </c>
      <c r="AE210" s="131">
        <f t="shared" si="118"/>
        <v>0</v>
      </c>
      <c r="AF210" s="131">
        <f t="shared" si="118"/>
        <v>0</v>
      </c>
      <c r="AG210" s="131">
        <f t="shared" si="118"/>
        <v>0</v>
      </c>
      <c r="AH210" s="191">
        <f t="shared" si="118"/>
        <v>0</v>
      </c>
    </row>
    <row r="211" spans="1:34">
      <c r="A211" t="s">
        <v>409</v>
      </c>
      <c r="C211" s="332">
        <f>C100</f>
        <v>0</v>
      </c>
      <c r="D211" s="332">
        <f t="shared" ref="D211:AH211" si="119">D100</f>
        <v>0</v>
      </c>
      <c r="E211" s="332">
        <f t="shared" si="119"/>
        <v>0</v>
      </c>
      <c r="F211" s="332">
        <f t="shared" si="119"/>
        <v>0</v>
      </c>
      <c r="G211" s="332">
        <f t="shared" si="119"/>
        <v>0</v>
      </c>
      <c r="H211" s="403">
        <f t="shared" si="119"/>
        <v>0</v>
      </c>
      <c r="I211" s="14">
        <f t="shared" si="119"/>
        <v>0</v>
      </c>
      <c r="J211" s="14">
        <f t="shared" si="119"/>
        <v>0</v>
      </c>
      <c r="K211" s="14">
        <f t="shared" si="119"/>
        <v>0</v>
      </c>
      <c r="L211" s="14">
        <f t="shared" si="119"/>
        <v>0</v>
      </c>
      <c r="M211" s="14">
        <f t="shared" si="119"/>
        <v>0</v>
      </c>
      <c r="N211" s="188">
        <f t="shared" si="119"/>
        <v>0</v>
      </c>
      <c r="O211" s="14">
        <f>O100</f>
        <v>0</v>
      </c>
      <c r="P211" s="14">
        <f t="shared" si="119"/>
        <v>0</v>
      </c>
      <c r="Q211" s="14">
        <f t="shared" si="119"/>
        <v>0</v>
      </c>
      <c r="R211" s="14">
        <f t="shared" si="119"/>
        <v>0</v>
      </c>
      <c r="S211" s="14">
        <f t="shared" si="119"/>
        <v>0</v>
      </c>
      <c r="T211" s="14">
        <f t="shared" si="119"/>
        <v>0</v>
      </c>
      <c r="U211" s="14">
        <f t="shared" si="119"/>
        <v>0</v>
      </c>
      <c r="V211" s="14">
        <f t="shared" si="119"/>
        <v>0</v>
      </c>
      <c r="W211" s="14">
        <f t="shared" si="119"/>
        <v>0</v>
      </c>
      <c r="X211" s="188">
        <f t="shared" si="119"/>
        <v>0</v>
      </c>
      <c r="Y211" s="159">
        <f t="shared" si="119"/>
        <v>0</v>
      </c>
      <c r="Z211" s="159">
        <f t="shared" si="119"/>
        <v>0</v>
      </c>
      <c r="AA211" s="159">
        <f t="shared" si="119"/>
        <v>0</v>
      </c>
      <c r="AB211" s="159">
        <f t="shared" si="119"/>
        <v>0</v>
      </c>
      <c r="AC211" s="159">
        <f t="shared" si="119"/>
        <v>0</v>
      </c>
      <c r="AD211" s="159">
        <f t="shared" si="119"/>
        <v>0</v>
      </c>
      <c r="AE211" s="159">
        <f t="shared" si="119"/>
        <v>0</v>
      </c>
      <c r="AF211" s="159">
        <f t="shared" si="119"/>
        <v>0</v>
      </c>
      <c r="AG211" s="159">
        <f t="shared" si="119"/>
        <v>0</v>
      </c>
      <c r="AH211" s="188">
        <f t="shared" si="119"/>
        <v>0</v>
      </c>
    </row>
    <row r="212" spans="1:34">
      <c r="A212" t="s">
        <v>410</v>
      </c>
      <c r="C212" s="332">
        <f>C127</f>
        <v>0</v>
      </c>
      <c r="D212" s="332">
        <f t="shared" ref="D212:AH212" si="120">D127</f>
        <v>0</v>
      </c>
      <c r="E212" s="332">
        <f t="shared" si="120"/>
        <v>0</v>
      </c>
      <c r="F212" s="332">
        <f t="shared" si="120"/>
        <v>0</v>
      </c>
      <c r="G212" s="332">
        <f t="shared" si="120"/>
        <v>0</v>
      </c>
      <c r="H212" s="403">
        <f t="shared" si="120"/>
        <v>0</v>
      </c>
      <c r="I212" s="14">
        <f t="shared" si="120"/>
        <v>0</v>
      </c>
      <c r="J212" s="14">
        <f t="shared" si="120"/>
        <v>0</v>
      </c>
      <c r="K212" s="14">
        <f t="shared" si="120"/>
        <v>0</v>
      </c>
      <c r="L212" s="14">
        <f t="shared" si="120"/>
        <v>0</v>
      </c>
      <c r="M212" s="14">
        <f t="shared" si="120"/>
        <v>0</v>
      </c>
      <c r="N212" s="188">
        <f t="shared" si="120"/>
        <v>0</v>
      </c>
      <c r="O212" s="14">
        <f>O127</f>
        <v>0</v>
      </c>
      <c r="P212" s="14">
        <f t="shared" si="120"/>
        <v>0</v>
      </c>
      <c r="Q212" s="14">
        <f t="shared" si="120"/>
        <v>0</v>
      </c>
      <c r="R212" s="14">
        <f t="shared" si="120"/>
        <v>0</v>
      </c>
      <c r="S212" s="14">
        <f t="shared" si="120"/>
        <v>0</v>
      </c>
      <c r="T212" s="14">
        <f t="shared" si="120"/>
        <v>0</v>
      </c>
      <c r="U212" s="14">
        <f t="shared" si="120"/>
        <v>0</v>
      </c>
      <c r="V212" s="14">
        <f t="shared" si="120"/>
        <v>0</v>
      </c>
      <c r="W212" s="14">
        <f t="shared" si="120"/>
        <v>0</v>
      </c>
      <c r="X212" s="188">
        <f t="shared" si="120"/>
        <v>0</v>
      </c>
      <c r="Y212" s="159">
        <f t="shared" si="120"/>
        <v>0</v>
      </c>
      <c r="Z212" s="159">
        <f t="shared" si="120"/>
        <v>0</v>
      </c>
      <c r="AA212" s="159">
        <f t="shared" si="120"/>
        <v>0</v>
      </c>
      <c r="AB212" s="159">
        <f t="shared" si="120"/>
        <v>0</v>
      </c>
      <c r="AC212" s="159">
        <f t="shared" si="120"/>
        <v>0</v>
      </c>
      <c r="AD212" s="159">
        <f t="shared" si="120"/>
        <v>0</v>
      </c>
      <c r="AE212" s="159">
        <f t="shared" si="120"/>
        <v>0</v>
      </c>
      <c r="AF212" s="159">
        <f t="shared" si="120"/>
        <v>0</v>
      </c>
      <c r="AG212" s="159">
        <f t="shared" si="120"/>
        <v>0</v>
      </c>
      <c r="AH212" s="188">
        <f t="shared" si="120"/>
        <v>0</v>
      </c>
    </row>
    <row r="213" spans="1:34" s="1" customFormat="1">
      <c r="A213" s="1" t="s">
        <v>396</v>
      </c>
      <c r="B213" s="13"/>
      <c r="C213" s="342">
        <f>SUM(C214:C215)</f>
        <v>2242.3303299999998</v>
      </c>
      <c r="D213" s="342">
        <f t="shared" ref="D213:AH213" si="121">SUM(D214:D215)</f>
        <v>2528.7975259840687</v>
      </c>
      <c r="E213" s="342">
        <f t="shared" si="121"/>
        <v>2743.371236755218</v>
      </c>
      <c r="F213" s="342">
        <f t="shared" si="121"/>
        <v>2913.419965878019</v>
      </c>
      <c r="G213" s="342">
        <f t="shared" si="121"/>
        <v>3253.3336492375674</v>
      </c>
      <c r="H213" s="406">
        <f t="shared" si="121"/>
        <v>2537.6758580636051</v>
      </c>
      <c r="I213" s="15">
        <f t="shared" si="121"/>
        <v>3619.5051137611786</v>
      </c>
      <c r="J213" s="15">
        <f t="shared" si="121"/>
        <v>4508.1182630912353</v>
      </c>
      <c r="K213" s="15">
        <f t="shared" si="121"/>
        <v>4724.055987593767</v>
      </c>
      <c r="L213" s="15">
        <f t="shared" si="121"/>
        <v>4925.255835946984</v>
      </c>
      <c r="M213" s="15">
        <f t="shared" si="121"/>
        <v>5205.1601314342461</v>
      </c>
      <c r="N213" s="191">
        <f t="shared" si="121"/>
        <v>5789.4914228481866</v>
      </c>
      <c r="O213" s="15">
        <f t="shared" si="121"/>
        <v>5872.0160713969981</v>
      </c>
      <c r="P213" s="15">
        <f t="shared" si="121"/>
        <v>5855.8817502007278</v>
      </c>
      <c r="Q213" s="15">
        <f t="shared" si="121"/>
        <v>5907.5211754900074</v>
      </c>
      <c r="R213" s="15">
        <f t="shared" si="121"/>
        <v>5948.626161687318</v>
      </c>
      <c r="S213" s="15">
        <f t="shared" si="121"/>
        <v>5997.9138346557147</v>
      </c>
      <c r="T213" s="15">
        <f t="shared" si="121"/>
        <v>5996.8021301428353</v>
      </c>
      <c r="U213" s="15">
        <f t="shared" si="121"/>
        <v>6006.6391393201029</v>
      </c>
      <c r="V213" s="15">
        <f t="shared" si="121"/>
        <v>6149.9840437217226</v>
      </c>
      <c r="W213" s="15">
        <f t="shared" si="121"/>
        <v>6138.6974113971155</v>
      </c>
      <c r="X213" s="191">
        <f t="shared" si="121"/>
        <v>6237.4300334529071</v>
      </c>
      <c r="Y213" s="131">
        <f t="shared" si="121"/>
        <v>6321.7481054887066</v>
      </c>
      <c r="Z213" s="131">
        <f t="shared" si="121"/>
        <v>6424.054688556098</v>
      </c>
      <c r="AA213" s="131">
        <f t="shared" si="121"/>
        <v>6555.3748630650543</v>
      </c>
      <c r="AB213" s="131">
        <f t="shared" si="121"/>
        <v>6662.7184692315532</v>
      </c>
      <c r="AC213" s="131">
        <f t="shared" si="121"/>
        <v>6689.6839302688968</v>
      </c>
      <c r="AD213" s="131">
        <f t="shared" si="121"/>
        <v>6798.5568763483361</v>
      </c>
      <c r="AE213" s="131">
        <f t="shared" si="121"/>
        <v>6903.6087085227919</v>
      </c>
      <c r="AF213" s="131">
        <f t="shared" si="121"/>
        <v>6917.1237956941914</v>
      </c>
      <c r="AG213" s="131">
        <f t="shared" si="121"/>
        <v>6950.6749146262146</v>
      </c>
      <c r="AH213" s="191">
        <f t="shared" si="121"/>
        <v>6947.449371946238</v>
      </c>
    </row>
    <row r="214" spans="1:34">
      <c r="A214" t="s">
        <v>397</v>
      </c>
      <c r="C214" s="332">
        <f>C115</f>
        <v>1180.1739999999998</v>
      </c>
      <c r="D214" s="332">
        <f t="shared" ref="D214:AH214" si="122">D115</f>
        <v>1330.9462146546957</v>
      </c>
      <c r="E214" s="332">
        <f t="shared" si="122"/>
        <v>1443.8797496944896</v>
      </c>
      <c r="F214" s="332">
        <f t="shared" si="122"/>
        <v>1533.3790769166631</v>
      </c>
      <c r="G214" s="332">
        <f t="shared" si="122"/>
        <v>1712.2810152940476</v>
      </c>
      <c r="H214" s="403">
        <f t="shared" si="122"/>
        <v>1335.6190147703182</v>
      </c>
      <c r="I214" s="14">
        <f t="shared" si="122"/>
        <v>1905.002851140192</v>
      </c>
      <c r="J214" s="14">
        <f t="shared" si="122"/>
        <v>2372.6939997112449</v>
      </c>
      <c r="K214" s="14">
        <f t="shared" si="122"/>
        <v>2486.3454368772391</v>
      </c>
      <c r="L214" s="14">
        <f t="shared" si="122"/>
        <v>2592.2400954392256</v>
      </c>
      <c r="M214" s="14">
        <f t="shared" si="122"/>
        <v>2739.5581466672902</v>
      </c>
      <c r="N214" s="183">
        <f t="shared" si="122"/>
        <v>3047.1009313124196</v>
      </c>
      <c r="O214" s="14">
        <f t="shared" si="122"/>
        <v>3090.5349594650352</v>
      </c>
      <c r="P214" s="14">
        <f t="shared" si="122"/>
        <v>3082.0432109585554</v>
      </c>
      <c r="Q214" s="14">
        <f t="shared" si="122"/>
        <v>3109.2218574749695</v>
      </c>
      <c r="R214" s="14">
        <f t="shared" si="122"/>
        <v>3130.8560620320586</v>
      </c>
      <c r="S214" s="14">
        <f t="shared" si="122"/>
        <v>3156.7969440949491</v>
      </c>
      <c r="T214" s="14">
        <f t="shared" si="122"/>
        <v>3156.2118364215585</v>
      </c>
      <c r="U214" s="14">
        <f t="shared" si="122"/>
        <v>3161.3892099827463</v>
      </c>
      <c r="V214" s="14">
        <f t="shared" si="122"/>
        <v>3236.8339010271611</v>
      </c>
      <c r="W214" s="14">
        <f t="shared" si="122"/>
        <v>3230.8935678690591</v>
      </c>
      <c r="X214" s="188">
        <f t="shared" si="122"/>
        <v>3282.8581089045329</v>
      </c>
      <c r="Y214" s="159">
        <f t="shared" si="122"/>
        <v>3327.2360442120798</v>
      </c>
      <c r="Z214" s="159">
        <f t="shared" si="122"/>
        <v>3381.0816174715483</v>
      </c>
      <c r="AA214" s="159">
        <f t="shared" si="122"/>
        <v>3450.1975029303603</v>
      </c>
      <c r="AB214" s="159">
        <f t="shared" si="122"/>
        <v>3506.6941411375656</v>
      </c>
      <c r="AC214" s="159">
        <f t="shared" si="122"/>
        <v>3520.8864899017231</v>
      </c>
      <c r="AD214" s="159">
        <f t="shared" si="122"/>
        <v>3578.1880439007755</v>
      </c>
      <c r="AE214" s="159">
        <f t="shared" si="122"/>
        <v>3633.478485197842</v>
      </c>
      <c r="AF214" s="159">
        <f t="shared" si="122"/>
        <v>3640.5916893981657</v>
      </c>
      <c r="AG214" s="159">
        <f t="shared" si="122"/>
        <v>3658.2501741038996</v>
      </c>
      <c r="AH214" s="188">
        <f t="shared" si="122"/>
        <v>3656.5525199601598</v>
      </c>
    </row>
    <row r="215" spans="1:34">
      <c r="A215" t="s">
        <v>398</v>
      </c>
      <c r="C215" s="332">
        <f>C142</f>
        <v>1062.15633</v>
      </c>
      <c r="D215" s="332">
        <f t="shared" ref="D215:AH215" si="123">D142</f>
        <v>1197.8513113293729</v>
      </c>
      <c r="E215" s="332">
        <f t="shared" si="123"/>
        <v>1299.4914870607281</v>
      </c>
      <c r="F215" s="332">
        <f t="shared" si="123"/>
        <v>1380.0408889613561</v>
      </c>
      <c r="G215" s="332">
        <f t="shared" si="123"/>
        <v>1541.0526339435196</v>
      </c>
      <c r="H215" s="403">
        <f t="shared" si="123"/>
        <v>1202.0568432932866</v>
      </c>
      <c r="I215" s="14">
        <f t="shared" si="123"/>
        <v>1714.5022626209866</v>
      </c>
      <c r="J215" s="14">
        <f t="shared" si="123"/>
        <v>2135.42426337999</v>
      </c>
      <c r="K215" s="14">
        <f t="shared" si="123"/>
        <v>2237.7105507165279</v>
      </c>
      <c r="L215" s="14">
        <f t="shared" si="123"/>
        <v>2333.0157405077584</v>
      </c>
      <c r="M215" s="14">
        <f t="shared" si="123"/>
        <v>2465.6019847669554</v>
      </c>
      <c r="N215" s="183">
        <f t="shared" si="123"/>
        <v>2742.3904915357666</v>
      </c>
      <c r="O215" s="14">
        <f t="shared" si="123"/>
        <v>2781.4811119319625</v>
      </c>
      <c r="P215" s="14">
        <f t="shared" si="123"/>
        <v>2773.8385392421724</v>
      </c>
      <c r="Q215" s="14">
        <f t="shared" si="123"/>
        <v>2798.2993180150379</v>
      </c>
      <c r="R215" s="14">
        <f t="shared" si="123"/>
        <v>2817.7700996552594</v>
      </c>
      <c r="S215" s="14">
        <f t="shared" si="123"/>
        <v>2841.1168905607656</v>
      </c>
      <c r="T215" s="14">
        <f t="shared" si="123"/>
        <v>2840.5902937212768</v>
      </c>
      <c r="U215" s="14">
        <f t="shared" si="123"/>
        <v>2845.2499293373562</v>
      </c>
      <c r="V215" s="14">
        <f t="shared" si="123"/>
        <v>2913.150142694562</v>
      </c>
      <c r="W215" s="14">
        <f t="shared" si="123"/>
        <v>2907.8038435280564</v>
      </c>
      <c r="X215" s="188">
        <f t="shared" si="123"/>
        <v>2954.5719245483738</v>
      </c>
      <c r="Y215" s="159">
        <f t="shared" si="123"/>
        <v>2994.5120612766268</v>
      </c>
      <c r="Z215" s="159">
        <f t="shared" si="123"/>
        <v>3042.9730710845497</v>
      </c>
      <c r="AA215" s="159">
        <f t="shared" si="123"/>
        <v>3105.177360134694</v>
      </c>
      <c r="AB215" s="159">
        <f t="shared" si="123"/>
        <v>3156.0243280939876</v>
      </c>
      <c r="AC215" s="159">
        <f t="shared" si="123"/>
        <v>3168.7974403671737</v>
      </c>
      <c r="AD215" s="159">
        <f t="shared" si="123"/>
        <v>3220.3688324475606</v>
      </c>
      <c r="AE215" s="159">
        <f t="shared" si="123"/>
        <v>3270.1302233249498</v>
      </c>
      <c r="AF215" s="159">
        <f t="shared" si="123"/>
        <v>3276.5321062960256</v>
      </c>
      <c r="AG215" s="159">
        <f t="shared" si="123"/>
        <v>3292.424740522315</v>
      </c>
      <c r="AH215" s="188">
        <f t="shared" si="123"/>
        <v>3290.8968519860782</v>
      </c>
    </row>
    <row r="216" spans="1:34">
      <c r="A216" t="s">
        <v>399</v>
      </c>
      <c r="C216" s="332">
        <f>SUM(C217:C218)</f>
        <v>1200.41715</v>
      </c>
      <c r="D216" s="332">
        <f t="shared" ref="D216:AH216" si="124">SUM(D217:D218)</f>
        <v>1210.6691645514602</v>
      </c>
      <c r="E216" s="332">
        <f t="shared" si="124"/>
        <v>1192.4838406666163</v>
      </c>
      <c r="F216" s="332">
        <f t="shared" si="124"/>
        <v>1120.0245914422171</v>
      </c>
      <c r="G216" s="332">
        <f t="shared" si="124"/>
        <v>1076.7676924058701</v>
      </c>
      <c r="H216" s="403">
        <f t="shared" si="124"/>
        <v>1002.5146281609087</v>
      </c>
      <c r="I216" s="14">
        <f t="shared" si="124"/>
        <v>1091.9222211333499</v>
      </c>
      <c r="J216" s="14">
        <f t="shared" si="124"/>
        <v>1172.3426242687333</v>
      </c>
      <c r="K216" s="14">
        <f t="shared" si="124"/>
        <v>1154.9829934226418</v>
      </c>
      <c r="L216" s="14">
        <f t="shared" si="124"/>
        <v>1126.0283518429565</v>
      </c>
      <c r="M216" s="14">
        <f t="shared" si="124"/>
        <v>1093.2662617901901</v>
      </c>
      <c r="N216" s="191">
        <f t="shared" si="124"/>
        <v>1052.908818946107</v>
      </c>
      <c r="O216" s="14">
        <f t="shared" si="124"/>
        <v>1066.8077322647027</v>
      </c>
      <c r="P216" s="14">
        <f t="shared" si="124"/>
        <v>1062.7236075179408</v>
      </c>
      <c r="Q216" s="14">
        <f t="shared" si="124"/>
        <v>1070.8859613371428</v>
      </c>
      <c r="R216" s="14">
        <f t="shared" si="124"/>
        <v>1077.0740781959403</v>
      </c>
      <c r="S216" s="15">
        <f t="shared" si="124"/>
        <v>1084.679361827024</v>
      </c>
      <c r="T216" s="14">
        <f t="shared" si="124"/>
        <v>1083.1152545429718</v>
      </c>
      <c r="U216" s="14">
        <f t="shared" si="124"/>
        <v>1083.4829303224215</v>
      </c>
      <c r="V216" s="14">
        <f t="shared" si="124"/>
        <v>1107.8529367362987</v>
      </c>
      <c r="W216" s="14">
        <f t="shared" si="124"/>
        <v>1104.2926615696765</v>
      </c>
      <c r="X216" s="188">
        <f t="shared" si="124"/>
        <v>1120.4589487764297</v>
      </c>
      <c r="Y216" s="159">
        <f t="shared" si="124"/>
        <v>1124.1607064811242</v>
      </c>
      <c r="Z216" s="159">
        <f t="shared" si="124"/>
        <v>1130.8030168018431</v>
      </c>
      <c r="AA216" s="159">
        <f t="shared" si="124"/>
        <v>1142.2131900823711</v>
      </c>
      <c r="AB216" s="159">
        <f t="shared" si="124"/>
        <v>1149.1010924465158</v>
      </c>
      <c r="AC216" s="159">
        <f t="shared" si="124"/>
        <v>1141.9696449074336</v>
      </c>
      <c r="AD216" s="159">
        <f t="shared" si="124"/>
        <v>1148.6633279508744</v>
      </c>
      <c r="AE216" s="159">
        <f t="shared" si="124"/>
        <v>1154.4202665768971</v>
      </c>
      <c r="AF216" s="159">
        <f t="shared" si="124"/>
        <v>1144.747191948813</v>
      </c>
      <c r="AG216" s="159">
        <f t="shared" si="124"/>
        <v>1138.391391960266</v>
      </c>
      <c r="AH216" s="188">
        <f t="shared" si="124"/>
        <v>1126.0423854644728</v>
      </c>
    </row>
    <row r="217" spans="1:34">
      <c r="A217" t="s">
        <v>400</v>
      </c>
      <c r="C217" s="332">
        <f>C114</f>
        <v>631.79849999999999</v>
      </c>
      <c r="D217" s="332">
        <f t="shared" ref="D217:AH217" si="125">D114</f>
        <v>637.1942971323474</v>
      </c>
      <c r="E217" s="332">
        <f t="shared" si="125"/>
        <v>627.62307403506111</v>
      </c>
      <c r="F217" s="332">
        <f t="shared" si="125"/>
        <v>589.48662707485119</v>
      </c>
      <c r="G217" s="332">
        <f t="shared" si="125"/>
        <v>566.71983810835263</v>
      </c>
      <c r="H217" s="403">
        <f t="shared" si="125"/>
        <v>527.63927797942563</v>
      </c>
      <c r="I217" s="14">
        <f t="shared" si="125"/>
        <v>574.69590585965784</v>
      </c>
      <c r="J217" s="14">
        <f t="shared" si="125"/>
        <v>617.02243382564905</v>
      </c>
      <c r="K217" s="14">
        <f t="shared" si="125"/>
        <v>607.88578601191671</v>
      </c>
      <c r="L217" s="14">
        <f t="shared" si="125"/>
        <v>592.64650096997707</v>
      </c>
      <c r="M217" s="14">
        <f t="shared" si="125"/>
        <v>575.40329567904735</v>
      </c>
      <c r="N217" s="188">
        <f t="shared" si="125"/>
        <v>554.1625362874247</v>
      </c>
      <c r="O217" s="14">
        <f t="shared" si="125"/>
        <v>561.47775382352779</v>
      </c>
      <c r="P217" s="14">
        <f t="shared" si="125"/>
        <v>559.32821448312666</v>
      </c>
      <c r="Q217" s="14">
        <f t="shared" si="125"/>
        <v>563.62419017744355</v>
      </c>
      <c r="R217" s="14">
        <f t="shared" si="125"/>
        <v>566.88109378733691</v>
      </c>
      <c r="S217" s="14">
        <f t="shared" si="125"/>
        <v>570.88387464580205</v>
      </c>
      <c r="T217" s="14">
        <f t="shared" si="125"/>
        <v>570.0606602857747</v>
      </c>
      <c r="U217" s="14">
        <f t="shared" si="125"/>
        <v>570.25417385390597</v>
      </c>
      <c r="V217" s="14">
        <f t="shared" si="125"/>
        <v>583.08049301910455</v>
      </c>
      <c r="W217" s="14">
        <f t="shared" si="125"/>
        <v>581.20666398404035</v>
      </c>
      <c r="X217" s="188">
        <f t="shared" si="125"/>
        <v>589.71523619812081</v>
      </c>
      <c r="Y217" s="159">
        <f t="shared" si="125"/>
        <v>591.66352972690743</v>
      </c>
      <c r="Z217" s="159">
        <f t="shared" si="125"/>
        <v>595.15948252728583</v>
      </c>
      <c r="AA217" s="159">
        <f t="shared" si="125"/>
        <v>601.1648368854585</v>
      </c>
      <c r="AB217" s="159">
        <f t="shared" si="125"/>
        <v>604.790048656061</v>
      </c>
      <c r="AC217" s="159">
        <f t="shared" si="125"/>
        <v>601.03665521443872</v>
      </c>
      <c r="AD217" s="159">
        <f t="shared" si="125"/>
        <v>604.55964628993388</v>
      </c>
      <c r="AE217" s="159">
        <f t="shared" si="125"/>
        <v>607.58961398784049</v>
      </c>
      <c r="AF217" s="159">
        <f t="shared" si="125"/>
        <v>602.49852207832259</v>
      </c>
      <c r="AG217" s="159">
        <f t="shared" si="125"/>
        <v>599.15336418961374</v>
      </c>
      <c r="AH217" s="188">
        <f t="shared" si="125"/>
        <v>592.65388708656462</v>
      </c>
    </row>
    <row r="218" spans="1:34">
      <c r="A218" t="s">
        <v>401</v>
      </c>
      <c r="C218" s="332">
        <f>C141</f>
        <v>568.61865</v>
      </c>
      <c r="D218" s="332">
        <f t="shared" ref="D218:AH218" si="126">D141</f>
        <v>573.47486741911268</v>
      </c>
      <c r="E218" s="332">
        <f t="shared" si="126"/>
        <v>564.86076663155507</v>
      </c>
      <c r="F218" s="332">
        <f t="shared" si="126"/>
        <v>530.53796436736604</v>
      </c>
      <c r="G218" s="332">
        <f t="shared" si="126"/>
        <v>510.0478542975174</v>
      </c>
      <c r="H218" s="403">
        <f t="shared" si="126"/>
        <v>474.8753501814831</v>
      </c>
      <c r="I218" s="14">
        <f t="shared" si="126"/>
        <v>517.22631527369208</v>
      </c>
      <c r="J218" s="14">
        <f t="shared" si="126"/>
        <v>555.32019044308413</v>
      </c>
      <c r="K218" s="14">
        <f t="shared" si="126"/>
        <v>547.0972074107251</v>
      </c>
      <c r="L218" s="14">
        <f t="shared" si="126"/>
        <v>533.38185087297938</v>
      </c>
      <c r="M218" s="14">
        <f t="shared" si="126"/>
        <v>517.86296611114267</v>
      </c>
      <c r="N218" s="188">
        <f t="shared" si="126"/>
        <v>498.74628265868222</v>
      </c>
      <c r="O218" s="14">
        <f t="shared" si="126"/>
        <v>505.329978441175</v>
      </c>
      <c r="P218" s="14">
        <f t="shared" si="126"/>
        <v>503.39539303481399</v>
      </c>
      <c r="Q218" s="14">
        <f t="shared" si="126"/>
        <v>507.26177115969921</v>
      </c>
      <c r="R218" s="14">
        <f t="shared" si="126"/>
        <v>510.19298440860325</v>
      </c>
      <c r="S218" s="14">
        <f t="shared" si="126"/>
        <v>513.79548718122192</v>
      </c>
      <c r="T218" s="14">
        <f t="shared" si="126"/>
        <v>513.05459425719721</v>
      </c>
      <c r="U218" s="14">
        <f t="shared" si="126"/>
        <v>513.22875646851537</v>
      </c>
      <c r="V218" s="14">
        <f t="shared" si="126"/>
        <v>524.77244371719416</v>
      </c>
      <c r="W218" s="14">
        <f t="shared" si="126"/>
        <v>523.08599758563628</v>
      </c>
      <c r="X218" s="188">
        <f t="shared" si="126"/>
        <v>530.74371257830876</v>
      </c>
      <c r="Y218" s="159">
        <f t="shared" si="126"/>
        <v>532.49717675421675</v>
      </c>
      <c r="Z218" s="159">
        <f t="shared" si="126"/>
        <v>535.64353427455728</v>
      </c>
      <c r="AA218" s="159">
        <f t="shared" si="126"/>
        <v>541.04835319691267</v>
      </c>
      <c r="AB218" s="159">
        <f t="shared" si="126"/>
        <v>544.31104379045496</v>
      </c>
      <c r="AC218" s="159">
        <f t="shared" si="126"/>
        <v>540.93298969299485</v>
      </c>
      <c r="AD218" s="159">
        <f t="shared" si="126"/>
        <v>544.10368166094054</v>
      </c>
      <c r="AE218" s="159">
        <f t="shared" si="126"/>
        <v>546.83065258905651</v>
      </c>
      <c r="AF218" s="159">
        <f t="shared" si="126"/>
        <v>542.2486698704904</v>
      </c>
      <c r="AG218" s="159">
        <f t="shared" si="126"/>
        <v>539.23802777065237</v>
      </c>
      <c r="AH218" s="188">
        <f t="shared" si="126"/>
        <v>533.38849837790815</v>
      </c>
    </row>
    <row r="219" spans="1:34" s="1" customFormat="1">
      <c r="A219" s="1" t="s">
        <v>393</v>
      </c>
      <c r="B219" s="13"/>
      <c r="C219" s="342">
        <f>SUM(C220:C221)</f>
        <v>1458.0947700000002</v>
      </c>
      <c r="D219" s="342">
        <f t="shared" ref="D219:AH219" si="127">SUM(D220:D221)</f>
        <v>1493.1088911956058</v>
      </c>
      <c r="E219" s="342">
        <f t="shared" si="127"/>
        <v>1527.3732433947423</v>
      </c>
      <c r="F219" s="342">
        <f t="shared" si="127"/>
        <v>1383.6141888909137</v>
      </c>
      <c r="G219" s="342">
        <f t="shared" si="127"/>
        <v>1208.0868442384926</v>
      </c>
      <c r="H219" s="406">
        <f t="shared" si="127"/>
        <v>1704.3667121973849</v>
      </c>
      <c r="I219" s="15">
        <f t="shared" si="127"/>
        <v>1469.7345909437199</v>
      </c>
      <c r="J219" s="15">
        <f t="shared" si="127"/>
        <v>1366.0311415927777</v>
      </c>
      <c r="K219" s="15">
        <f t="shared" si="127"/>
        <v>1364.1022580713197</v>
      </c>
      <c r="L219" s="15">
        <f t="shared" si="127"/>
        <v>1325.6854337031282</v>
      </c>
      <c r="M219" s="15">
        <f t="shared" si="127"/>
        <v>1224.5789205835822</v>
      </c>
      <c r="N219" s="191">
        <f t="shared" si="127"/>
        <v>896.62628170820767</v>
      </c>
      <c r="O219" s="15">
        <f t="shared" si="127"/>
        <v>875.67453163049504</v>
      </c>
      <c r="P219" s="15">
        <f t="shared" si="127"/>
        <v>838.89779630285716</v>
      </c>
      <c r="Q219" s="15">
        <f t="shared" si="127"/>
        <v>812.1524353661747</v>
      </c>
      <c r="R219" s="15">
        <f t="shared" si="127"/>
        <v>784.15502079274552</v>
      </c>
      <c r="S219" s="15">
        <f t="shared" si="127"/>
        <v>756.52811785286735</v>
      </c>
      <c r="T219" s="15">
        <f t="shared" si="127"/>
        <v>722.20759126071425</v>
      </c>
      <c r="U219" s="15">
        <f t="shared" si="127"/>
        <v>689.0754294167898</v>
      </c>
      <c r="V219" s="15">
        <f t="shared" si="127"/>
        <v>672.47561715970915</v>
      </c>
      <c r="W219" s="15">
        <f t="shared" si="127"/>
        <v>636.90681444135896</v>
      </c>
      <c r="X219" s="191">
        <f t="shared" si="127"/>
        <v>613.76653245262219</v>
      </c>
      <c r="Y219" s="131">
        <f t="shared" si="127"/>
        <v>610.99365566191329</v>
      </c>
      <c r="Z219" s="131">
        <f t="shared" si="127"/>
        <v>610.00769855254612</v>
      </c>
      <c r="AA219" s="131">
        <f t="shared" si="127"/>
        <v>611.52879160492603</v>
      </c>
      <c r="AB219" s="131">
        <f t="shared" si="127"/>
        <v>610.14952122613659</v>
      </c>
      <c r="AC219" s="131">
        <f t="shared" si="127"/>
        <v>600.52052866338045</v>
      </c>
      <c r="AD219" s="131">
        <f t="shared" si="127"/>
        <v>598.53101272970491</v>
      </c>
      <c r="AE219" s="131">
        <f t="shared" si="127"/>
        <v>596.02723428051786</v>
      </c>
      <c r="AF219" s="131">
        <f t="shared" si="127"/>
        <v>584.45999005845897</v>
      </c>
      <c r="AG219" s="131">
        <f t="shared" si="127"/>
        <v>574.7529393969287</v>
      </c>
      <c r="AH219" s="191">
        <f t="shared" si="127"/>
        <v>561.63075509584303</v>
      </c>
    </row>
    <row r="220" spans="1:34">
      <c r="A220" t="s">
        <v>402</v>
      </c>
      <c r="C220" s="332">
        <f>SUM(C116:C117)</f>
        <v>767.41830000000004</v>
      </c>
      <c r="D220" s="332">
        <f t="shared" ref="D220:AH220" si="128">SUM(D116:D117)</f>
        <v>785.84678483979258</v>
      </c>
      <c r="E220" s="332">
        <f t="shared" si="128"/>
        <v>803.88065441828542</v>
      </c>
      <c r="F220" s="332">
        <f t="shared" si="128"/>
        <v>728.2179941531125</v>
      </c>
      <c r="G220" s="332">
        <f t="shared" si="128"/>
        <v>635.83518117815402</v>
      </c>
      <c r="H220" s="403">
        <f t="shared" si="128"/>
        <v>897.03511168283421</v>
      </c>
      <c r="I220" s="14">
        <f t="shared" si="128"/>
        <v>773.54452154932619</v>
      </c>
      <c r="J220" s="14">
        <f t="shared" si="128"/>
        <v>718.96375873304089</v>
      </c>
      <c r="K220" s="14">
        <f t="shared" si="128"/>
        <v>717.94855687964196</v>
      </c>
      <c r="L220" s="14">
        <f t="shared" si="128"/>
        <v>697.72917563322528</v>
      </c>
      <c r="M220" s="14">
        <f t="shared" si="128"/>
        <v>644.51522135978007</v>
      </c>
      <c r="N220" s="188">
        <f t="shared" si="128"/>
        <v>471.90856932010928</v>
      </c>
      <c r="O220" s="14">
        <f t="shared" si="128"/>
        <v>460.88133243710269</v>
      </c>
      <c r="P220" s="14">
        <f t="shared" si="128"/>
        <v>441.52515594887223</v>
      </c>
      <c r="Q220" s="14">
        <f t="shared" si="128"/>
        <v>427.44865019272351</v>
      </c>
      <c r="R220" s="14">
        <f t="shared" si="128"/>
        <v>412.71316883828712</v>
      </c>
      <c r="S220" s="14">
        <f t="shared" si="128"/>
        <v>398.17269360677227</v>
      </c>
      <c r="T220" s="14">
        <f t="shared" si="128"/>
        <v>380.10925855827071</v>
      </c>
      <c r="U220" s="14">
        <f t="shared" si="128"/>
        <v>362.67127864041572</v>
      </c>
      <c r="V220" s="14">
        <f t="shared" si="128"/>
        <v>353.93453534721533</v>
      </c>
      <c r="W220" s="14">
        <f t="shared" si="128"/>
        <v>335.21411286387314</v>
      </c>
      <c r="X220" s="188">
        <f t="shared" si="128"/>
        <v>323.03501708032746</v>
      </c>
      <c r="Y220" s="159">
        <f t="shared" si="128"/>
        <v>321.57560824311224</v>
      </c>
      <c r="Z220" s="159">
        <f t="shared" si="128"/>
        <v>321.05668344870844</v>
      </c>
      <c r="AA220" s="159">
        <f t="shared" si="128"/>
        <v>321.85725873943471</v>
      </c>
      <c r="AB220" s="159">
        <f t="shared" si="128"/>
        <v>321.1313269611245</v>
      </c>
      <c r="AC220" s="159">
        <f t="shared" si="128"/>
        <v>316.06343613862134</v>
      </c>
      <c r="AD220" s="159">
        <f t="shared" si="128"/>
        <v>315.01632248931838</v>
      </c>
      <c r="AE220" s="159">
        <f t="shared" si="128"/>
        <v>313.69854435816728</v>
      </c>
      <c r="AF220" s="159">
        <f t="shared" si="128"/>
        <v>307.61052108339948</v>
      </c>
      <c r="AG220" s="159">
        <f t="shared" si="128"/>
        <v>302.50154705101511</v>
      </c>
      <c r="AH220" s="188">
        <f t="shared" si="128"/>
        <v>295.59513426097004</v>
      </c>
    </row>
    <row r="221" spans="1:34">
      <c r="A221" t="s">
        <v>403</v>
      </c>
      <c r="C221" s="332">
        <f>SUM(C143:C144)</f>
        <v>690.67647000000011</v>
      </c>
      <c r="D221" s="332">
        <f t="shared" ref="D221:AH221" si="129">SUM(D143:D144)</f>
        <v>707.26210635581333</v>
      </c>
      <c r="E221" s="332">
        <f t="shared" si="129"/>
        <v>723.49258897645689</v>
      </c>
      <c r="F221" s="332">
        <f t="shared" si="129"/>
        <v>655.39619473780124</v>
      </c>
      <c r="G221" s="332">
        <f t="shared" si="129"/>
        <v>572.25166306033861</v>
      </c>
      <c r="H221" s="403">
        <f t="shared" si="129"/>
        <v>807.33160051455081</v>
      </c>
      <c r="I221" s="14">
        <f t="shared" si="129"/>
        <v>696.19006939439362</v>
      </c>
      <c r="J221" s="14">
        <f t="shared" si="129"/>
        <v>647.06738285973677</v>
      </c>
      <c r="K221" s="14">
        <f t="shared" si="129"/>
        <v>646.1537011916779</v>
      </c>
      <c r="L221" s="14">
        <f t="shared" si="129"/>
        <v>627.95625806990279</v>
      </c>
      <c r="M221" s="14">
        <f t="shared" si="129"/>
        <v>580.06369922380202</v>
      </c>
      <c r="N221" s="188">
        <f t="shared" si="129"/>
        <v>424.71771238809833</v>
      </c>
      <c r="O221" s="14">
        <f t="shared" si="129"/>
        <v>414.79319919339241</v>
      </c>
      <c r="P221" s="14">
        <f t="shared" si="129"/>
        <v>397.37264035398499</v>
      </c>
      <c r="Q221" s="14">
        <f t="shared" si="129"/>
        <v>384.70378517345119</v>
      </c>
      <c r="R221" s="14">
        <f t="shared" si="129"/>
        <v>371.44185195445834</v>
      </c>
      <c r="S221" s="14">
        <f t="shared" si="129"/>
        <v>358.35542424609508</v>
      </c>
      <c r="T221" s="14">
        <f t="shared" si="129"/>
        <v>342.0983327024436</v>
      </c>
      <c r="U221" s="14">
        <f t="shared" si="129"/>
        <v>326.40415077637414</v>
      </c>
      <c r="V221" s="14">
        <f t="shared" si="129"/>
        <v>318.54108181249381</v>
      </c>
      <c r="W221" s="14">
        <f t="shared" si="129"/>
        <v>301.69270157748582</v>
      </c>
      <c r="X221" s="188">
        <f t="shared" si="129"/>
        <v>290.73151537229478</v>
      </c>
      <c r="Y221" s="159">
        <f t="shared" si="129"/>
        <v>289.41804741880105</v>
      </c>
      <c r="Z221" s="159">
        <f t="shared" si="129"/>
        <v>288.95101510383762</v>
      </c>
      <c r="AA221" s="159">
        <f t="shared" si="129"/>
        <v>289.67153286549126</v>
      </c>
      <c r="AB221" s="159">
        <f t="shared" si="129"/>
        <v>289.01819426501203</v>
      </c>
      <c r="AC221" s="159">
        <f t="shared" si="129"/>
        <v>284.45709252475916</v>
      </c>
      <c r="AD221" s="159">
        <f t="shared" si="129"/>
        <v>283.51469024038653</v>
      </c>
      <c r="AE221" s="159">
        <f t="shared" si="129"/>
        <v>282.32868992235052</v>
      </c>
      <c r="AF221" s="159">
        <f t="shared" si="129"/>
        <v>276.84946897505955</v>
      </c>
      <c r="AG221" s="159">
        <f t="shared" si="129"/>
        <v>272.25139234591359</v>
      </c>
      <c r="AH221" s="188">
        <f t="shared" si="129"/>
        <v>266.03562083487299</v>
      </c>
    </row>
    <row r="222" spans="1:34">
      <c r="A222" s="1" t="s">
        <v>425</v>
      </c>
      <c r="C222" s="332">
        <f>SUM(C210,C213,C216,C219)</f>
        <v>4900.8422499999997</v>
      </c>
      <c r="D222" s="332">
        <f t="shared" ref="D222:AH222" si="130">SUM(D210,D213,D216,D219)</f>
        <v>5232.5755817311347</v>
      </c>
      <c r="E222" s="332">
        <f t="shared" si="130"/>
        <v>5463.2283208165763</v>
      </c>
      <c r="F222" s="332">
        <f t="shared" si="130"/>
        <v>5417.0587462111498</v>
      </c>
      <c r="G222" s="332">
        <f t="shared" si="130"/>
        <v>5538.1881858819306</v>
      </c>
      <c r="H222" s="403">
        <f t="shared" si="130"/>
        <v>5244.5571984218986</v>
      </c>
      <c r="I222" s="14">
        <f t="shared" si="130"/>
        <v>6181.161925838248</v>
      </c>
      <c r="J222" s="14">
        <f t="shared" si="130"/>
        <v>7046.4920289527454</v>
      </c>
      <c r="K222" s="14">
        <f t="shared" si="130"/>
        <v>7243.1412390877285</v>
      </c>
      <c r="L222" s="14">
        <f t="shared" si="130"/>
        <v>7376.9696214930691</v>
      </c>
      <c r="M222" s="14">
        <f t="shared" si="130"/>
        <v>7523.0053138080184</v>
      </c>
      <c r="N222" s="188">
        <f t="shared" si="130"/>
        <v>7739.0265235025017</v>
      </c>
      <c r="O222" s="14">
        <f t="shared" si="130"/>
        <v>7814.4983352921954</v>
      </c>
      <c r="P222" s="14">
        <f t="shared" si="130"/>
        <v>7757.5031540215259</v>
      </c>
      <c r="Q222" s="14">
        <f t="shared" si="130"/>
        <v>7790.559572193325</v>
      </c>
      <c r="R222" s="14">
        <f t="shared" si="130"/>
        <v>7809.855260676004</v>
      </c>
      <c r="S222" s="14">
        <f t="shared" si="130"/>
        <v>7839.1213143356063</v>
      </c>
      <c r="T222" s="14">
        <f t="shared" si="130"/>
        <v>7802.1249759465209</v>
      </c>
      <c r="U222" s="14">
        <f t="shared" si="130"/>
        <v>7779.1974990593144</v>
      </c>
      <c r="V222" s="14">
        <f t="shared" si="130"/>
        <v>7930.3125976177307</v>
      </c>
      <c r="W222" s="14">
        <f t="shared" si="130"/>
        <v>7879.8968874081502</v>
      </c>
      <c r="X222" s="188">
        <f t="shared" si="130"/>
        <v>7971.6555146819592</v>
      </c>
      <c r="Y222" s="159">
        <f t="shared" si="130"/>
        <v>8056.902467631744</v>
      </c>
      <c r="Z222" s="159">
        <f t="shared" si="130"/>
        <v>8164.8654039104877</v>
      </c>
      <c r="AA222" s="159">
        <f t="shared" si="130"/>
        <v>8309.1168447523505</v>
      </c>
      <c r="AB222" s="159">
        <f t="shared" si="130"/>
        <v>8421.9690829042047</v>
      </c>
      <c r="AC222" s="159">
        <f t="shared" si="130"/>
        <v>8432.1741038397104</v>
      </c>
      <c r="AD222" s="159">
        <f t="shared" si="130"/>
        <v>8545.7512170289156</v>
      </c>
      <c r="AE222" s="159">
        <f t="shared" si="130"/>
        <v>8654.0562093802073</v>
      </c>
      <c r="AF222" s="159">
        <f t="shared" si="130"/>
        <v>8646.330977701462</v>
      </c>
      <c r="AG222" s="159">
        <f t="shared" si="130"/>
        <v>8663.8192459834099</v>
      </c>
      <c r="AH222" s="188">
        <f t="shared" si="130"/>
        <v>8635.1225125065539</v>
      </c>
    </row>
    <row r="223" spans="1:34" s="1" customFormat="1">
      <c r="A223" s="1" t="s">
        <v>443</v>
      </c>
      <c r="B223" s="13"/>
      <c r="C223" s="329" t="s">
        <v>0</v>
      </c>
      <c r="D223" s="342">
        <f>D210+D213</f>
        <v>2528.7975259840687</v>
      </c>
      <c r="E223" s="342">
        <f t="shared" ref="E223:AH223" si="131">E210+E213</f>
        <v>2743.371236755218</v>
      </c>
      <c r="F223" s="342">
        <f t="shared" si="131"/>
        <v>2913.419965878019</v>
      </c>
      <c r="G223" s="342">
        <f t="shared" si="131"/>
        <v>3253.3336492375674</v>
      </c>
      <c r="H223" s="406">
        <f>H210+H213</f>
        <v>2537.6758580636051</v>
      </c>
      <c r="I223" s="15">
        <f t="shared" si="131"/>
        <v>3619.5051137611786</v>
      </c>
      <c r="J223" s="15">
        <f t="shared" si="131"/>
        <v>4508.1182630912353</v>
      </c>
      <c r="K223" s="15">
        <f t="shared" si="131"/>
        <v>4724.055987593767</v>
      </c>
      <c r="L223" s="15">
        <f t="shared" si="131"/>
        <v>4925.255835946984</v>
      </c>
      <c r="M223" s="15">
        <f t="shared" si="131"/>
        <v>5205.1601314342461</v>
      </c>
      <c r="N223" s="191">
        <f t="shared" si="131"/>
        <v>5789.4914228481866</v>
      </c>
      <c r="O223" s="15">
        <f t="shared" si="131"/>
        <v>5872.0160713969981</v>
      </c>
      <c r="P223" s="15">
        <f t="shared" si="131"/>
        <v>5855.8817502007278</v>
      </c>
      <c r="Q223" s="15">
        <f t="shared" si="131"/>
        <v>5907.5211754900074</v>
      </c>
      <c r="R223" s="15">
        <f t="shared" si="131"/>
        <v>5948.626161687318</v>
      </c>
      <c r="S223" s="15">
        <f t="shared" si="131"/>
        <v>5997.9138346557147</v>
      </c>
      <c r="T223" s="15">
        <f t="shared" si="131"/>
        <v>5996.8021301428353</v>
      </c>
      <c r="U223" s="15">
        <f t="shared" si="131"/>
        <v>6006.6391393201029</v>
      </c>
      <c r="V223" s="15">
        <f t="shared" si="131"/>
        <v>6149.9840437217226</v>
      </c>
      <c r="W223" s="15">
        <f t="shared" si="131"/>
        <v>6138.6974113971155</v>
      </c>
      <c r="X223" s="191">
        <f t="shared" si="131"/>
        <v>6237.4300334529071</v>
      </c>
      <c r="Y223" s="131">
        <f t="shared" si="131"/>
        <v>6321.7481054887066</v>
      </c>
      <c r="Z223" s="131">
        <f t="shared" si="131"/>
        <v>6424.054688556098</v>
      </c>
      <c r="AA223" s="131">
        <f t="shared" si="131"/>
        <v>6555.3748630650543</v>
      </c>
      <c r="AB223" s="131">
        <f t="shared" si="131"/>
        <v>6662.7184692315532</v>
      </c>
      <c r="AC223" s="131">
        <f t="shared" si="131"/>
        <v>6689.6839302688968</v>
      </c>
      <c r="AD223" s="131">
        <f t="shared" si="131"/>
        <v>6798.5568763483361</v>
      </c>
      <c r="AE223" s="131">
        <f t="shared" si="131"/>
        <v>6903.6087085227919</v>
      </c>
      <c r="AF223" s="131">
        <f t="shared" si="131"/>
        <v>6917.1237956941914</v>
      </c>
      <c r="AG223" s="131">
        <f t="shared" si="131"/>
        <v>6950.6749146262146</v>
      </c>
      <c r="AH223" s="191">
        <f t="shared" si="131"/>
        <v>6947.449371946238</v>
      </c>
    </row>
    <row r="224" spans="1:34">
      <c r="A224" t="s">
        <v>446</v>
      </c>
      <c r="D224" s="332">
        <f>D210+D213+D216</f>
        <v>3739.4666905355289</v>
      </c>
      <c r="E224" s="332">
        <f t="shared" ref="E224:AH224" si="132">E210+E213+E216</f>
        <v>3935.8550774218343</v>
      </c>
      <c r="F224" s="332">
        <f t="shared" si="132"/>
        <v>4033.4445573202361</v>
      </c>
      <c r="G224" s="332">
        <f t="shared" si="132"/>
        <v>4330.101341643438</v>
      </c>
      <c r="H224" s="403">
        <f t="shared" si="132"/>
        <v>3540.1904862245137</v>
      </c>
      <c r="I224" s="14">
        <f t="shared" si="132"/>
        <v>4711.427334894528</v>
      </c>
      <c r="J224" s="14">
        <f t="shared" si="132"/>
        <v>5680.4608873599682</v>
      </c>
      <c r="K224" s="14">
        <f t="shared" si="132"/>
        <v>5879.0389810164088</v>
      </c>
      <c r="L224" s="14">
        <f t="shared" si="132"/>
        <v>6051.2841877899409</v>
      </c>
      <c r="M224" s="14">
        <f t="shared" si="132"/>
        <v>6298.4263932244357</v>
      </c>
      <c r="N224" s="188">
        <f t="shared" si="132"/>
        <v>6842.4002417942938</v>
      </c>
      <c r="O224" s="14">
        <f t="shared" si="132"/>
        <v>6938.8238036617004</v>
      </c>
      <c r="P224" s="14">
        <f t="shared" si="132"/>
        <v>6918.6053577186685</v>
      </c>
      <c r="Q224" s="14">
        <f t="shared" si="132"/>
        <v>6978.4071368271507</v>
      </c>
      <c r="R224" s="14">
        <f t="shared" si="132"/>
        <v>7025.7002398832583</v>
      </c>
      <c r="S224" s="14">
        <f t="shared" si="132"/>
        <v>7082.5931964827387</v>
      </c>
      <c r="T224" s="14">
        <f t="shared" si="132"/>
        <v>7079.9173846858066</v>
      </c>
      <c r="U224" s="14">
        <f t="shared" si="132"/>
        <v>7090.1220696425244</v>
      </c>
      <c r="V224" s="14">
        <f t="shared" si="132"/>
        <v>7257.8369804580216</v>
      </c>
      <c r="W224" s="14">
        <f t="shared" si="132"/>
        <v>7242.9900729667916</v>
      </c>
      <c r="X224" s="188">
        <f t="shared" si="132"/>
        <v>7357.8889822293368</v>
      </c>
      <c r="Y224" s="159">
        <f t="shared" si="132"/>
        <v>7445.9088119698308</v>
      </c>
      <c r="Z224" s="159">
        <f t="shared" si="132"/>
        <v>7554.8577053579411</v>
      </c>
      <c r="AA224" s="159">
        <f t="shared" si="132"/>
        <v>7697.5880531474249</v>
      </c>
      <c r="AB224" s="159">
        <f t="shared" si="132"/>
        <v>7811.8195616780686</v>
      </c>
      <c r="AC224" s="159">
        <f t="shared" si="132"/>
        <v>7831.6535751763304</v>
      </c>
      <c r="AD224" s="159">
        <f t="shared" si="132"/>
        <v>7947.2202042992103</v>
      </c>
      <c r="AE224" s="159">
        <f t="shared" si="132"/>
        <v>8058.028975099689</v>
      </c>
      <c r="AF224" s="159">
        <f t="shared" si="132"/>
        <v>8061.8709876430039</v>
      </c>
      <c r="AG224" s="159">
        <f t="shared" si="132"/>
        <v>8089.066306586481</v>
      </c>
      <c r="AH224" s="188">
        <f t="shared" si="132"/>
        <v>8073.4917574107112</v>
      </c>
    </row>
    <row r="225" spans="1:34">
      <c r="D225" s="332"/>
      <c r="E225" s="332"/>
      <c r="F225" s="332"/>
      <c r="G225" s="332"/>
      <c r="H225" s="403"/>
      <c r="I225" s="14"/>
      <c r="J225" s="14"/>
      <c r="K225" s="14"/>
      <c r="L225" s="14"/>
      <c r="M225" s="14"/>
      <c r="N225" s="188"/>
      <c r="O225" s="14"/>
      <c r="P225" s="14"/>
      <c r="Q225" s="14"/>
      <c r="R225" s="14"/>
      <c r="S225" s="14"/>
      <c r="T225" s="14"/>
      <c r="U225" s="14"/>
      <c r="V225" s="14"/>
      <c r="W225" s="14"/>
      <c r="X225" s="188"/>
    </row>
    <row r="226" spans="1:34">
      <c r="A226" s="1" t="s">
        <v>453</v>
      </c>
      <c r="D226" s="332">
        <f>D210+D213</f>
        <v>2528.7975259840687</v>
      </c>
      <c r="E226" s="332">
        <f>D226+E210+E213</f>
        <v>5272.1687627392866</v>
      </c>
      <c r="F226" s="332">
        <f>E226+F210+F213</f>
        <v>8185.5887286173056</v>
      </c>
      <c r="G226" s="332">
        <f>F226+G210+G213</f>
        <v>11438.922377854873</v>
      </c>
      <c r="H226" s="403">
        <f t="shared" ref="H226:X226" si="133">G226+H210+H213</f>
        <v>13976.598235918478</v>
      </c>
      <c r="I226" s="14">
        <f t="shared" si="133"/>
        <v>17596.103349679655</v>
      </c>
      <c r="J226" s="14">
        <f t="shared" si="133"/>
        <v>22104.221612770889</v>
      </c>
      <c r="K226" s="14">
        <f t="shared" si="133"/>
        <v>26828.277600364658</v>
      </c>
      <c r="L226" s="14">
        <f t="shared" si="133"/>
        <v>31753.533436311642</v>
      </c>
      <c r="M226" s="14">
        <f t="shared" si="133"/>
        <v>36958.69356774589</v>
      </c>
      <c r="N226" s="188">
        <f t="shared" si="133"/>
        <v>42748.184990594076</v>
      </c>
      <c r="O226" s="14">
        <f t="shared" si="133"/>
        <v>48620.201061991072</v>
      </c>
      <c r="P226" s="14">
        <f t="shared" si="133"/>
        <v>54476.082812191802</v>
      </c>
      <c r="Q226" s="14">
        <f t="shared" si="133"/>
        <v>60383.60398768181</v>
      </c>
      <c r="R226" s="14">
        <f t="shared" si="133"/>
        <v>66332.230149369134</v>
      </c>
      <c r="S226" s="14">
        <f t="shared" si="133"/>
        <v>72330.143984024849</v>
      </c>
      <c r="T226" s="14">
        <f t="shared" si="133"/>
        <v>78326.946114167687</v>
      </c>
      <c r="U226" s="14">
        <f t="shared" si="133"/>
        <v>84333.585253487792</v>
      </c>
      <c r="V226" s="14">
        <f t="shared" si="133"/>
        <v>90483.569297209513</v>
      </c>
      <c r="W226" s="14">
        <f t="shared" si="133"/>
        <v>96622.266708606621</v>
      </c>
      <c r="X226" s="188">
        <f t="shared" si="133"/>
        <v>102859.69674205953</v>
      </c>
      <c r="Y226" s="159">
        <f t="shared" ref="Y226:AH226" si="134">X226+Y210+Y213</f>
        <v>109181.44484754823</v>
      </c>
      <c r="Z226" s="159">
        <f t="shared" si="134"/>
        <v>115605.49953610433</v>
      </c>
      <c r="AA226" s="159">
        <f t="shared" si="134"/>
        <v>122160.87439916938</v>
      </c>
      <c r="AB226" s="159">
        <f t="shared" si="134"/>
        <v>128823.59286840093</v>
      </c>
      <c r="AC226" s="159">
        <f t="shared" si="134"/>
        <v>135513.27679866983</v>
      </c>
      <c r="AD226" s="159">
        <f t="shared" si="134"/>
        <v>142311.83367501816</v>
      </c>
      <c r="AE226" s="159">
        <f t="shared" si="134"/>
        <v>149215.44238354097</v>
      </c>
      <c r="AF226" s="159">
        <f t="shared" si="134"/>
        <v>156132.56617923517</v>
      </c>
      <c r="AG226" s="159">
        <f t="shared" si="134"/>
        <v>163083.24109386138</v>
      </c>
      <c r="AH226" s="188">
        <f t="shared" si="134"/>
        <v>170030.69046580762</v>
      </c>
    </row>
    <row r="227" spans="1:34">
      <c r="A227" s="1" t="s">
        <v>454</v>
      </c>
      <c r="D227" s="332">
        <f>D219</f>
        <v>1493.1088911956058</v>
      </c>
      <c r="E227" s="332">
        <f>D227+E219</f>
        <v>3020.4821345903483</v>
      </c>
      <c r="F227" s="332">
        <f>E227+F219</f>
        <v>4404.0963234812625</v>
      </c>
      <c r="G227" s="332">
        <f t="shared" ref="G227:X227" si="135">F227+G219</f>
        <v>5612.1831677197551</v>
      </c>
      <c r="H227" s="403">
        <f t="shared" si="135"/>
        <v>7316.5498799171401</v>
      </c>
      <c r="I227" s="14">
        <f t="shared" si="135"/>
        <v>8786.2844708608609</v>
      </c>
      <c r="J227" s="14">
        <f t="shared" si="135"/>
        <v>10152.315612453638</v>
      </c>
      <c r="K227" s="14">
        <f t="shared" si="135"/>
        <v>11516.417870524958</v>
      </c>
      <c r="L227" s="14">
        <f t="shared" si="135"/>
        <v>12842.103304228087</v>
      </c>
      <c r="M227" s="14">
        <f t="shared" si="135"/>
        <v>14066.68222481167</v>
      </c>
      <c r="N227" s="188">
        <f t="shared" si="135"/>
        <v>14963.308506519877</v>
      </c>
      <c r="O227" s="14">
        <f t="shared" si="135"/>
        <v>15838.983038150373</v>
      </c>
      <c r="P227" s="14">
        <f t="shared" si="135"/>
        <v>16677.88083445323</v>
      </c>
      <c r="Q227" s="14">
        <f t="shared" si="135"/>
        <v>17490.033269819403</v>
      </c>
      <c r="R227" s="14">
        <f t="shared" si="135"/>
        <v>18274.18829061215</v>
      </c>
      <c r="S227" s="14">
        <f t="shared" si="135"/>
        <v>19030.716408465018</v>
      </c>
      <c r="T227" s="14">
        <f t="shared" si="135"/>
        <v>19752.923999725732</v>
      </c>
      <c r="U227" s="14">
        <f t="shared" si="135"/>
        <v>20441.999429142521</v>
      </c>
      <c r="V227" s="14">
        <f t="shared" si="135"/>
        <v>21114.475046302228</v>
      </c>
      <c r="W227" s="14">
        <f t="shared" si="135"/>
        <v>21751.381860743586</v>
      </c>
      <c r="X227" s="188">
        <f t="shared" si="135"/>
        <v>22365.148393196207</v>
      </c>
      <c r="Y227" s="159">
        <f t="shared" ref="Y227:AH227" si="136">X227+Y219</f>
        <v>22976.142048858121</v>
      </c>
      <c r="Z227" s="159">
        <f t="shared" si="136"/>
        <v>23586.149747410665</v>
      </c>
      <c r="AA227" s="159">
        <f t="shared" si="136"/>
        <v>24197.678539015593</v>
      </c>
      <c r="AB227" s="159">
        <f t="shared" si="136"/>
        <v>24807.828060241729</v>
      </c>
      <c r="AC227" s="159">
        <f t="shared" si="136"/>
        <v>25408.348588905108</v>
      </c>
      <c r="AD227" s="159">
        <f t="shared" si="136"/>
        <v>26006.879601634813</v>
      </c>
      <c r="AE227" s="159">
        <f t="shared" si="136"/>
        <v>26602.906835915332</v>
      </c>
      <c r="AF227" s="159">
        <f t="shared" si="136"/>
        <v>27187.36682597379</v>
      </c>
      <c r="AG227" s="159">
        <f t="shared" si="136"/>
        <v>27762.119765370717</v>
      </c>
      <c r="AH227" s="188">
        <f t="shared" si="136"/>
        <v>28323.750520466561</v>
      </c>
    </row>
    <row r="228" spans="1:34">
      <c r="A228" s="1" t="s">
        <v>456</v>
      </c>
      <c r="D228" s="332">
        <f t="shared" ref="D228:AH228" si="137">D227-D207</f>
        <v>-275.24010880439437</v>
      </c>
      <c r="E228" s="332">
        <f t="shared" si="137"/>
        <v>-506.0112026150282</v>
      </c>
      <c r="F228" s="332">
        <f t="shared" si="137"/>
        <v>-843.2542142183438</v>
      </c>
      <c r="G228" s="332">
        <f t="shared" si="137"/>
        <v>-1311.1303811355319</v>
      </c>
      <c r="H228" s="403">
        <f>H227-H207</f>
        <v>-1347.7316817426436</v>
      </c>
      <c r="I228" s="14">
        <f t="shared" si="137"/>
        <v>-1657.7266030341198</v>
      </c>
      <c r="J228" s="14">
        <f t="shared" si="137"/>
        <v>-2108.7065150994458</v>
      </c>
      <c r="K228" s="14">
        <f t="shared" si="137"/>
        <v>-2614.4883629047599</v>
      </c>
      <c r="L228" s="14">
        <f t="shared" si="137"/>
        <v>-3171.831441792865</v>
      </c>
      <c r="M228" s="14">
        <f t="shared" si="137"/>
        <v>-3823.0513004925051</v>
      </c>
      <c r="N228" s="188">
        <f t="shared" si="137"/>
        <v>-4763.3965394837705</v>
      </c>
      <c r="O228" s="14">
        <f t="shared" si="137"/>
        <v>-5701.2551031551939</v>
      </c>
      <c r="P228" s="14">
        <f t="shared" si="137"/>
        <v>-6624.1841852660327</v>
      </c>
      <c r="Q228" s="14">
        <f t="shared" si="137"/>
        <v>-7535.2159872201701</v>
      </c>
      <c r="R228" s="14">
        <f t="shared" si="137"/>
        <v>-8459.0983843772083</v>
      </c>
      <c r="S228" s="14">
        <f t="shared" si="137"/>
        <v>-9404.3774899641248</v>
      </c>
      <c r="T228" s="14">
        <f t="shared" si="137"/>
        <v>-10332.24877918094</v>
      </c>
      <c r="U228" s="14">
        <f t="shared" si="137"/>
        <v>-11224.437141283146</v>
      </c>
      <c r="V228" s="14">
        <f t="shared" si="137"/>
        <v>-12135.602813108431</v>
      </c>
      <c r="W228" s="14">
        <f t="shared" si="137"/>
        <v>-13026.645242935152</v>
      </c>
      <c r="X228" s="188">
        <f t="shared" si="137"/>
        <v>-13965.840000463657</v>
      </c>
      <c r="Y228" s="159">
        <f t="shared" si="137"/>
        <v>-14930.192648401877</v>
      </c>
      <c r="Z228" s="159">
        <f t="shared" si="137"/>
        <v>-15942.084756626115</v>
      </c>
      <c r="AA228" s="159">
        <f t="shared" si="137"/>
        <v>-16998.775519914991</v>
      </c>
      <c r="AB228" s="159">
        <f t="shared" si="137"/>
        <v>-18084.43236605198</v>
      </c>
      <c r="AC228" s="159">
        <f t="shared" si="137"/>
        <v>-19160.836144274574</v>
      </c>
      <c r="AD228" s="159">
        <f t="shared" si="137"/>
        <v>-20225.675590814004</v>
      </c>
      <c r="AE228" s="159">
        <f t="shared" si="137"/>
        <v>-21281.271855319654</v>
      </c>
      <c r="AF228" s="159">
        <f t="shared" si="137"/>
        <v>-22333.918961460717</v>
      </c>
      <c r="AG228" s="159">
        <f t="shared" si="137"/>
        <v>-23374.85693376137</v>
      </c>
      <c r="AH228" s="188">
        <f t="shared" si="137"/>
        <v>-24375.811460078981</v>
      </c>
    </row>
    <row r="229" spans="1:34">
      <c r="I229" s="130"/>
      <c r="J229" s="130"/>
      <c r="K229" s="130"/>
      <c r="L229" s="130"/>
      <c r="M229" s="130"/>
      <c r="O229" s="130"/>
      <c r="P229" s="130"/>
      <c r="Q229" s="130"/>
      <c r="R229" s="130"/>
      <c r="S229" s="130"/>
      <c r="T229" s="130"/>
      <c r="U229" s="130"/>
      <c r="V229" s="130"/>
      <c r="W229" s="130"/>
    </row>
    <row r="230" spans="1:34">
      <c r="A230" s="1" t="s">
        <v>412</v>
      </c>
    </row>
    <row r="231" spans="1:34">
      <c r="A231" t="s">
        <v>413</v>
      </c>
      <c r="C231" s="332">
        <f t="shared" ref="C231:AH231" si="138">C210-C191</f>
        <v>0</v>
      </c>
      <c r="D231" s="332">
        <f t="shared" si="138"/>
        <v>0</v>
      </c>
      <c r="E231" s="332">
        <f t="shared" si="138"/>
        <v>0</v>
      </c>
      <c r="F231" s="332">
        <f t="shared" si="138"/>
        <v>0</v>
      </c>
      <c r="G231" s="332">
        <f t="shared" si="138"/>
        <v>0</v>
      </c>
      <c r="H231" s="403">
        <f t="shared" si="138"/>
        <v>0</v>
      </c>
      <c r="I231" s="14">
        <f t="shared" si="138"/>
        <v>0</v>
      </c>
      <c r="J231" s="14">
        <f t="shared" si="138"/>
        <v>0</v>
      </c>
      <c r="K231" s="14">
        <f t="shared" si="138"/>
        <v>0</v>
      </c>
      <c r="L231" s="14">
        <f t="shared" si="138"/>
        <v>0</v>
      </c>
      <c r="M231" s="14">
        <f t="shared" si="138"/>
        <v>0</v>
      </c>
      <c r="N231" s="188">
        <f t="shared" ref="N231:O233" si="139">N210-N191</f>
        <v>0</v>
      </c>
      <c r="O231" s="14">
        <f t="shared" si="139"/>
        <v>0</v>
      </c>
      <c r="P231" s="14">
        <f t="shared" si="138"/>
        <v>0</v>
      </c>
      <c r="Q231" s="14">
        <f t="shared" si="138"/>
        <v>0</v>
      </c>
      <c r="R231" s="14">
        <f t="shared" si="138"/>
        <v>0</v>
      </c>
      <c r="S231" s="14">
        <f t="shared" si="138"/>
        <v>0</v>
      </c>
      <c r="T231" s="14">
        <f t="shared" si="138"/>
        <v>0</v>
      </c>
      <c r="U231" s="14">
        <f t="shared" si="138"/>
        <v>0</v>
      </c>
      <c r="V231" s="14">
        <f t="shared" si="138"/>
        <v>0</v>
      </c>
      <c r="W231" s="14">
        <f t="shared" si="138"/>
        <v>0</v>
      </c>
      <c r="X231" s="188">
        <f t="shared" si="138"/>
        <v>0</v>
      </c>
      <c r="Y231" s="159">
        <f t="shared" si="138"/>
        <v>0</v>
      </c>
      <c r="Z231" s="159">
        <f t="shared" si="138"/>
        <v>0</v>
      </c>
      <c r="AA231" s="159">
        <f t="shared" si="138"/>
        <v>0</v>
      </c>
      <c r="AB231" s="159">
        <f t="shared" si="138"/>
        <v>0</v>
      </c>
      <c r="AC231" s="159">
        <f t="shared" si="138"/>
        <v>0</v>
      </c>
      <c r="AD231" s="159">
        <f t="shared" si="138"/>
        <v>0</v>
      </c>
      <c r="AE231" s="159">
        <f t="shared" si="138"/>
        <v>0</v>
      </c>
      <c r="AF231" s="159">
        <f t="shared" si="138"/>
        <v>0</v>
      </c>
      <c r="AG231" s="159">
        <f t="shared" si="138"/>
        <v>0</v>
      </c>
      <c r="AH231" s="188">
        <f t="shared" si="138"/>
        <v>0</v>
      </c>
    </row>
    <row r="232" spans="1:34">
      <c r="A232" t="s">
        <v>414</v>
      </c>
      <c r="C232" s="332">
        <f t="shared" ref="C232:AH232" si="140">C211-C192</f>
        <v>0</v>
      </c>
      <c r="D232" s="332">
        <f t="shared" si="140"/>
        <v>0</v>
      </c>
      <c r="E232" s="332">
        <f t="shared" si="140"/>
        <v>0</v>
      </c>
      <c r="F232" s="332">
        <f t="shared" si="140"/>
        <v>0</v>
      </c>
      <c r="G232" s="332">
        <f t="shared" si="140"/>
        <v>0</v>
      </c>
      <c r="H232" s="403">
        <f t="shared" si="140"/>
        <v>0</v>
      </c>
      <c r="I232" s="14">
        <f t="shared" si="140"/>
        <v>0</v>
      </c>
      <c r="J232" s="14">
        <f t="shared" si="140"/>
        <v>0</v>
      </c>
      <c r="K232" s="14">
        <f t="shared" si="140"/>
        <v>0</v>
      </c>
      <c r="L232" s="14">
        <f t="shared" si="140"/>
        <v>0</v>
      </c>
      <c r="M232" s="14">
        <f t="shared" si="140"/>
        <v>0</v>
      </c>
      <c r="N232" s="188">
        <f t="shared" si="139"/>
        <v>0</v>
      </c>
      <c r="O232" s="14">
        <f t="shared" si="139"/>
        <v>0</v>
      </c>
      <c r="P232" s="14">
        <f t="shared" si="140"/>
        <v>0</v>
      </c>
      <c r="Q232" s="14">
        <f t="shared" si="140"/>
        <v>0</v>
      </c>
      <c r="R232" s="14">
        <f t="shared" si="140"/>
        <v>0</v>
      </c>
      <c r="S232" s="14">
        <f t="shared" si="140"/>
        <v>0</v>
      </c>
      <c r="T232" s="14">
        <f t="shared" si="140"/>
        <v>0</v>
      </c>
      <c r="U232" s="14">
        <f t="shared" si="140"/>
        <v>0</v>
      </c>
      <c r="V232" s="14">
        <f t="shared" si="140"/>
        <v>0</v>
      </c>
      <c r="W232" s="14">
        <f t="shared" si="140"/>
        <v>0</v>
      </c>
      <c r="X232" s="188">
        <f t="shared" si="140"/>
        <v>0</v>
      </c>
      <c r="Y232" s="159">
        <f t="shared" si="140"/>
        <v>0</v>
      </c>
      <c r="Z232" s="159">
        <f t="shared" si="140"/>
        <v>0</v>
      </c>
      <c r="AA232" s="159">
        <f t="shared" si="140"/>
        <v>0</v>
      </c>
      <c r="AB232" s="159">
        <f t="shared" si="140"/>
        <v>0</v>
      </c>
      <c r="AC232" s="159">
        <f t="shared" si="140"/>
        <v>0</v>
      </c>
      <c r="AD232" s="159">
        <f t="shared" si="140"/>
        <v>0</v>
      </c>
      <c r="AE232" s="159">
        <f t="shared" si="140"/>
        <v>0</v>
      </c>
      <c r="AF232" s="159">
        <f t="shared" si="140"/>
        <v>0</v>
      </c>
      <c r="AG232" s="159">
        <f t="shared" si="140"/>
        <v>0</v>
      </c>
      <c r="AH232" s="188">
        <f t="shared" si="140"/>
        <v>0</v>
      </c>
    </row>
    <row r="233" spans="1:34">
      <c r="A233" t="s">
        <v>415</v>
      </c>
      <c r="C233" s="332">
        <f t="shared" ref="C233:AH233" si="141">C212-C193</f>
        <v>0</v>
      </c>
      <c r="D233" s="332">
        <f t="shared" si="141"/>
        <v>0</v>
      </c>
      <c r="E233" s="332">
        <f t="shared" si="141"/>
        <v>0</v>
      </c>
      <c r="F233" s="332">
        <f t="shared" si="141"/>
        <v>0</v>
      </c>
      <c r="G233" s="332">
        <f t="shared" si="141"/>
        <v>0</v>
      </c>
      <c r="H233" s="403">
        <f t="shared" si="141"/>
        <v>0</v>
      </c>
      <c r="I233" s="14">
        <f t="shared" si="141"/>
        <v>0</v>
      </c>
      <c r="J233" s="14">
        <f t="shared" si="141"/>
        <v>0</v>
      </c>
      <c r="K233" s="14">
        <f t="shared" si="141"/>
        <v>0</v>
      </c>
      <c r="L233" s="14">
        <f t="shared" si="141"/>
        <v>0</v>
      </c>
      <c r="M233" s="14">
        <f t="shared" si="141"/>
        <v>0</v>
      </c>
      <c r="N233" s="188">
        <f t="shared" si="139"/>
        <v>0</v>
      </c>
      <c r="O233" s="14">
        <f t="shared" si="139"/>
        <v>0</v>
      </c>
      <c r="P233" s="14">
        <f t="shared" si="141"/>
        <v>0</v>
      </c>
      <c r="Q233" s="14">
        <f t="shared" si="141"/>
        <v>0</v>
      </c>
      <c r="R233" s="14">
        <f t="shared" si="141"/>
        <v>0</v>
      </c>
      <c r="S233" s="14">
        <f t="shared" si="141"/>
        <v>0</v>
      </c>
      <c r="T233" s="14">
        <f t="shared" si="141"/>
        <v>0</v>
      </c>
      <c r="U233" s="14">
        <f t="shared" si="141"/>
        <v>0</v>
      </c>
      <c r="V233" s="14">
        <f t="shared" si="141"/>
        <v>0</v>
      </c>
      <c r="W233" s="14">
        <f t="shared" si="141"/>
        <v>0</v>
      </c>
      <c r="X233" s="188">
        <f t="shared" si="141"/>
        <v>0</v>
      </c>
      <c r="Y233" s="159">
        <f t="shared" si="141"/>
        <v>0</v>
      </c>
      <c r="Z233" s="159">
        <f t="shared" si="141"/>
        <v>0</v>
      </c>
      <c r="AA233" s="159">
        <f t="shared" si="141"/>
        <v>0</v>
      </c>
      <c r="AB233" s="159">
        <f t="shared" si="141"/>
        <v>0</v>
      </c>
      <c r="AC233" s="159">
        <f t="shared" si="141"/>
        <v>0</v>
      </c>
      <c r="AD233" s="159">
        <f t="shared" si="141"/>
        <v>0</v>
      </c>
      <c r="AE233" s="159">
        <f t="shared" si="141"/>
        <v>0</v>
      </c>
      <c r="AF233" s="159">
        <f t="shared" si="141"/>
        <v>0</v>
      </c>
      <c r="AG233" s="159">
        <f t="shared" si="141"/>
        <v>0</v>
      </c>
      <c r="AH233" s="188">
        <f t="shared" si="141"/>
        <v>0</v>
      </c>
    </row>
    <row r="234" spans="1:34">
      <c r="A234" t="s">
        <v>416</v>
      </c>
      <c r="C234" s="332">
        <f t="shared" ref="C234:AH234" si="142">C213-C194</f>
        <v>-2.7000000000043656E-4</v>
      </c>
      <c r="D234" s="332">
        <f t="shared" si="142"/>
        <v>181.09482598406839</v>
      </c>
      <c r="E234" s="332">
        <f t="shared" si="142"/>
        <v>321.78663450653221</v>
      </c>
      <c r="F234" s="332">
        <f t="shared" si="142"/>
        <v>400.36659303359784</v>
      </c>
      <c r="G234" s="332">
        <f t="shared" si="142"/>
        <v>787.77670539737665</v>
      </c>
      <c r="H234" s="403">
        <f>H213-H194</f>
        <v>-2.6999999954568921E-4</v>
      </c>
      <c r="I234" s="14">
        <f t="shared" si="142"/>
        <v>213.54823040684869</v>
      </c>
      <c r="J234" s="14">
        <f t="shared" si="142"/>
        <v>179.10212694926304</v>
      </c>
      <c r="K234" s="14">
        <f t="shared" si="142"/>
        <v>342.62448442073401</v>
      </c>
      <c r="L234" s="14">
        <f t="shared" si="142"/>
        <v>506.67518462589578</v>
      </c>
      <c r="M234" s="14">
        <f t="shared" si="142"/>
        <v>737.11629430476296</v>
      </c>
      <c r="N234" s="188">
        <f t="shared" si="142"/>
        <v>1280.0915365114197</v>
      </c>
      <c r="O234" s="14">
        <f t="shared" si="142"/>
        <v>1216.6277459905323</v>
      </c>
      <c r="P234" s="14">
        <f t="shared" si="142"/>
        <v>1204.4802926990305</v>
      </c>
      <c r="Q234" s="14">
        <f t="shared" si="142"/>
        <v>1252.1743516698252</v>
      </c>
      <c r="R234" s="14">
        <f t="shared" si="142"/>
        <v>1274.8181688299665</v>
      </c>
      <c r="S234" s="14">
        <f t="shared" si="142"/>
        <v>1317.383362678208</v>
      </c>
      <c r="T234" s="14">
        <f t="shared" si="142"/>
        <v>1299.3323887592815</v>
      </c>
      <c r="U234" s="14">
        <f t="shared" si="142"/>
        <v>1237.1877097352171</v>
      </c>
      <c r="V234" s="14">
        <f t="shared" si="142"/>
        <v>1223.5599599325669</v>
      </c>
      <c r="W234" s="14">
        <f t="shared" si="142"/>
        <v>1215.2485633652541</v>
      </c>
      <c r="X234" s="188">
        <f t="shared" si="142"/>
        <v>1297.6618645480667</v>
      </c>
      <c r="Y234" s="159">
        <f t="shared" si="142"/>
        <v>1346.4417993557608</v>
      </c>
      <c r="Z234" s="159">
        <f t="shared" si="142"/>
        <v>1439.0716002574954</v>
      </c>
      <c r="AA234" s="159">
        <f t="shared" si="142"/>
        <v>1508.6761598253297</v>
      </c>
      <c r="AB234" s="159">
        <f t="shared" si="142"/>
        <v>1556.7944222635724</v>
      </c>
      <c r="AC234" s="159">
        <f t="shared" si="142"/>
        <v>1563.2316665525559</v>
      </c>
      <c r="AD234" s="159">
        <f t="shared" si="142"/>
        <v>1537.5883950430807</v>
      </c>
      <c r="AE234" s="159">
        <f t="shared" si="142"/>
        <v>1502.8491918902382</v>
      </c>
      <c r="AF234" s="159">
        <f t="shared" si="142"/>
        <v>1539.7611012230609</v>
      </c>
      <c r="AG234" s="159">
        <f t="shared" si="142"/>
        <v>1538.0338032431473</v>
      </c>
      <c r="AH234" s="188">
        <f t="shared" si="142"/>
        <v>1494.7589153348863</v>
      </c>
    </row>
    <row r="235" spans="1:34">
      <c r="A235" t="s">
        <v>417</v>
      </c>
      <c r="C235" s="332">
        <f t="shared" ref="C235:AH235" si="143">C214-C195</f>
        <v>0</v>
      </c>
      <c r="D235" s="332">
        <f t="shared" si="143"/>
        <v>95.313214654695685</v>
      </c>
      <c r="E235" s="332">
        <f t="shared" si="143"/>
        <v>169.36153798465489</v>
      </c>
      <c r="F235" s="332">
        <f t="shared" si="143"/>
        <v>210.71940699854667</v>
      </c>
      <c r="G235" s="332">
        <f t="shared" si="143"/>
        <v>414.6194659044736</v>
      </c>
      <c r="H235" s="403">
        <f t="shared" si="143"/>
        <v>0</v>
      </c>
      <c r="I235" s="14">
        <f t="shared" si="143"/>
        <v>112.39396516422903</v>
      </c>
      <c r="J235" s="14">
        <f t="shared" si="143"/>
        <v>94.26445437336497</v>
      </c>
      <c r="K235" s="14">
        <f t="shared" si="143"/>
        <v>180.32885625985364</v>
      </c>
      <c r="L235" s="14">
        <f t="shared" si="143"/>
        <v>266.6713315860211</v>
      </c>
      <c r="M235" s="14">
        <f t="shared" si="143"/>
        <v>387.95612712545699</v>
      </c>
      <c r="N235" s="188">
        <f t="shared" si="143"/>
        <v>673.73257008254222</v>
      </c>
      <c r="O235" s="14">
        <f t="shared" si="143"/>
        <v>640.33057767215814</v>
      </c>
      <c r="P235" s="14">
        <f t="shared" si="143"/>
        <v>633.9371806945046</v>
      </c>
      <c r="Q235" s="14">
        <f t="shared" si="143"/>
        <v>659.03931862224226</v>
      </c>
      <c r="R235" s="14">
        <f t="shared" si="143"/>
        <v>670.95711842292621</v>
      </c>
      <c r="S235" s="14">
        <f t="shared" si="143"/>
        <v>693.35985358047219</v>
      </c>
      <c r="T235" s="14">
        <f t="shared" si="143"/>
        <v>683.8593409565301</v>
      </c>
      <c r="U235" s="14">
        <f t="shared" si="143"/>
        <v>651.15161546438549</v>
      </c>
      <c r="V235" s="14">
        <f t="shared" si="143"/>
        <v>643.9791200855002</v>
      </c>
      <c r="W235" s="14">
        <f t="shared" si="143"/>
        <v>639.60470048386878</v>
      </c>
      <c r="X235" s="188">
        <f t="shared" si="143"/>
        <v>682.98012527040646</v>
      </c>
      <c r="Y235" s="159">
        <f t="shared" si="143"/>
        <v>708.65377782631913</v>
      </c>
      <c r="Z235" s="159">
        <f t="shared" si="143"/>
        <v>757.40630784070527</v>
      </c>
      <c r="AA235" s="159">
        <f t="shared" si="143"/>
        <v>794.04029069892658</v>
      </c>
      <c r="AB235" s="159">
        <f t="shared" si="143"/>
        <v>819.3656953649438</v>
      </c>
      <c r="AC235" s="159">
        <f t="shared" si="143"/>
        <v>822.75371952470141</v>
      </c>
      <c r="AD235" s="159">
        <f t="shared" si="143"/>
        <v>809.25726426643087</v>
      </c>
      <c r="AE235" s="159">
        <f t="shared" si="143"/>
        <v>790.97347644386673</v>
      </c>
      <c r="AF235" s="159">
        <f t="shared" si="143"/>
        <v>810.40079757125523</v>
      </c>
      <c r="AG235" s="159">
        <f t="shared" si="143"/>
        <v>809.49169442860102</v>
      </c>
      <c r="AH235" s="188">
        <f t="shared" si="143"/>
        <v>786.7154375331329</v>
      </c>
    </row>
    <row r="236" spans="1:34">
      <c r="A236" t="s">
        <v>418</v>
      </c>
      <c r="C236" s="332">
        <f t="shared" ref="C236:AH236" si="144">C215-C196</f>
        <v>-2.7000000000043656E-4</v>
      </c>
      <c r="D236" s="332">
        <f t="shared" si="144"/>
        <v>85.781611329372708</v>
      </c>
      <c r="E236" s="332">
        <f t="shared" si="144"/>
        <v>152.42509652187709</v>
      </c>
      <c r="F236" s="332">
        <f t="shared" si="144"/>
        <v>189.64718603505139</v>
      </c>
      <c r="G236" s="332">
        <f t="shared" si="144"/>
        <v>373.15723949290305</v>
      </c>
      <c r="H236" s="403">
        <f>H215-H196</f>
        <v>-2.7000000000043656E-4</v>
      </c>
      <c r="I236" s="14">
        <f t="shared" si="144"/>
        <v>101.15426524261989</v>
      </c>
      <c r="J236" s="14">
        <f t="shared" si="144"/>
        <v>84.837672575898068</v>
      </c>
      <c r="K236" s="14">
        <f t="shared" si="144"/>
        <v>162.29562816088082</v>
      </c>
      <c r="L236" s="14">
        <f t="shared" si="144"/>
        <v>240.00385303987423</v>
      </c>
      <c r="M236" s="14">
        <f t="shared" si="144"/>
        <v>349.16016717930552</v>
      </c>
      <c r="N236" s="188">
        <f t="shared" si="144"/>
        <v>606.35896642887701</v>
      </c>
      <c r="O236" s="14">
        <f t="shared" si="144"/>
        <v>576.29716831837322</v>
      </c>
      <c r="P236" s="14">
        <f t="shared" si="144"/>
        <v>570.54311200452639</v>
      </c>
      <c r="Q236" s="14">
        <f t="shared" si="144"/>
        <v>593.13503304758297</v>
      </c>
      <c r="R236" s="14">
        <f t="shared" si="144"/>
        <v>603.86105040704024</v>
      </c>
      <c r="S236" s="14">
        <f t="shared" si="144"/>
        <v>624.02350909773622</v>
      </c>
      <c r="T236" s="14">
        <f t="shared" si="144"/>
        <v>615.47304780275135</v>
      </c>
      <c r="U236" s="14">
        <f t="shared" si="144"/>
        <v>586.03609427083165</v>
      </c>
      <c r="V236" s="14">
        <f t="shared" si="144"/>
        <v>579.58083984706673</v>
      </c>
      <c r="W236" s="14">
        <f t="shared" si="144"/>
        <v>575.64386288138485</v>
      </c>
      <c r="X236" s="188">
        <f t="shared" si="144"/>
        <v>614.68173927765974</v>
      </c>
      <c r="Y236" s="159">
        <f t="shared" si="144"/>
        <v>637.78802152944172</v>
      </c>
      <c r="Z236" s="159">
        <f t="shared" si="144"/>
        <v>681.66529241679063</v>
      </c>
      <c r="AA236" s="159">
        <f t="shared" si="144"/>
        <v>714.63586912640312</v>
      </c>
      <c r="AB236" s="159">
        <f t="shared" si="144"/>
        <v>737.42872689862816</v>
      </c>
      <c r="AC236" s="159">
        <f t="shared" si="144"/>
        <v>740.47794702785404</v>
      </c>
      <c r="AD236" s="159">
        <f t="shared" si="144"/>
        <v>728.3311307766503</v>
      </c>
      <c r="AE236" s="159">
        <f t="shared" si="144"/>
        <v>711.87571544637194</v>
      </c>
      <c r="AF236" s="159">
        <f t="shared" si="144"/>
        <v>729.36030365180613</v>
      </c>
      <c r="AG236" s="159">
        <f t="shared" si="144"/>
        <v>728.54210881454583</v>
      </c>
      <c r="AH236" s="188">
        <f t="shared" si="144"/>
        <v>708.0434778017534</v>
      </c>
    </row>
    <row r="237" spans="1:34">
      <c r="A237" t="s">
        <v>419</v>
      </c>
      <c r="C237" s="332">
        <f t="shared" ref="C237:AH237" si="145">C216-C197</f>
        <v>0</v>
      </c>
      <c r="D237" s="332">
        <f t="shared" si="145"/>
        <v>124.82201455146037</v>
      </c>
      <c r="E237" s="332">
        <f t="shared" si="145"/>
        <v>-14.03042125821321</v>
      </c>
      <c r="F237" s="332">
        <f t="shared" si="145"/>
        <v>103.13408022944225</v>
      </c>
      <c r="G237" s="332">
        <f t="shared" si="145"/>
        <v>90.851142677229973</v>
      </c>
      <c r="H237" s="403">
        <f t="shared" si="145"/>
        <v>0</v>
      </c>
      <c r="I237" s="14">
        <f t="shared" si="145"/>
        <v>69.606715583734058</v>
      </c>
      <c r="J237" s="14">
        <f t="shared" si="145"/>
        <v>130.13239046036028</v>
      </c>
      <c r="K237" s="14">
        <f t="shared" si="145"/>
        <v>102.07417447653484</v>
      </c>
      <c r="L237" s="14">
        <f t="shared" si="145"/>
        <v>73.119118848893322</v>
      </c>
      <c r="M237" s="14">
        <f t="shared" si="145"/>
        <v>40.356890780141612</v>
      </c>
      <c r="N237" s="188">
        <f t="shared" si="145"/>
        <v>0</v>
      </c>
      <c r="O237" s="14">
        <f t="shared" si="145"/>
        <v>13.89891331859576</v>
      </c>
      <c r="P237" s="14">
        <f t="shared" si="145"/>
        <v>9.8145125398630171</v>
      </c>
      <c r="Q237" s="14">
        <f t="shared" si="145"/>
        <v>-34.15425560198355</v>
      </c>
      <c r="R237" s="14">
        <f t="shared" si="145"/>
        <v>-27.966000727200708</v>
      </c>
      <c r="S237" s="14">
        <f t="shared" si="145"/>
        <v>-20.361959239985254</v>
      </c>
      <c r="T237" s="14">
        <f t="shared" si="145"/>
        <v>-21.928412795788745</v>
      </c>
      <c r="U237" s="14">
        <f t="shared" si="145"/>
        <v>-29.274588454515197</v>
      </c>
      <c r="V237" s="14">
        <f t="shared" si="145"/>
        <v>-12.604907912247882</v>
      </c>
      <c r="W237" s="14">
        <f t="shared" si="145"/>
        <v>-16.166425222738553</v>
      </c>
      <c r="X237" s="188">
        <f t="shared" si="145"/>
        <v>0</v>
      </c>
      <c r="Y237" s="159">
        <f t="shared" si="145"/>
        <v>3.7016196887091155</v>
      </c>
      <c r="Z237" s="159">
        <f t="shared" si="145"/>
        <v>10.343653977457279</v>
      </c>
      <c r="AA237" s="159">
        <f t="shared" si="145"/>
        <v>21.755483449809617</v>
      </c>
      <c r="AB237" s="159">
        <f t="shared" si="145"/>
        <v>28.64338581395441</v>
      </c>
      <c r="AC237" s="159">
        <f t="shared" si="145"/>
        <v>21.511938274872136</v>
      </c>
      <c r="AD237" s="159">
        <f t="shared" si="145"/>
        <v>22.622322646255725</v>
      </c>
      <c r="AE237" s="159">
        <f t="shared" si="145"/>
        <v>28.379261272278427</v>
      </c>
      <c r="AF237" s="159">
        <f t="shared" si="145"/>
        <v>18.706186644194304</v>
      </c>
      <c r="AG237" s="159">
        <f t="shared" si="145"/>
        <v>12.350386655647299</v>
      </c>
      <c r="AH237" s="188">
        <f t="shared" si="145"/>
        <v>0</v>
      </c>
    </row>
    <row r="238" spans="1:34">
      <c r="A238" t="s">
        <v>420</v>
      </c>
      <c r="C238" s="332">
        <f t="shared" ref="C238:AH238" si="146">C217-C198</f>
        <v>0</v>
      </c>
      <c r="D238" s="332">
        <f t="shared" si="146"/>
        <v>65.695797132347479</v>
      </c>
      <c r="E238" s="332">
        <f t="shared" si="146"/>
        <v>-7.3844322411648591</v>
      </c>
      <c r="F238" s="332">
        <f t="shared" si="146"/>
        <v>54.281094857601261</v>
      </c>
      <c r="G238" s="332">
        <f t="shared" si="146"/>
        <v>47.816390882752557</v>
      </c>
      <c r="H238" s="403">
        <f t="shared" si="146"/>
        <v>0</v>
      </c>
      <c r="I238" s="14">
        <f t="shared" si="146"/>
        <v>36.63511346512314</v>
      </c>
      <c r="J238" s="14">
        <f t="shared" si="146"/>
        <v>68.490731821242207</v>
      </c>
      <c r="K238" s="14">
        <f t="shared" si="146"/>
        <v>53.723249724492007</v>
      </c>
      <c r="L238" s="14">
        <f t="shared" si="146"/>
        <v>38.483746762575493</v>
      </c>
      <c r="M238" s="14">
        <f t="shared" si="146"/>
        <v>21.240468831653402</v>
      </c>
      <c r="N238" s="188">
        <f t="shared" si="146"/>
        <v>0</v>
      </c>
      <c r="O238" s="14">
        <f t="shared" si="146"/>
        <v>7.3152175361030913</v>
      </c>
      <c r="P238" s="14">
        <f t="shared" si="146"/>
        <v>5.1655329157173355</v>
      </c>
      <c r="Q238" s="14">
        <f t="shared" si="146"/>
        <v>-17.975924001044064</v>
      </c>
      <c r="R238" s="14">
        <f t="shared" si="146"/>
        <v>-14.718947751158339</v>
      </c>
      <c r="S238" s="14">
        <f t="shared" si="146"/>
        <v>-10.716820652623824</v>
      </c>
      <c r="T238" s="14">
        <f t="shared" si="146"/>
        <v>-11.54126989252029</v>
      </c>
      <c r="U238" s="14">
        <f t="shared" si="146"/>
        <v>-15.407678133955415</v>
      </c>
      <c r="V238" s="14">
        <f t="shared" si="146"/>
        <v>-6.6341620590778803</v>
      </c>
      <c r="W238" s="14">
        <f t="shared" si="146"/>
        <v>-8.508644854072827</v>
      </c>
      <c r="X238" s="188">
        <f t="shared" si="146"/>
        <v>0</v>
      </c>
      <c r="Y238" s="159">
        <f t="shared" si="146"/>
        <v>1.9482208887942534</v>
      </c>
      <c r="Z238" s="159">
        <f t="shared" si="146"/>
        <v>5.4440284091880358</v>
      </c>
      <c r="AA238" s="159">
        <f t="shared" si="146"/>
        <v>11.450254447268321</v>
      </c>
      <c r="AB238" s="159">
        <f t="shared" si="146"/>
        <v>15.075466217870826</v>
      </c>
      <c r="AC238" s="159">
        <f t="shared" si="146"/>
        <v>11.322072776248547</v>
      </c>
      <c r="AD238" s="159">
        <f t="shared" si="146"/>
        <v>11.906485603292481</v>
      </c>
      <c r="AE238" s="159">
        <f t="shared" si="146"/>
        <v>14.936453301199094</v>
      </c>
      <c r="AF238" s="159">
        <f t="shared" si="146"/>
        <v>9.8453613916811946</v>
      </c>
      <c r="AG238" s="159">
        <f t="shared" si="146"/>
        <v>6.5002035029723402</v>
      </c>
      <c r="AH238" s="188">
        <f t="shared" si="146"/>
        <v>0</v>
      </c>
    </row>
    <row r="239" spans="1:34">
      <c r="A239" t="s">
        <v>421</v>
      </c>
      <c r="C239" s="332">
        <f t="shared" ref="C239:AH239" si="147">C218-C199</f>
        <v>0</v>
      </c>
      <c r="D239" s="332">
        <f t="shared" si="147"/>
        <v>59.126217419112777</v>
      </c>
      <c r="E239" s="332">
        <f t="shared" si="147"/>
        <v>-6.6459890170483504</v>
      </c>
      <c r="F239" s="332">
        <f t="shared" si="147"/>
        <v>48.8529853718411</v>
      </c>
      <c r="G239" s="332">
        <f t="shared" si="147"/>
        <v>43.034751794477302</v>
      </c>
      <c r="H239" s="403">
        <f t="shared" si="147"/>
        <v>0</v>
      </c>
      <c r="I239" s="14">
        <f t="shared" si="147"/>
        <v>32.971602118610861</v>
      </c>
      <c r="J239" s="14">
        <f t="shared" si="147"/>
        <v>61.641658639117964</v>
      </c>
      <c r="K239" s="14">
        <f t="shared" si="147"/>
        <v>48.350924752042886</v>
      </c>
      <c r="L239" s="14">
        <f t="shared" si="147"/>
        <v>34.635372086317943</v>
      </c>
      <c r="M239" s="14">
        <f t="shared" si="147"/>
        <v>19.116421948488096</v>
      </c>
      <c r="N239" s="188">
        <f t="shared" si="147"/>
        <v>0</v>
      </c>
      <c r="O239" s="14">
        <f t="shared" si="147"/>
        <v>6.5836957824927822</v>
      </c>
      <c r="P239" s="14">
        <f t="shared" si="147"/>
        <v>4.6489796241455679</v>
      </c>
      <c r="Q239" s="14">
        <f t="shared" si="147"/>
        <v>-16.178331600939657</v>
      </c>
      <c r="R239" s="14">
        <f t="shared" si="147"/>
        <v>-13.247052976042482</v>
      </c>
      <c r="S239" s="14">
        <f t="shared" si="147"/>
        <v>-9.6451385873614299</v>
      </c>
      <c r="T239" s="14">
        <f t="shared" si="147"/>
        <v>-10.387142903268341</v>
      </c>
      <c r="U239" s="14">
        <f t="shared" si="147"/>
        <v>-13.866910320559896</v>
      </c>
      <c r="V239" s="14">
        <f t="shared" si="147"/>
        <v>-5.9707458531700013</v>
      </c>
      <c r="W239" s="14">
        <f t="shared" si="147"/>
        <v>-7.6577803686656125</v>
      </c>
      <c r="X239" s="188">
        <f t="shared" si="147"/>
        <v>0</v>
      </c>
      <c r="Y239" s="159">
        <f t="shared" si="147"/>
        <v>1.7533987999148621</v>
      </c>
      <c r="Z239" s="159">
        <f t="shared" si="147"/>
        <v>4.8996255682692436</v>
      </c>
      <c r="AA239" s="159">
        <f t="shared" si="147"/>
        <v>10.305229002541523</v>
      </c>
      <c r="AB239" s="159">
        <f t="shared" si="147"/>
        <v>13.567919596083811</v>
      </c>
      <c r="AC239" s="159">
        <f t="shared" si="147"/>
        <v>10.189865498623703</v>
      </c>
      <c r="AD239" s="159">
        <f t="shared" si="147"/>
        <v>10.715837042963244</v>
      </c>
      <c r="AE239" s="159">
        <f t="shared" si="147"/>
        <v>13.442807971079219</v>
      </c>
      <c r="AF239" s="159">
        <f t="shared" si="147"/>
        <v>8.8608252525131093</v>
      </c>
      <c r="AG239" s="159">
        <f t="shared" si="147"/>
        <v>5.8501831526750721</v>
      </c>
      <c r="AH239" s="188">
        <f t="shared" si="147"/>
        <v>0</v>
      </c>
    </row>
    <row r="240" spans="1:34">
      <c r="A240" t="s">
        <v>393</v>
      </c>
      <c r="C240" s="332">
        <f>C219-C200</f>
        <v>-94.148229999999785</v>
      </c>
      <c r="D240" s="332">
        <f t="shared" ref="D240:AH240" si="148">D219-D200+D249+D252</f>
        <v>-275.24010880439437</v>
      </c>
      <c r="E240" s="332">
        <f t="shared" si="148"/>
        <v>-230.77109381063383</v>
      </c>
      <c r="F240" s="332">
        <f t="shared" si="148"/>
        <v>-337.24301160331606</v>
      </c>
      <c r="G240" s="332">
        <f t="shared" si="148"/>
        <v>-467.87616691718813</v>
      </c>
      <c r="H240" s="403">
        <f t="shared" si="148"/>
        <v>-36.601300607110943</v>
      </c>
      <c r="I240" s="14">
        <f t="shared" si="148"/>
        <v>-309.99492129147779</v>
      </c>
      <c r="J240" s="14">
        <f t="shared" si="148"/>
        <v>-450.97991206532606</v>
      </c>
      <c r="K240" s="14">
        <f t="shared" si="148"/>
        <v>-505.78184780531456</v>
      </c>
      <c r="L240" s="14">
        <f t="shared" si="148"/>
        <v>-557.34307888810645</v>
      </c>
      <c r="M240" s="14">
        <f t="shared" si="148"/>
        <v>-651.21985869964055</v>
      </c>
      <c r="N240" s="188">
        <f t="shared" si="148"/>
        <v>-940.34523899126452</v>
      </c>
      <c r="O240" s="14">
        <f t="shared" si="148"/>
        <v>-937.8585636714231</v>
      </c>
      <c r="P240" s="14">
        <f t="shared" si="148"/>
        <v>-922.92908211083954</v>
      </c>
      <c r="Q240" s="14">
        <f t="shared" si="148"/>
        <v>-911.03180195413472</v>
      </c>
      <c r="R240" s="14">
        <f t="shared" si="148"/>
        <v>-923.88239715704003</v>
      </c>
      <c r="S240" s="14">
        <f t="shared" si="148"/>
        <v>-945.27910558691724</v>
      </c>
      <c r="T240" s="14">
        <f t="shared" si="148"/>
        <v>-927.87128921681688</v>
      </c>
      <c r="U240" s="14">
        <f t="shared" si="148"/>
        <v>-892.18836210220547</v>
      </c>
      <c r="V240" s="14">
        <f t="shared" si="148"/>
        <v>-911.16567182528502</v>
      </c>
      <c r="W240" s="14">
        <f t="shared" si="148"/>
        <v>-891.04242982672088</v>
      </c>
      <c r="X240" s="188">
        <f t="shared" si="148"/>
        <v>-939.19475752850462</v>
      </c>
      <c r="Y240" s="159">
        <f t="shared" si="148"/>
        <v>-964.35264793822387</v>
      </c>
      <c r="Z240" s="159">
        <f t="shared" si="148"/>
        <v>-1011.8921082242373</v>
      </c>
      <c r="AA240" s="159">
        <f t="shared" si="148"/>
        <v>-1056.6907632888754</v>
      </c>
      <c r="AB240" s="159">
        <f t="shared" si="148"/>
        <v>-1085.656846136987</v>
      </c>
      <c r="AC240" s="159">
        <f t="shared" si="148"/>
        <v>-1076.4037782225944</v>
      </c>
      <c r="AD240" s="159">
        <f t="shared" si="148"/>
        <v>-1064.8394465394285</v>
      </c>
      <c r="AE240" s="159">
        <f t="shared" si="148"/>
        <v>-1055.5962645056479</v>
      </c>
      <c r="AF240" s="159">
        <f t="shared" si="148"/>
        <v>-1052.6471061410632</v>
      </c>
      <c r="AG240" s="159">
        <f t="shared" si="148"/>
        <v>-1040.9379723006539</v>
      </c>
      <c r="AH240" s="188">
        <f t="shared" si="148"/>
        <v>-1000.9545263176143</v>
      </c>
    </row>
    <row r="241" spans="1:34">
      <c r="A241" t="s">
        <v>422</v>
      </c>
      <c r="C241" s="332">
        <f>C220-C201</f>
        <v>-49.551699999999869</v>
      </c>
      <c r="D241" s="332">
        <f t="shared" ref="D241:AH241" si="149">D220-D201+D250+D253</f>
        <v>-144.86321516020746</v>
      </c>
      <c r="E241" s="332">
        <f t="shared" si="149"/>
        <v>-121.45847042664934</v>
      </c>
      <c r="F241" s="332">
        <f t="shared" si="149"/>
        <v>-177.49632189648207</v>
      </c>
      <c r="G241" s="332">
        <f t="shared" si="149"/>
        <v>-246.25061416694109</v>
      </c>
      <c r="H241" s="403">
        <f t="shared" si="149"/>
        <v>-19.263842424795143</v>
      </c>
      <c r="I241" s="14">
        <f t="shared" si="149"/>
        <v>-163.15522173235684</v>
      </c>
      <c r="J241" s="14">
        <f t="shared" si="149"/>
        <v>-237.35784845543469</v>
      </c>
      <c r="K241" s="14">
        <f t="shared" si="149"/>
        <v>-266.20097252911296</v>
      </c>
      <c r="L241" s="14">
        <f t="shared" si="149"/>
        <v>-293.3384625726876</v>
      </c>
      <c r="M241" s="14">
        <f t="shared" si="149"/>
        <v>-342.7472940524425</v>
      </c>
      <c r="N241" s="188">
        <f t="shared" si="149"/>
        <v>-494.91854683750768</v>
      </c>
      <c r="O241" s="14">
        <f t="shared" si="149"/>
        <v>-493.6097703533805</v>
      </c>
      <c r="P241" s="14">
        <f t="shared" si="149"/>
        <v>-485.75214847938923</v>
      </c>
      <c r="Q241" s="14">
        <f t="shared" si="149"/>
        <v>-479.49042208112354</v>
      </c>
      <c r="R241" s="14">
        <f t="shared" si="149"/>
        <v>-486.25389324054737</v>
      </c>
      <c r="S241" s="14">
        <f t="shared" si="149"/>
        <v>-497.51531872995639</v>
      </c>
      <c r="T241" s="14">
        <f t="shared" si="149"/>
        <v>-488.35331011411409</v>
      </c>
      <c r="U241" s="14">
        <f t="shared" si="149"/>
        <v>-469.57282215905548</v>
      </c>
      <c r="V241" s="14">
        <f t="shared" si="149"/>
        <v>-479.5608799080448</v>
      </c>
      <c r="W241" s="14">
        <f t="shared" si="149"/>
        <v>-468.96969990880046</v>
      </c>
      <c r="X241" s="188">
        <f t="shared" si="149"/>
        <v>-494.31303027816028</v>
      </c>
      <c r="Y241" s="159">
        <f t="shared" si="149"/>
        <v>-507.55402523064424</v>
      </c>
      <c r="Z241" s="159">
        <f t="shared" si="149"/>
        <v>-532.57479380223015</v>
      </c>
      <c r="AA241" s="159">
        <f t="shared" si="149"/>
        <v>-556.15303330993447</v>
      </c>
      <c r="AB241" s="159">
        <f t="shared" si="149"/>
        <v>-571.39834007209845</v>
      </c>
      <c r="AC241" s="159">
        <f t="shared" si="149"/>
        <v>-566.52830432768121</v>
      </c>
      <c r="AD241" s="159">
        <f t="shared" si="149"/>
        <v>-560.44181396812019</v>
      </c>
      <c r="AE241" s="159">
        <f t="shared" si="149"/>
        <v>-555.57698131876202</v>
      </c>
      <c r="AF241" s="159">
        <f t="shared" si="149"/>
        <v>-554.02479270582273</v>
      </c>
      <c r="AG241" s="159">
        <f t="shared" si="149"/>
        <v>-547.86209068455469</v>
      </c>
      <c r="AH241" s="188">
        <f t="shared" si="149"/>
        <v>-526.81817174611274</v>
      </c>
    </row>
    <row r="242" spans="1:34">
      <c r="A242" t="s">
        <v>423</v>
      </c>
      <c r="C242" s="332">
        <f>C221-C202</f>
        <v>-44.596529999999916</v>
      </c>
      <c r="D242" s="332">
        <f t="shared" ref="D242:AH242" si="150">D221-D202+D251+D254</f>
        <v>-130.37689364418668</v>
      </c>
      <c r="E242" s="332">
        <f t="shared" si="150"/>
        <v>-109.31262338398449</v>
      </c>
      <c r="F242" s="332">
        <f t="shared" si="150"/>
        <v>-159.74668970683388</v>
      </c>
      <c r="G242" s="332">
        <f t="shared" si="150"/>
        <v>-221.62555275024704</v>
      </c>
      <c r="H242" s="403">
        <f t="shared" si="150"/>
        <v>-17.337458182315686</v>
      </c>
      <c r="I242" s="14">
        <f t="shared" si="150"/>
        <v>-146.83969955912107</v>
      </c>
      <c r="J242" s="14">
        <f t="shared" si="150"/>
        <v>-213.62206360989126</v>
      </c>
      <c r="K242" s="14">
        <f t="shared" si="150"/>
        <v>-239.58087527620148</v>
      </c>
      <c r="L242" s="14">
        <f t="shared" si="150"/>
        <v>-264.00461631541884</v>
      </c>
      <c r="M242" s="14">
        <f t="shared" si="150"/>
        <v>-308.47256464719828</v>
      </c>
      <c r="N242" s="188">
        <f t="shared" si="150"/>
        <v>-445.4266921537569</v>
      </c>
      <c r="O242" s="14">
        <f t="shared" si="150"/>
        <v>-444.24879331804254</v>
      </c>
      <c r="P242" s="14">
        <f t="shared" si="150"/>
        <v>-437.17693363145025</v>
      </c>
      <c r="Q242" s="14">
        <f t="shared" si="150"/>
        <v>-431.54137987301118</v>
      </c>
      <c r="R242" s="14">
        <f t="shared" si="150"/>
        <v>-437.62850391649272</v>
      </c>
      <c r="S242" s="14">
        <f t="shared" si="150"/>
        <v>-447.76378685696073</v>
      </c>
      <c r="T242" s="14">
        <f t="shared" si="150"/>
        <v>-439.51797910270284</v>
      </c>
      <c r="U242" s="14">
        <f t="shared" si="150"/>
        <v>-422.61553994314994</v>
      </c>
      <c r="V242" s="14">
        <f t="shared" si="150"/>
        <v>-431.60479191724022</v>
      </c>
      <c r="W242" s="14">
        <f t="shared" si="150"/>
        <v>-422.07272991792041</v>
      </c>
      <c r="X242" s="188">
        <f t="shared" si="150"/>
        <v>-444.88172725034417</v>
      </c>
      <c r="Y242" s="159">
        <f t="shared" si="150"/>
        <v>-456.79862270757974</v>
      </c>
      <c r="Z242" s="159">
        <f t="shared" si="150"/>
        <v>-479.31731442200709</v>
      </c>
      <c r="AA242" s="159">
        <f t="shared" si="150"/>
        <v>-500.537729978941</v>
      </c>
      <c r="AB242" s="159">
        <f t="shared" si="150"/>
        <v>-514.25850606488871</v>
      </c>
      <c r="AC242" s="159">
        <f t="shared" si="150"/>
        <v>-509.87547389491311</v>
      </c>
      <c r="AD242" s="159">
        <f t="shared" si="150"/>
        <v>-504.39763257130818</v>
      </c>
      <c r="AE242" s="159">
        <f t="shared" si="150"/>
        <v>-500.01928318688584</v>
      </c>
      <c r="AF242" s="159">
        <f t="shared" si="150"/>
        <v>-498.62231343524041</v>
      </c>
      <c r="AG242" s="159">
        <f t="shared" si="150"/>
        <v>-493.0758816160992</v>
      </c>
      <c r="AH242" s="188">
        <f t="shared" si="150"/>
        <v>-474.13635457150161</v>
      </c>
    </row>
    <row r="243" spans="1:34" s="1" customFormat="1">
      <c r="A243" s="1" t="s">
        <v>404</v>
      </c>
      <c r="B243" s="13"/>
      <c r="C243" s="342">
        <f>C222-C203</f>
        <v>-94.148499999999331</v>
      </c>
      <c r="D243" s="342">
        <f t="shared" ref="D243:AH243" si="151">D222-D203+D249+D252</f>
        <v>30.676731731134169</v>
      </c>
      <c r="E243" s="342">
        <f t="shared" si="151"/>
        <v>76.985119437685171</v>
      </c>
      <c r="F243" s="342">
        <f t="shared" si="151"/>
        <v>166.25766165972436</v>
      </c>
      <c r="G243" s="342">
        <f t="shared" si="151"/>
        <v>410.75168115741872</v>
      </c>
      <c r="H243" s="406">
        <f t="shared" si="151"/>
        <v>-36.601570607110261</v>
      </c>
      <c r="I243" s="15">
        <f t="shared" si="151"/>
        <v>-26.839975300896185</v>
      </c>
      <c r="J243" s="15">
        <f t="shared" si="151"/>
        <v>-141.74539465570342</v>
      </c>
      <c r="K243" s="15">
        <f t="shared" si="151"/>
        <v>-61.083188908045486</v>
      </c>
      <c r="L243" s="15">
        <f t="shared" si="151"/>
        <v>22.451224586683566</v>
      </c>
      <c r="M243" s="15">
        <f t="shared" si="151"/>
        <v>126.25332638526379</v>
      </c>
      <c r="N243" s="191">
        <f t="shared" si="151"/>
        <v>339.74629752015517</v>
      </c>
      <c r="O243" s="15">
        <f t="shared" si="151"/>
        <v>292.66809563770403</v>
      </c>
      <c r="P243" s="15">
        <f t="shared" si="151"/>
        <v>291.36572312805401</v>
      </c>
      <c r="Q243" s="15">
        <f t="shared" si="151"/>
        <v>306.98829411370662</v>
      </c>
      <c r="R243" s="15">
        <f t="shared" si="151"/>
        <v>322.96977094572594</v>
      </c>
      <c r="S243" s="15">
        <f t="shared" si="151"/>
        <v>351.74229785130501</v>
      </c>
      <c r="T243" s="15">
        <f t="shared" si="151"/>
        <v>349.53268674667561</v>
      </c>
      <c r="U243" s="15">
        <f t="shared" si="151"/>
        <v>315.72475917849715</v>
      </c>
      <c r="V243" s="15">
        <f t="shared" si="151"/>
        <v>299.78938019503403</v>
      </c>
      <c r="W243" s="15">
        <f t="shared" si="151"/>
        <v>308.03970831579409</v>
      </c>
      <c r="X243" s="191">
        <f t="shared" si="151"/>
        <v>358.46710701956181</v>
      </c>
      <c r="Y243" s="131">
        <f t="shared" si="151"/>
        <v>385.7907711062453</v>
      </c>
      <c r="Z243" s="131">
        <f t="shared" si="151"/>
        <v>437.52314601071612</v>
      </c>
      <c r="AA243" s="131">
        <f t="shared" si="151"/>
        <v>473.74087998626237</v>
      </c>
      <c r="AB243" s="131">
        <f t="shared" si="151"/>
        <v>499.78096194053796</v>
      </c>
      <c r="AC243" s="131">
        <f t="shared" si="151"/>
        <v>508.33982660483252</v>
      </c>
      <c r="AD243" s="131">
        <f t="shared" si="151"/>
        <v>495.37127114990835</v>
      </c>
      <c r="AE243" s="131">
        <f t="shared" si="151"/>
        <v>475.6321886568694</v>
      </c>
      <c r="AF243" s="131">
        <f t="shared" si="151"/>
        <v>505.82018172619064</v>
      </c>
      <c r="AG243" s="131">
        <f t="shared" si="151"/>
        <v>509.44621759814072</v>
      </c>
      <c r="AH243" s="191">
        <f t="shared" si="151"/>
        <v>493.80438901727211</v>
      </c>
    </row>
    <row r="244" spans="1:34">
      <c r="A244" t="s">
        <v>444</v>
      </c>
      <c r="C244" s="332"/>
      <c r="D244" s="332">
        <f>D231+D234</f>
        <v>181.09482598406839</v>
      </c>
      <c r="E244" s="332">
        <f t="shared" ref="E244:N244" si="152">E231+E234</f>
        <v>321.78663450653221</v>
      </c>
      <c r="F244" s="332">
        <f t="shared" si="152"/>
        <v>400.36659303359784</v>
      </c>
      <c r="G244" s="332">
        <f t="shared" si="152"/>
        <v>787.77670539737665</v>
      </c>
      <c r="H244" s="403">
        <f t="shared" si="152"/>
        <v>-2.6999999954568921E-4</v>
      </c>
      <c r="I244" s="14">
        <f t="shared" si="152"/>
        <v>213.54823040684869</v>
      </c>
      <c r="J244" s="14">
        <f t="shared" si="152"/>
        <v>179.10212694926304</v>
      </c>
      <c r="K244" s="14">
        <f t="shared" si="152"/>
        <v>342.62448442073401</v>
      </c>
      <c r="L244" s="14">
        <f t="shared" si="152"/>
        <v>506.67518462589578</v>
      </c>
      <c r="M244" s="14">
        <f t="shared" si="152"/>
        <v>737.11629430476296</v>
      </c>
      <c r="N244" s="188">
        <f t="shared" si="152"/>
        <v>1280.0915365114197</v>
      </c>
      <c r="O244" s="14">
        <f>O231+O234</f>
        <v>1216.6277459905323</v>
      </c>
      <c r="P244" s="14">
        <f t="shared" ref="P244:AH244" si="153">P231+P234</f>
        <v>1204.4802926990305</v>
      </c>
      <c r="Q244" s="14">
        <f t="shared" si="153"/>
        <v>1252.1743516698252</v>
      </c>
      <c r="R244" s="14">
        <f t="shared" si="153"/>
        <v>1274.8181688299665</v>
      </c>
      <c r="S244" s="14">
        <f t="shared" si="153"/>
        <v>1317.383362678208</v>
      </c>
      <c r="T244" s="14">
        <f t="shared" si="153"/>
        <v>1299.3323887592815</v>
      </c>
      <c r="U244" s="14">
        <f t="shared" si="153"/>
        <v>1237.1877097352171</v>
      </c>
      <c r="V244" s="14">
        <f t="shared" si="153"/>
        <v>1223.5599599325669</v>
      </c>
      <c r="W244" s="14">
        <f t="shared" si="153"/>
        <v>1215.2485633652541</v>
      </c>
      <c r="X244" s="188">
        <f t="shared" si="153"/>
        <v>1297.6618645480667</v>
      </c>
      <c r="Y244" s="159">
        <f t="shared" si="153"/>
        <v>1346.4417993557608</v>
      </c>
      <c r="Z244" s="159">
        <f t="shared" si="153"/>
        <v>1439.0716002574954</v>
      </c>
      <c r="AA244" s="159">
        <f t="shared" si="153"/>
        <v>1508.6761598253297</v>
      </c>
      <c r="AB244" s="159">
        <f t="shared" si="153"/>
        <v>1556.7944222635724</v>
      </c>
      <c r="AC244" s="159">
        <f t="shared" si="153"/>
        <v>1563.2316665525559</v>
      </c>
      <c r="AD244" s="159">
        <f t="shared" si="153"/>
        <v>1537.5883950430807</v>
      </c>
      <c r="AE244" s="159">
        <f t="shared" si="153"/>
        <v>1502.8491918902382</v>
      </c>
      <c r="AF244" s="159">
        <f t="shared" si="153"/>
        <v>1539.7611012230609</v>
      </c>
      <c r="AG244" s="159">
        <f t="shared" si="153"/>
        <v>1538.0338032431473</v>
      </c>
      <c r="AH244" s="188">
        <f t="shared" si="153"/>
        <v>1494.7589153348863</v>
      </c>
    </row>
    <row r="245" spans="1:34">
      <c r="A245" t="s">
        <v>445</v>
      </c>
      <c r="D245" s="332">
        <f>D231+D234+D237</f>
        <v>305.91684053552876</v>
      </c>
      <c r="E245" s="332">
        <f t="shared" ref="E245:N245" si="154">E231+E234+E237</f>
        <v>307.756213248319</v>
      </c>
      <c r="F245" s="332">
        <f t="shared" si="154"/>
        <v>503.50067326304008</v>
      </c>
      <c r="G245" s="332">
        <f t="shared" si="154"/>
        <v>878.62784807460662</v>
      </c>
      <c r="H245" s="403">
        <f t="shared" si="154"/>
        <v>-2.6999999954568921E-4</v>
      </c>
      <c r="I245" s="14">
        <f t="shared" si="154"/>
        <v>283.15494599058275</v>
      </c>
      <c r="J245" s="14">
        <f t="shared" si="154"/>
        <v>309.23451740962332</v>
      </c>
      <c r="K245" s="14">
        <f t="shared" si="154"/>
        <v>444.69865889726884</v>
      </c>
      <c r="L245" s="14">
        <f t="shared" si="154"/>
        <v>579.7943034747891</v>
      </c>
      <c r="M245" s="14">
        <f t="shared" si="154"/>
        <v>777.47318508490457</v>
      </c>
      <c r="N245" s="188">
        <f t="shared" si="154"/>
        <v>1280.0915365114197</v>
      </c>
      <c r="O245" s="14">
        <f>O231+O234+O237</f>
        <v>1230.526659309128</v>
      </c>
      <c r="P245" s="14">
        <f t="shared" ref="P245:AH245" si="155">P231+P234+P237</f>
        <v>1214.2948052388936</v>
      </c>
      <c r="Q245" s="14">
        <f t="shared" si="155"/>
        <v>1218.0200960678417</v>
      </c>
      <c r="R245" s="14">
        <f t="shared" si="155"/>
        <v>1246.8521681027657</v>
      </c>
      <c r="S245" s="14">
        <f t="shared" si="155"/>
        <v>1297.0214034382227</v>
      </c>
      <c r="T245" s="14">
        <f t="shared" si="155"/>
        <v>1277.4039759634927</v>
      </c>
      <c r="U245" s="14">
        <f t="shared" si="155"/>
        <v>1207.9131212807019</v>
      </c>
      <c r="V245" s="14">
        <f t="shared" si="155"/>
        <v>1210.955052020319</v>
      </c>
      <c r="W245" s="14">
        <f t="shared" si="155"/>
        <v>1199.0821381425155</v>
      </c>
      <c r="X245" s="188">
        <f t="shared" si="155"/>
        <v>1297.6618645480667</v>
      </c>
      <c r="Y245" s="159">
        <f t="shared" si="155"/>
        <v>1350.14341904447</v>
      </c>
      <c r="Z245" s="159">
        <f t="shared" si="155"/>
        <v>1449.4152542349527</v>
      </c>
      <c r="AA245" s="159">
        <f t="shared" si="155"/>
        <v>1530.4316432751393</v>
      </c>
      <c r="AB245" s="159">
        <f t="shared" si="155"/>
        <v>1585.4378080775268</v>
      </c>
      <c r="AC245" s="159">
        <f t="shared" si="155"/>
        <v>1584.743604827428</v>
      </c>
      <c r="AD245" s="159">
        <f t="shared" si="155"/>
        <v>1560.2107176893364</v>
      </c>
      <c r="AE245" s="159">
        <f t="shared" si="155"/>
        <v>1531.2284531625166</v>
      </c>
      <c r="AF245" s="159">
        <f t="shared" si="155"/>
        <v>1558.4672878672552</v>
      </c>
      <c r="AG245" s="159">
        <f t="shared" si="155"/>
        <v>1550.3841898987946</v>
      </c>
      <c r="AH245" s="188">
        <f t="shared" si="155"/>
        <v>1494.7589153348863</v>
      </c>
    </row>
    <row r="246" spans="1:34" s="1" customFormat="1">
      <c r="A246" s="1" t="s">
        <v>448</v>
      </c>
      <c r="B246" s="13"/>
      <c r="C246" s="329"/>
      <c r="D246" s="342">
        <f>D243</f>
        <v>30.676731731134169</v>
      </c>
      <c r="E246" s="342">
        <f>D246+E243</f>
        <v>107.66185116881934</v>
      </c>
      <c r="F246" s="342">
        <f>E246+F243</f>
        <v>273.9195128285437</v>
      </c>
      <c r="G246" s="342">
        <f>F246+G243</f>
        <v>684.67119398596242</v>
      </c>
      <c r="H246" s="406"/>
      <c r="I246" s="15">
        <f t="shared" ref="I246:X246" si="156">H246+I243</f>
        <v>-26.839975300896185</v>
      </c>
      <c r="J246" s="15">
        <f t="shared" si="156"/>
        <v>-168.58536995659961</v>
      </c>
      <c r="K246" s="15">
        <f t="shared" si="156"/>
        <v>-229.66855886464509</v>
      </c>
      <c r="L246" s="15">
        <f t="shared" si="156"/>
        <v>-207.21733427796153</v>
      </c>
      <c r="M246" s="15">
        <f t="shared" si="156"/>
        <v>-80.964007892697737</v>
      </c>
      <c r="N246" s="191">
        <f t="shared" si="156"/>
        <v>258.78228962745743</v>
      </c>
      <c r="O246" s="15">
        <f t="shared" si="156"/>
        <v>551.45038526516146</v>
      </c>
      <c r="P246" s="15">
        <f t="shared" si="156"/>
        <v>842.81610839321547</v>
      </c>
      <c r="Q246" s="15">
        <f t="shared" si="156"/>
        <v>1149.8044025069221</v>
      </c>
      <c r="R246" s="15">
        <f t="shared" si="156"/>
        <v>1472.774173452648</v>
      </c>
      <c r="S246" s="15">
        <f t="shared" si="156"/>
        <v>1824.516471303953</v>
      </c>
      <c r="T246" s="15">
        <f t="shared" si="156"/>
        <v>2174.0491580506286</v>
      </c>
      <c r="U246" s="15">
        <f t="shared" si="156"/>
        <v>2489.7739172291258</v>
      </c>
      <c r="V246" s="15">
        <f t="shared" si="156"/>
        <v>2789.5632974241598</v>
      </c>
      <c r="W246" s="15">
        <f t="shared" si="156"/>
        <v>3097.6030057399539</v>
      </c>
      <c r="X246" s="191">
        <f t="shared" si="156"/>
        <v>3456.0701127595157</v>
      </c>
      <c r="Y246" s="131">
        <f t="shared" ref="Y246:AH246" si="157">X246+Y243</f>
        <v>3841.860883865761</v>
      </c>
      <c r="Z246" s="131">
        <f t="shared" si="157"/>
        <v>4279.3840298764771</v>
      </c>
      <c r="AA246" s="131">
        <f t="shared" si="157"/>
        <v>4753.1249098627395</v>
      </c>
      <c r="AB246" s="131">
        <f t="shared" si="157"/>
        <v>5252.9058718032775</v>
      </c>
      <c r="AC246" s="131">
        <f t="shared" si="157"/>
        <v>5761.24569840811</v>
      </c>
      <c r="AD246" s="131">
        <f t="shared" si="157"/>
        <v>6256.6169695580184</v>
      </c>
      <c r="AE246" s="131">
        <f t="shared" si="157"/>
        <v>6732.2491582148878</v>
      </c>
      <c r="AF246" s="131">
        <f t="shared" si="157"/>
        <v>7238.0693399410784</v>
      </c>
      <c r="AG246" s="131">
        <f t="shared" si="157"/>
        <v>7747.5155575392191</v>
      </c>
      <c r="AH246" s="191">
        <f t="shared" si="157"/>
        <v>8241.3199465564903</v>
      </c>
    </row>
    <row r="247" spans="1:34">
      <c r="A247" t="s">
        <v>457</v>
      </c>
      <c r="D247" s="344" t="b">
        <f t="shared" ref="D247:AH247" si="158">IF(D185-D246&lt;1,TRUE,FALSE)</f>
        <v>1</v>
      </c>
      <c r="E247" s="344" t="b">
        <f t="shared" si="158"/>
        <v>1</v>
      </c>
      <c r="F247" s="344" t="b">
        <f t="shared" si="158"/>
        <v>1</v>
      </c>
      <c r="G247" s="344" t="b">
        <f t="shared" si="158"/>
        <v>1</v>
      </c>
      <c r="H247" s="409"/>
      <c r="I247" s="134" t="b">
        <f t="shared" si="158"/>
        <v>1</v>
      </c>
      <c r="J247" s="134" t="b">
        <f t="shared" si="158"/>
        <v>1</v>
      </c>
      <c r="K247" s="134" t="b">
        <f t="shared" si="158"/>
        <v>1</v>
      </c>
      <c r="L247" s="134" t="b">
        <f t="shared" si="158"/>
        <v>1</v>
      </c>
      <c r="M247" s="134" t="b">
        <f t="shared" si="158"/>
        <v>1</v>
      </c>
      <c r="N247" s="195" t="b">
        <f t="shared" si="158"/>
        <v>1</v>
      </c>
      <c r="O247" s="134" t="b">
        <f t="shared" si="158"/>
        <v>1</v>
      </c>
      <c r="P247" s="134" t="b">
        <f t="shared" si="158"/>
        <v>1</v>
      </c>
      <c r="Q247" s="134" t="b">
        <f t="shared" si="158"/>
        <v>1</v>
      </c>
      <c r="R247" s="134" t="b">
        <f t="shared" si="158"/>
        <v>1</v>
      </c>
      <c r="S247" s="134" t="b">
        <f t="shared" si="158"/>
        <v>1</v>
      </c>
      <c r="T247" s="134" t="b">
        <f t="shared" si="158"/>
        <v>1</v>
      </c>
      <c r="U247" s="134" t="b">
        <f t="shared" si="158"/>
        <v>1</v>
      </c>
      <c r="V247" s="134" t="b">
        <f t="shared" si="158"/>
        <v>1</v>
      </c>
      <c r="W247" s="134" t="b">
        <f t="shared" si="158"/>
        <v>1</v>
      </c>
      <c r="X247" s="195" t="b">
        <f t="shared" si="158"/>
        <v>1</v>
      </c>
      <c r="Y247" s="291" t="b">
        <f t="shared" si="158"/>
        <v>1</v>
      </c>
      <c r="Z247" s="291" t="b">
        <f t="shared" si="158"/>
        <v>1</v>
      </c>
      <c r="AA247" s="291" t="b">
        <f t="shared" si="158"/>
        <v>1</v>
      </c>
      <c r="AB247" s="291" t="b">
        <f t="shared" si="158"/>
        <v>1</v>
      </c>
      <c r="AC247" s="291" t="b">
        <f t="shared" si="158"/>
        <v>1</v>
      </c>
      <c r="AD247" s="291" t="b">
        <f t="shared" si="158"/>
        <v>1</v>
      </c>
      <c r="AE247" s="291" t="b">
        <f t="shared" si="158"/>
        <v>1</v>
      </c>
      <c r="AF247" s="291" t="b">
        <f t="shared" si="158"/>
        <v>1</v>
      </c>
      <c r="AG247" s="291" t="b">
        <f t="shared" si="158"/>
        <v>1</v>
      </c>
      <c r="AH247" s="195" t="b">
        <f t="shared" si="158"/>
        <v>1</v>
      </c>
    </row>
    <row r="248" spans="1:34">
      <c r="A248" t="s">
        <v>438</v>
      </c>
    </row>
    <row r="249" spans="1:34" s="1" customFormat="1">
      <c r="A249" s="1" t="s">
        <v>439</v>
      </c>
      <c r="B249" s="13"/>
      <c r="C249" s="329"/>
      <c r="D249" s="342">
        <f>D$29*(EIA_electricity_aeo2014!F$60) * Inputs!$M$60</f>
        <v>0</v>
      </c>
      <c r="E249" s="342">
        <f>E$29*(EIA_electricity_aeo2014!G$60) * Inputs!$M$60</f>
        <v>0</v>
      </c>
      <c r="F249" s="342">
        <f>F$29*(EIA_electricity_aeo2014!H$60) * Inputs!$M$60</f>
        <v>0</v>
      </c>
      <c r="G249" s="342">
        <f>G$29*(EIA_electricity_aeo2014!I$60) * Inputs!$M$60</f>
        <v>0</v>
      </c>
      <c r="H249" s="406">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1">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1">
        <f>X$29*(EIA_electricity_aeo2014!Z$60) * Inputs!$M$60</f>
        <v>0</v>
      </c>
      <c r="Y249" s="131">
        <f>Y$29*(EIA_electricity_aeo2014!AA$60) * Inputs!$M$60</f>
        <v>0</v>
      </c>
      <c r="Z249" s="131">
        <f>Z$29*(EIA_electricity_aeo2014!AB$60) * Inputs!$M$60</f>
        <v>0</v>
      </c>
      <c r="AA249" s="131">
        <f>AA$29*(EIA_electricity_aeo2014!AC$60) * Inputs!$M$60</f>
        <v>0</v>
      </c>
      <c r="AB249" s="131">
        <f>AB$29*(EIA_electricity_aeo2014!AD$60) * Inputs!$M$60</f>
        <v>0</v>
      </c>
      <c r="AC249" s="131">
        <f>AC$29*(EIA_electricity_aeo2014!AE$60) * Inputs!$M$60</f>
        <v>0</v>
      </c>
      <c r="AD249" s="131">
        <f>AD$29*(EIA_electricity_aeo2014!AF$60) * Inputs!$M$60</f>
        <v>0</v>
      </c>
      <c r="AE249" s="131">
        <f>AE$29*(EIA_electricity_aeo2014!AG$60) * Inputs!$M$60</f>
        <v>0</v>
      </c>
      <c r="AF249" s="131">
        <f>AF$29*(EIA_electricity_aeo2014!AH$60) * Inputs!$M$60</f>
        <v>0</v>
      </c>
      <c r="AG249" s="131">
        <f>AG$29*(EIA_electricity_aeo2014!AI$60) * Inputs!$M$60</f>
        <v>0</v>
      </c>
      <c r="AH249" s="191">
        <f>AH$29*(EIA_electricity_aeo2014!AJ$60) * Inputs!$M$60</f>
        <v>0</v>
      </c>
    </row>
    <row r="250" spans="1:34">
      <c r="A250" t="s">
        <v>441</v>
      </c>
      <c r="D250" s="332">
        <f>D$29*(EIA_electricity_aeo2014!F$60) * Inputs!$C$60</f>
        <v>0</v>
      </c>
      <c r="E250" s="332">
        <f>E$29*(EIA_electricity_aeo2014!G$60) * Inputs!$C$60</f>
        <v>0</v>
      </c>
      <c r="F250" s="332">
        <f>F$29*(EIA_electricity_aeo2014!H$60) * Inputs!$C$60</f>
        <v>0</v>
      </c>
      <c r="G250" s="332">
        <f>G$29*(EIA_electricity_aeo2014!I$60) * Inputs!$C$60</f>
        <v>0</v>
      </c>
      <c r="H250" s="403">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8">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1">
        <f>X$29*(EIA_electricity_aeo2014!Z$60) * Inputs!$M$60</f>
        <v>0</v>
      </c>
      <c r="Y250" s="131">
        <f>Y$29*(EIA_electricity_aeo2014!AA$60) * Inputs!$M$60</f>
        <v>0</v>
      </c>
      <c r="Z250" s="131">
        <f>Z$29*(EIA_electricity_aeo2014!AB$60) * Inputs!$M$60</f>
        <v>0</v>
      </c>
      <c r="AA250" s="131">
        <f>AA$29*(EIA_electricity_aeo2014!AC$60) * Inputs!$M$60</f>
        <v>0</v>
      </c>
      <c r="AB250" s="131">
        <f>AB$29*(EIA_electricity_aeo2014!AD$60) * Inputs!$M$60</f>
        <v>0</v>
      </c>
      <c r="AC250" s="131">
        <f>AC$29*(EIA_electricity_aeo2014!AE$60) * Inputs!$M$60</f>
        <v>0</v>
      </c>
      <c r="AD250" s="131">
        <f>AD$29*(EIA_electricity_aeo2014!AF$60) * Inputs!$M$60</f>
        <v>0</v>
      </c>
      <c r="AE250" s="131">
        <f>AE$29*(EIA_electricity_aeo2014!AG$60) * Inputs!$M$60</f>
        <v>0</v>
      </c>
      <c r="AF250" s="131">
        <f>AF$29*(EIA_electricity_aeo2014!AH$60) * Inputs!$M$60</f>
        <v>0</v>
      </c>
      <c r="AG250" s="131">
        <f>AG$29*(EIA_electricity_aeo2014!AI$60) * Inputs!$M$60</f>
        <v>0</v>
      </c>
      <c r="AH250" s="191">
        <f>AH$29*(EIA_electricity_aeo2014!AJ$60) * Inputs!$M$60</f>
        <v>0</v>
      </c>
    </row>
    <row r="251" spans="1:34">
      <c r="A251" t="s">
        <v>442</v>
      </c>
      <c r="D251" s="332">
        <f>D250*Inputs!$H$60</f>
        <v>0</v>
      </c>
      <c r="E251" s="332">
        <f>E250*Inputs!$H$60</f>
        <v>0</v>
      </c>
      <c r="F251" s="332">
        <f>F250*Inputs!$H$60</f>
        <v>0</v>
      </c>
      <c r="G251" s="332">
        <f>G250*Inputs!$H$60</f>
        <v>0</v>
      </c>
      <c r="H251" s="403">
        <f>H250*Inputs!$H$60</f>
        <v>0</v>
      </c>
      <c r="I251" s="14">
        <f>I250*Inputs!$H$60</f>
        <v>0</v>
      </c>
      <c r="J251" s="14">
        <f>J250*Inputs!$H$60</f>
        <v>0</v>
      </c>
      <c r="K251" s="14">
        <f>K250*Inputs!$H$60</f>
        <v>0</v>
      </c>
      <c r="L251" s="14">
        <f>L250*Inputs!$H$60</f>
        <v>0</v>
      </c>
      <c r="M251" s="14">
        <f>M250*Inputs!$H$60</f>
        <v>0</v>
      </c>
      <c r="N251" s="188">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1">
        <f>X$29*(EIA_electricity_aeo2014!Z$60) * Inputs!$M$60</f>
        <v>0</v>
      </c>
      <c r="Y251" s="131">
        <f>Y$29*(EIA_electricity_aeo2014!AA$60) * Inputs!$M$60</f>
        <v>0</v>
      </c>
      <c r="Z251" s="131">
        <f>Z$29*(EIA_electricity_aeo2014!AB$60) * Inputs!$M$60</f>
        <v>0</v>
      </c>
      <c r="AA251" s="131">
        <f>AA$29*(EIA_electricity_aeo2014!AC$60) * Inputs!$M$60</f>
        <v>0</v>
      </c>
      <c r="AB251" s="131">
        <f>AB$29*(EIA_electricity_aeo2014!AD$60) * Inputs!$M$60</f>
        <v>0</v>
      </c>
      <c r="AC251" s="131">
        <f>AC$29*(EIA_electricity_aeo2014!AE$60) * Inputs!$M$60</f>
        <v>0</v>
      </c>
      <c r="AD251" s="131">
        <f>AD$29*(EIA_electricity_aeo2014!AF$60) * Inputs!$M$60</f>
        <v>0</v>
      </c>
      <c r="AE251" s="131">
        <f>AE$29*(EIA_electricity_aeo2014!AG$60) * Inputs!$M$60</f>
        <v>0</v>
      </c>
      <c r="AF251" s="131">
        <f>AF$29*(EIA_electricity_aeo2014!AH$60) * Inputs!$M$60</f>
        <v>0</v>
      </c>
      <c r="AG251" s="131">
        <f>AG$29*(EIA_electricity_aeo2014!AI$60) * Inputs!$M$60</f>
        <v>0</v>
      </c>
      <c r="AH251" s="191">
        <f>AH$29*(EIA_electricity_aeo2014!AJ$60) * Inputs!$M$60</f>
        <v>0</v>
      </c>
    </row>
    <row r="252" spans="1:34" s="1" customFormat="1">
      <c r="A252" s="1" t="s">
        <v>440</v>
      </c>
      <c r="B252" s="13"/>
      <c r="C252" s="329"/>
      <c r="D252" s="342">
        <f>D$29*(1-EIA_electricity_aeo2014!F$60) * Inputs!$M$61</f>
        <v>0</v>
      </c>
      <c r="E252" s="342">
        <f>E$29*(1-EIA_electricity_aeo2014!G$60) * Inputs!$M$61</f>
        <v>0</v>
      </c>
      <c r="F252" s="342">
        <f>F$29*(1-EIA_electricity_aeo2014!H$60) * Inputs!$M$61</f>
        <v>0</v>
      </c>
      <c r="G252" s="342">
        <f>G$29*(1-EIA_electricity_aeo2014!I$60) * Inputs!$M$61</f>
        <v>0</v>
      </c>
      <c r="H252" s="406">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1">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1">
        <f>X$29*(EIA_electricity_aeo2014!Z$60) * Inputs!$M$60</f>
        <v>0</v>
      </c>
      <c r="Y252" s="131">
        <f>Y$29*(EIA_electricity_aeo2014!AA$60) * Inputs!$M$60</f>
        <v>0</v>
      </c>
      <c r="Z252" s="131">
        <f>Z$29*(EIA_electricity_aeo2014!AB$60) * Inputs!$M$60</f>
        <v>0</v>
      </c>
      <c r="AA252" s="131">
        <f>AA$29*(EIA_electricity_aeo2014!AC$60) * Inputs!$M$60</f>
        <v>0</v>
      </c>
      <c r="AB252" s="131">
        <f>AB$29*(EIA_electricity_aeo2014!AD$60) * Inputs!$M$60</f>
        <v>0</v>
      </c>
      <c r="AC252" s="131">
        <f>AC$29*(EIA_electricity_aeo2014!AE$60) * Inputs!$M$60</f>
        <v>0</v>
      </c>
      <c r="AD252" s="131">
        <f>AD$29*(EIA_electricity_aeo2014!AF$60) * Inputs!$M$60</f>
        <v>0</v>
      </c>
      <c r="AE252" s="131">
        <f>AE$29*(EIA_electricity_aeo2014!AG$60) * Inputs!$M$60</f>
        <v>0</v>
      </c>
      <c r="AF252" s="131">
        <f>AF$29*(EIA_electricity_aeo2014!AH$60) * Inputs!$M$60</f>
        <v>0</v>
      </c>
      <c r="AG252" s="131">
        <f>AG$29*(EIA_electricity_aeo2014!AI$60) * Inputs!$M$60</f>
        <v>0</v>
      </c>
      <c r="AH252" s="191">
        <f>AH$29*(EIA_electricity_aeo2014!AJ$60) * Inputs!$M$60</f>
        <v>0</v>
      </c>
    </row>
    <row r="253" spans="1:34">
      <c r="A253" t="s">
        <v>441</v>
      </c>
      <c r="D253" s="332">
        <f>D$29*(1-EIA_electricity_aeo2014!F$60) * Inputs!$C$61</f>
        <v>0</v>
      </c>
      <c r="E253" s="332">
        <f>E$29*(1-EIA_electricity_aeo2014!G$60) * Inputs!$C$61</f>
        <v>0</v>
      </c>
      <c r="F253" s="332">
        <f>F$29*(1-EIA_electricity_aeo2014!H$60) * Inputs!$C$61</f>
        <v>0</v>
      </c>
      <c r="G253" s="332">
        <f>G$29*(1-EIA_electricity_aeo2014!I$60) * Inputs!$C$61</f>
        <v>0</v>
      </c>
      <c r="H253" s="403">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8">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1">
        <f>X$29*(EIA_electricity_aeo2014!Z$60) * Inputs!$M$60</f>
        <v>0</v>
      </c>
      <c r="Y253" s="131">
        <f>Y$29*(EIA_electricity_aeo2014!AA$60) * Inputs!$M$60</f>
        <v>0</v>
      </c>
      <c r="Z253" s="131">
        <f>Z$29*(EIA_electricity_aeo2014!AB$60) * Inputs!$M$60</f>
        <v>0</v>
      </c>
      <c r="AA253" s="131">
        <f>AA$29*(EIA_electricity_aeo2014!AC$60) * Inputs!$M$60</f>
        <v>0</v>
      </c>
      <c r="AB253" s="131">
        <f>AB$29*(EIA_electricity_aeo2014!AD$60) * Inputs!$M$60</f>
        <v>0</v>
      </c>
      <c r="AC253" s="131">
        <f>AC$29*(EIA_electricity_aeo2014!AE$60) * Inputs!$M$60</f>
        <v>0</v>
      </c>
      <c r="AD253" s="131">
        <f>AD$29*(EIA_electricity_aeo2014!AF$60) * Inputs!$M$60</f>
        <v>0</v>
      </c>
      <c r="AE253" s="131">
        <f>AE$29*(EIA_electricity_aeo2014!AG$60) * Inputs!$M$60</f>
        <v>0</v>
      </c>
      <c r="AF253" s="131">
        <f>AF$29*(EIA_electricity_aeo2014!AH$60) * Inputs!$M$60</f>
        <v>0</v>
      </c>
      <c r="AG253" s="131">
        <f>AG$29*(EIA_electricity_aeo2014!AI$60) * Inputs!$M$60</f>
        <v>0</v>
      </c>
      <c r="AH253" s="191">
        <f>AH$29*(EIA_electricity_aeo2014!AJ$60) * Inputs!$M$60</f>
        <v>0</v>
      </c>
    </row>
    <row r="254" spans="1:34">
      <c r="A254" t="s">
        <v>442</v>
      </c>
      <c r="D254" s="332">
        <f>D253*Inputs!$H$61</f>
        <v>0</v>
      </c>
      <c r="E254" s="332">
        <f>E253*Inputs!$H$61</f>
        <v>0</v>
      </c>
      <c r="F254" s="332">
        <f>F253*Inputs!$H$61</f>
        <v>0</v>
      </c>
      <c r="G254" s="332">
        <f>G253*Inputs!$H$61</f>
        <v>0</v>
      </c>
      <c r="H254" s="403">
        <f>H253*Inputs!$H$61</f>
        <v>0</v>
      </c>
      <c r="I254" s="14">
        <f>I253*Inputs!$H$61</f>
        <v>0</v>
      </c>
      <c r="J254" s="14">
        <f>J253*Inputs!$H$61</f>
        <v>0</v>
      </c>
      <c r="K254" s="14">
        <f>K253*Inputs!$H$61</f>
        <v>0</v>
      </c>
      <c r="L254" s="14">
        <f>L253*Inputs!$H$61</f>
        <v>0</v>
      </c>
      <c r="M254" s="14">
        <f>M253*Inputs!$H$61</f>
        <v>0</v>
      </c>
      <c r="N254" s="188">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1">
        <f>X$29*(EIA_electricity_aeo2014!Z$60) * Inputs!$M$60</f>
        <v>0</v>
      </c>
      <c r="Y254" s="131">
        <f>Y$29*(EIA_electricity_aeo2014!AA$60) * Inputs!$M$60</f>
        <v>0</v>
      </c>
      <c r="Z254" s="131">
        <f>Z$29*(EIA_electricity_aeo2014!AB$60) * Inputs!$M$60</f>
        <v>0</v>
      </c>
      <c r="AA254" s="131">
        <f>AA$29*(EIA_electricity_aeo2014!AC$60) * Inputs!$M$60</f>
        <v>0</v>
      </c>
      <c r="AB254" s="131">
        <f>AB$29*(EIA_electricity_aeo2014!AD$60) * Inputs!$M$60</f>
        <v>0</v>
      </c>
      <c r="AC254" s="131">
        <f>AC$29*(EIA_electricity_aeo2014!AE$60) * Inputs!$M$60</f>
        <v>0</v>
      </c>
      <c r="AD254" s="131">
        <f>AD$29*(EIA_electricity_aeo2014!AF$60) * Inputs!$M$60</f>
        <v>0</v>
      </c>
      <c r="AE254" s="131">
        <f>AE$29*(EIA_electricity_aeo2014!AG$60) * Inputs!$M$60</f>
        <v>0</v>
      </c>
      <c r="AF254" s="131">
        <f>AF$29*(EIA_electricity_aeo2014!AH$60) * Inputs!$M$60</f>
        <v>0</v>
      </c>
      <c r="AG254" s="131">
        <f>AG$29*(EIA_electricity_aeo2014!AI$60) * Inputs!$M$60</f>
        <v>0</v>
      </c>
      <c r="AH254" s="191">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125" zoomScaleNormal="125" zoomScalePageLayoutView="125" workbookViewId="0">
      <pane xSplit="2" ySplit="2" topLeftCell="AB3" activePane="bottomRight" state="frozen"/>
      <selection pane="topRight" activeCell="C1" sqref="C1"/>
      <selection pane="bottomLeft" activeCell="A3" sqref="A3"/>
      <selection pane="bottomRight" activeCell="AG16" sqref="AG16"/>
    </sheetView>
  </sheetViews>
  <sheetFormatPr baseColWidth="10" defaultColWidth="8.83203125" defaultRowHeight="14" x14ac:dyDescent="0"/>
  <cols>
    <col min="1" max="1" width="25.6640625" bestFit="1" customWidth="1"/>
    <col min="2" max="2" width="5.6640625" style="2" bestFit="1" customWidth="1"/>
    <col min="3" max="3" width="13.33203125" style="328" bestFit="1" customWidth="1"/>
    <col min="4" max="4" width="12.33203125" style="328" customWidth="1"/>
    <col min="5" max="5" width="14.1640625" style="328" customWidth="1"/>
    <col min="6" max="6" width="11.33203125" style="328" bestFit="1" customWidth="1"/>
    <col min="7" max="7" width="14.33203125" style="328"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7" bestFit="1" customWidth="1"/>
    <col min="15" max="22" width="11.5" style="2" bestFit="1" customWidth="1"/>
    <col min="23" max="23" width="11.33203125" style="2" bestFit="1" customWidth="1"/>
    <col min="24" max="24" width="11.33203125" style="193"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8" t="s">
        <v>0</v>
      </c>
      <c r="D1" s="328" t="s">
        <v>0</v>
      </c>
      <c r="E1" s="394" t="s">
        <v>0</v>
      </c>
    </row>
    <row r="2" spans="1:34" s="1" customFormat="1">
      <c r="B2" s="2" t="s">
        <v>127</v>
      </c>
      <c r="C2" s="329">
        <v>2009</v>
      </c>
      <c r="D2" s="329">
        <v>2010</v>
      </c>
      <c r="E2" s="329">
        <v>2011</v>
      </c>
      <c r="F2" s="329">
        <v>2012</v>
      </c>
      <c r="G2" s="329">
        <v>2013</v>
      </c>
      <c r="H2" s="13">
        <v>2014</v>
      </c>
      <c r="I2" s="13">
        <v>2015</v>
      </c>
      <c r="J2" s="13">
        <v>2016</v>
      </c>
      <c r="K2" s="13">
        <v>2017</v>
      </c>
      <c r="L2" s="13">
        <v>2018</v>
      </c>
      <c r="M2" s="13">
        <v>2019</v>
      </c>
      <c r="N2" s="177">
        <v>2020</v>
      </c>
      <c r="O2" s="13">
        <v>2021</v>
      </c>
      <c r="P2" s="13">
        <v>2022</v>
      </c>
      <c r="Q2" s="13">
        <v>2023</v>
      </c>
      <c r="R2" s="13">
        <v>2024</v>
      </c>
      <c r="S2" s="13">
        <v>2025</v>
      </c>
      <c r="T2" s="13">
        <v>2026</v>
      </c>
      <c r="U2" s="13">
        <v>2027</v>
      </c>
      <c r="V2" s="13">
        <v>2028</v>
      </c>
      <c r="W2" s="13">
        <v>2029</v>
      </c>
      <c r="X2" s="177">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9"/>
      <c r="D3" s="329"/>
      <c r="E3" s="329"/>
      <c r="F3" s="329"/>
      <c r="G3" s="329"/>
      <c r="H3" s="13"/>
      <c r="I3" s="13"/>
      <c r="J3" s="13"/>
      <c r="K3" s="13"/>
      <c r="L3" s="13"/>
      <c r="M3" s="13"/>
      <c r="N3" s="177"/>
      <c r="O3" s="13"/>
      <c r="P3" s="13"/>
      <c r="Q3" s="13"/>
      <c r="R3" s="13"/>
      <c r="S3" s="13"/>
      <c r="T3" s="13"/>
      <c r="U3" s="13"/>
      <c r="V3" s="13"/>
      <c r="W3" s="13"/>
      <c r="X3" s="177"/>
      <c r="Y3" s="13"/>
      <c r="Z3" s="13"/>
      <c r="AA3" s="13"/>
      <c r="AB3" s="13"/>
      <c r="AC3" s="13"/>
      <c r="AD3" s="13"/>
      <c r="AE3" s="13"/>
      <c r="AF3" s="13"/>
      <c r="AG3" s="13"/>
      <c r="AH3" s="13"/>
    </row>
    <row r="4" spans="1:34" s="1" customFormat="1">
      <c r="A4" s="1" t="s">
        <v>111</v>
      </c>
      <c r="B4" s="13"/>
      <c r="C4" s="330">
        <f>EIA_electricity_aeo2014!E58 * 1000</f>
        <v>16349</v>
      </c>
      <c r="D4" s="330">
        <f>EIA_electricity_aeo2014!F58 * 1000</f>
        <v>17019.000000000004</v>
      </c>
      <c r="E4" s="330">
        <f>EIA_electricity_aeo2014!G58 * 1000</f>
        <v>17320.490668733768</v>
      </c>
      <c r="F4" s="330">
        <f>EIA_electricity_aeo2014!H58 * 1000</f>
        <v>16827.296644148726</v>
      </c>
      <c r="G4" s="330">
        <f>EIA_electricity_aeo2014!I58 * 1000</f>
        <v>16753.342779350973</v>
      </c>
      <c r="H4" s="21">
        <f>EIA_electricity_aeo2014!J58 * 1000</f>
        <v>17285.819096954205</v>
      </c>
      <c r="I4" s="21">
        <f>EIA_electricity_aeo2014!K58 * 1000</f>
        <v>19369.686283610947</v>
      </c>
      <c r="J4" s="21">
        <f>EIA_electricity_aeo2014!L58 * 1000</f>
        <v>21412.998500275411</v>
      </c>
      <c r="K4" s="21">
        <f>EIA_electricity_aeo2014!M58 * 1000</f>
        <v>21740.657951900652</v>
      </c>
      <c r="L4" s="21">
        <f>EIA_electricity_aeo2014!N58 * 1000</f>
        <v>21863.838997605097</v>
      </c>
      <c r="M4" s="21">
        <f>EIA_electricity_aeo2014!O58 * 1000</f>
        <v>21918.704700106471</v>
      </c>
      <c r="N4" s="389">
        <f>EIA_electricity_aeo2014!P58 * 1000</f>
        <v>21819.860933769625</v>
      </c>
      <c r="O4" s="21">
        <f>EIA_electricity_aeo2014!Q58 * 1000</f>
        <v>21959.906553067001</v>
      </c>
      <c r="P4" s="21">
        <f>EIA_electricity_aeo2014!R58 * 1000</f>
        <v>21730.375907619571</v>
      </c>
      <c r="Q4" s="21">
        <f>EIA_electricity_aeo2014!S58 * 1000</f>
        <v>21752.63719995998</v>
      </c>
      <c r="R4" s="21">
        <f>EIA_electricity_aeo2014!T58 * 1000</f>
        <v>21734.767306361908</v>
      </c>
      <c r="S4" s="21">
        <f>EIA_electricity_aeo2014!U58 * 1000</f>
        <v>21745.541626875125</v>
      </c>
      <c r="T4" s="21">
        <f>EIA_electricity_aeo2014!V58 * 1000</f>
        <v>21573.540020329237</v>
      </c>
      <c r="U4" s="21">
        <f>EIA_electricity_aeo2014!W58 * 1000</f>
        <v>21441.981939526206</v>
      </c>
      <c r="V4" s="21">
        <f>EIA_electricity_aeo2014!X58 * 1000</f>
        <v>21784.071907559421</v>
      </c>
      <c r="W4" s="21">
        <f>EIA_electricity_aeo2014!Y58 * 1000</f>
        <v>21576.102084968676</v>
      </c>
      <c r="X4" s="389">
        <f>EIA_electricity_aeo2014!Z58 * 1000</f>
        <v>21753.750208834979</v>
      </c>
      <c r="Y4" s="21">
        <f>EIA_electricity_aeo2014!AA58 * 1000</f>
        <v>21951.455096787271</v>
      </c>
      <c r="Z4" s="21">
        <f>EIA_electricity_aeo2014!AB58 * 1000</f>
        <v>22209.205994831067</v>
      </c>
      <c r="AA4" s="21">
        <f>EIA_electricity_aeo2014!AC58 * 1000</f>
        <v>22564.151684434066</v>
      </c>
      <c r="AB4" s="21">
        <f>EIA_electricity_aeo2014!AD58 * 1000</f>
        <v>22833.401749024011</v>
      </c>
      <c r="AC4" s="21">
        <f>EIA_electricity_aeo2014!AE58 * 1000</f>
        <v>22825.611997700878</v>
      </c>
      <c r="AD4" s="21">
        <f>EIA_electricity_aeo2014!AF58 * 1000</f>
        <v>23095.706030680692</v>
      </c>
      <c r="AE4" s="21">
        <f>EIA_electricity_aeo2014!AG58 * 1000</f>
        <v>23350.078882931863</v>
      </c>
      <c r="AF4" s="21">
        <f>EIA_electricity_aeo2014!AH58 * 1000</f>
        <v>23293.535384709125</v>
      </c>
      <c r="AG4" s="21">
        <f>EIA_electricity_aeo2014!AI58 * 1000</f>
        <v>23304.216890486099</v>
      </c>
      <c r="AH4" s="21">
        <f>EIA_electricity_aeo2014!AJ58 * 1000</f>
        <v>23191.594218460948</v>
      </c>
    </row>
    <row r="5" spans="1:34">
      <c r="A5" s="9" t="s">
        <v>61</v>
      </c>
      <c r="B5" s="34">
        <v>0</v>
      </c>
      <c r="C5" s="331">
        <v>0</v>
      </c>
      <c r="D5" s="331"/>
      <c r="E5" s="331"/>
      <c r="F5" s="331"/>
      <c r="G5" s="331"/>
      <c r="H5" s="3"/>
      <c r="I5" s="3"/>
      <c r="J5" s="3"/>
      <c r="K5" s="3"/>
      <c r="L5" s="3"/>
      <c r="M5" s="3"/>
      <c r="N5" s="389"/>
      <c r="O5" s="3"/>
      <c r="P5" s="3"/>
      <c r="Q5" s="3"/>
      <c r="R5" s="3"/>
      <c r="S5" s="3"/>
      <c r="T5" s="3"/>
      <c r="U5" s="3"/>
      <c r="V5" s="3"/>
      <c r="W5" s="3"/>
      <c r="X5" s="185"/>
    </row>
    <row r="6" spans="1:34">
      <c r="A6" s="9" t="s">
        <v>60</v>
      </c>
      <c r="B6" s="34">
        <v>0</v>
      </c>
      <c r="C6" s="331">
        <v>0</v>
      </c>
      <c r="D6" s="331"/>
      <c r="E6" s="395" t="s">
        <v>0</v>
      </c>
      <c r="F6" s="331"/>
      <c r="G6" s="331"/>
      <c r="H6" s="3"/>
      <c r="I6" s="3"/>
      <c r="J6" s="3"/>
      <c r="K6" s="3"/>
      <c r="L6" s="3"/>
      <c r="M6" s="3"/>
      <c r="N6" s="389"/>
      <c r="O6" s="3"/>
      <c r="P6" s="3"/>
      <c r="Q6" s="3"/>
      <c r="R6" s="3"/>
      <c r="S6" s="3"/>
      <c r="T6" s="3"/>
      <c r="U6" s="3"/>
      <c r="V6" s="3"/>
      <c r="W6" s="3"/>
      <c r="X6" s="185"/>
    </row>
    <row r="7" spans="1:34">
      <c r="A7" s="9" t="s">
        <v>49</v>
      </c>
      <c r="B7" s="34">
        <v>0</v>
      </c>
      <c r="C7" s="331">
        <f>EIA_RE_aeo2014!E73*1000-C15</f>
        <v>4211.99</v>
      </c>
      <c r="D7" s="331">
        <f>EIA_RE_aeo2014!F73*1000-D15</f>
        <v>3809.99</v>
      </c>
      <c r="E7" s="331">
        <f>EIA_RE_aeo2014!G73*1000-E15</f>
        <v>4233.3833751748398</v>
      </c>
      <c r="F7" s="331">
        <f>EIA_RE_aeo2014!H73*1000-F15</f>
        <v>3568.0368814483327</v>
      </c>
      <c r="G7" s="331">
        <f>EIA_RE_aeo2014!I73*1000-G15</f>
        <v>3459.3563148373337</v>
      </c>
      <c r="H7" s="175">
        <f>EIA_RE_aeo2014!J73*1000-H15</f>
        <v>3517.5951865295042</v>
      </c>
      <c r="I7" s="175">
        <f>EIA_RE_aeo2014!K73*1000-I15</f>
        <v>3587.0719492968979</v>
      </c>
      <c r="J7" s="175">
        <f>EIA_RE_aeo2014!L73*1000-J15</f>
        <v>3656.8780133627124</v>
      </c>
      <c r="K7" s="175">
        <f>EIA_RE_aeo2014!M73*1000-K15</f>
        <v>3694.4169085828316</v>
      </c>
      <c r="L7" s="175">
        <f>EIA_RE_aeo2014!N73*1000-L15</f>
        <v>3694.4183613826776</v>
      </c>
      <c r="M7" s="175">
        <f>EIA_RE_aeo2014!O73*1000-M15</f>
        <v>3694.4188456492934</v>
      </c>
      <c r="N7" s="185">
        <f>EIA_RE_aeo2014!P73*1000-N15</f>
        <v>3694.4169085828316</v>
      </c>
      <c r="O7" s="175">
        <f>EIA_RE_aeo2014!Q73*1000-O15</f>
        <v>3694.4169085828316</v>
      </c>
      <c r="P7" s="175">
        <f>EIA_RE_aeo2014!R73*1000-P15</f>
        <v>3694.4178771160623</v>
      </c>
      <c r="Q7" s="175">
        <f>EIA_RE_aeo2014!S73*1000-Q15</f>
        <v>3877.3340945232512</v>
      </c>
      <c r="R7" s="175">
        <f>EIA_RE_aeo2014!T73*1000-R15</f>
        <v>3877.333610256635</v>
      </c>
      <c r="S7" s="83">
        <f>EIA_RE_aeo2014!U73*1000-S15</f>
        <v>3877.337968656173</v>
      </c>
      <c r="T7" s="83">
        <f>EIA_RE_aeo2014!V73*1000-T15</f>
        <v>3877.3462011886336</v>
      </c>
      <c r="U7" s="83">
        <f>EIA_RE_aeo2014!W73*1000-U15</f>
        <v>3904.4123465857429</v>
      </c>
      <c r="V7" s="83">
        <f>EIA_RE_aeo2014!X73*1000-V15</f>
        <v>3931.4310338545497</v>
      </c>
      <c r="W7" s="83">
        <f>EIA_RE_aeo2014!Y73*1000-W15</f>
        <v>3931.4353922540877</v>
      </c>
      <c r="X7" s="185">
        <f>EIA_RE_aeo2014!Z73*1000-X15</f>
        <v>3931.4349079874719</v>
      </c>
      <c r="Y7" s="175">
        <f>EIA_RE_aeo2014!AA73*1000-Y15</f>
        <v>3931.4353922540877</v>
      </c>
      <c r="Z7" s="175">
        <f>EIA_RE_aeo2014!AB73*1000-Z15</f>
        <v>3931.4363607873188</v>
      </c>
      <c r="AA7" s="175">
        <f>EIA_RE_aeo2014!AC73*1000-AA15</f>
        <v>3931.4305495879348</v>
      </c>
      <c r="AB7" s="175">
        <f>EIA_RE_aeo2014!AD73*1000-AB15</f>
        <v>3931.4305495879348</v>
      </c>
      <c r="AC7" s="175">
        <f>EIA_RE_aeo2014!AE73*1000-AC15</f>
        <v>3931.4305495879348</v>
      </c>
      <c r="AD7" s="175">
        <f>EIA_RE_aeo2014!AF73*1000-AD15</f>
        <v>3951.0210712442763</v>
      </c>
      <c r="AE7" s="175">
        <f>EIA_RE_aeo2014!AG73*1000-AE15</f>
        <v>3951.0210712442763</v>
      </c>
      <c r="AF7" s="175">
        <f>EIA_RE_aeo2014!AH73*1000-AF15</f>
        <v>3951.0210712442763</v>
      </c>
      <c r="AG7" s="175">
        <f>EIA_RE_aeo2014!AI73*1000-AG15</f>
        <v>3951.0210712442763</v>
      </c>
      <c r="AH7" s="175">
        <f>EIA_RE_aeo2014!AJ73*1000-AH15</f>
        <v>3951.025913910431</v>
      </c>
    </row>
    <row r="8" spans="1:34">
      <c r="A8" s="9" t="s">
        <v>59</v>
      </c>
      <c r="B8" s="34">
        <v>0</v>
      </c>
      <c r="C8" s="331">
        <f>EIA_electricity_aeo2014!E52*1000</f>
        <v>0</v>
      </c>
      <c r="D8" s="331">
        <f>EIA_electricity_aeo2014!F52*1000</f>
        <v>0</v>
      </c>
      <c r="E8" s="331">
        <f>EIA_electricity_aeo2014!G52*1000</f>
        <v>0</v>
      </c>
      <c r="F8" s="331">
        <f>EIA_electricity_aeo2014!H52*1000</f>
        <v>0</v>
      </c>
      <c r="G8" s="331">
        <f>EIA_electricity_aeo2014!I52*1000</f>
        <v>0</v>
      </c>
      <c r="H8" s="3">
        <f>EIA_electricity_aeo2014!J52*1000</f>
        <v>0</v>
      </c>
      <c r="I8" s="3">
        <f>EIA_electricity_aeo2014!K52*1000</f>
        <v>0</v>
      </c>
      <c r="J8" s="3">
        <f>EIA_electricity_aeo2014!L52*1000</f>
        <v>0</v>
      </c>
      <c r="K8" s="3">
        <f>EIA_electricity_aeo2014!M52*1000</f>
        <v>0</v>
      </c>
      <c r="L8" s="3">
        <f>EIA_electricity_aeo2014!N52*1000</f>
        <v>0</v>
      </c>
      <c r="M8" s="3">
        <f>EIA_electricity_aeo2014!O52*1000</f>
        <v>0</v>
      </c>
      <c r="N8" s="389">
        <f>EIA_electricity_aeo2014!P52*1000</f>
        <v>0</v>
      </c>
      <c r="O8" s="3">
        <f>EIA_electricity_aeo2014!Q52*1000</f>
        <v>0</v>
      </c>
      <c r="P8" s="3">
        <f>EIA_electricity_aeo2014!R52*1000</f>
        <v>0</v>
      </c>
      <c r="Q8" s="3">
        <f>EIA_electricity_aeo2014!S52*1000</f>
        <v>0</v>
      </c>
      <c r="R8" s="3">
        <f>EIA_electricity_aeo2014!T52*1000</f>
        <v>0</v>
      </c>
      <c r="S8" s="3">
        <f>EIA_electricity_aeo2014!U52*1000</f>
        <v>0</v>
      </c>
      <c r="T8" s="3">
        <f>EIA_electricity_aeo2014!V52*1000</f>
        <v>0</v>
      </c>
      <c r="U8" s="3">
        <f>EIA_electricity_aeo2014!W52*1000</f>
        <v>0</v>
      </c>
      <c r="V8" s="3">
        <f>EIA_electricity_aeo2014!X52*1000</f>
        <v>0</v>
      </c>
      <c r="W8" s="3">
        <f>EIA_electricity_aeo2014!Y52*1000</f>
        <v>0</v>
      </c>
      <c r="X8" s="185">
        <f>EIA_electricity_aeo2014!Z52*1000</f>
        <v>0</v>
      </c>
      <c r="Y8" s="175">
        <f>EIA_electricity_aeo2014!AA52*1000</f>
        <v>0</v>
      </c>
      <c r="Z8" s="175">
        <f>EIA_electricity_aeo2014!AB52*1000</f>
        <v>0</v>
      </c>
      <c r="AA8" s="175">
        <f>EIA_electricity_aeo2014!AC52*1000</f>
        <v>0</v>
      </c>
      <c r="AB8" s="175">
        <f>EIA_electricity_aeo2014!AD52*1000</f>
        <v>0</v>
      </c>
      <c r="AC8" s="175">
        <f>EIA_electricity_aeo2014!AE52*1000</f>
        <v>0</v>
      </c>
      <c r="AD8" s="175">
        <f>EIA_electricity_aeo2014!AF52*1000</f>
        <v>0</v>
      </c>
      <c r="AE8" s="175">
        <f>EIA_electricity_aeo2014!AG52*1000</f>
        <v>0</v>
      </c>
      <c r="AF8" s="175">
        <f>EIA_electricity_aeo2014!AH52*1000</f>
        <v>0</v>
      </c>
      <c r="AG8" s="175">
        <f>EIA_electricity_aeo2014!AI52*1000</f>
        <v>0</v>
      </c>
      <c r="AH8" s="175">
        <f>EIA_electricity_aeo2014!AJ52*1000</f>
        <v>0</v>
      </c>
    </row>
    <row r="9" spans="1:34">
      <c r="A9" s="9"/>
      <c r="B9" s="34"/>
      <c r="C9" s="331"/>
      <c r="D9" s="331"/>
      <c r="E9" s="331"/>
      <c r="F9" s="331"/>
      <c r="G9" s="331"/>
      <c r="H9" s="118"/>
      <c r="I9" s="118"/>
      <c r="J9" s="118"/>
      <c r="K9" s="118"/>
      <c r="L9" s="118"/>
      <c r="M9" s="118"/>
      <c r="N9" s="389"/>
      <c r="O9" s="118"/>
      <c r="P9" s="118"/>
      <c r="Q9" s="118"/>
      <c r="R9" s="118"/>
      <c r="S9" s="118"/>
      <c r="T9" s="118"/>
      <c r="U9" s="118"/>
      <c r="V9" s="118"/>
      <c r="W9" s="118"/>
      <c r="X9" s="185"/>
    </row>
    <row r="10" spans="1:34" s="20" customFormat="1">
      <c r="A10" s="9" t="s">
        <v>125</v>
      </c>
      <c r="B10" s="35">
        <v>1</v>
      </c>
      <c r="C10" s="331">
        <f>EIA_RE_aeo2014!E76*1000</f>
        <v>3367</v>
      </c>
      <c r="D10" s="331">
        <f>EIA_RE_aeo2014!F76*1000</f>
        <v>3390</v>
      </c>
      <c r="E10" s="331">
        <f>EIA_RE_aeo2014!G76*1000</f>
        <v>3480.0870280495828</v>
      </c>
      <c r="F10" s="331">
        <f>EIA_RE_aeo2014!H76*1000</f>
        <v>3526.6680805460969</v>
      </c>
      <c r="G10" s="331">
        <f>EIA_RE_aeo2014!I76*1000</f>
        <v>2930.0392033859534</v>
      </c>
      <c r="H10" s="83">
        <f>EIA_RE_aeo2014!J76*1000</f>
        <v>3033.4726781882623</v>
      </c>
      <c r="I10" s="175">
        <f>EIA_RE_aeo2014!K76*1000</f>
        <v>3226.0619268707064</v>
      </c>
      <c r="J10" s="175">
        <f>EIA_RE_aeo2014!L76*1000</f>
        <v>4128.2537631919495</v>
      </c>
      <c r="K10" s="175">
        <f>EIA_RE_aeo2014!M76*1000</f>
        <v>4222.7340391411517</v>
      </c>
      <c r="L10" s="175">
        <f>EIA_RE_aeo2014!N76*1000</f>
        <v>4303.2056431355422</v>
      </c>
      <c r="M10" s="175">
        <f>EIA_RE_aeo2014!O76*1000</f>
        <v>4420.7833691347905</v>
      </c>
      <c r="N10" s="185">
        <f>EIA_RE_aeo2014!P76*1000</f>
        <v>4534.7288491551799</v>
      </c>
      <c r="O10" s="175">
        <f>EIA_RE_aeo2014!Q76*1000</f>
        <v>4885.2395213565978</v>
      </c>
      <c r="P10" s="175">
        <f>EIA_RE_aeo2014!R76*1000</f>
        <v>4901.4174611854369</v>
      </c>
      <c r="Q10" s="175">
        <f>EIA_RE_aeo2014!S76*1000</f>
        <v>4907.4518022185184</v>
      </c>
      <c r="R10" s="175">
        <f>EIA_RE_aeo2014!T76*1000</f>
        <v>4951.7620798691523</v>
      </c>
      <c r="S10" s="83">
        <f>EIA_RE_aeo2014!U76*1000</f>
        <v>4969.4214536158879</v>
      </c>
      <c r="T10" s="83">
        <f>EIA_RE_aeo2014!V76*1000</f>
        <v>5011.7157886087225</v>
      </c>
      <c r="U10" s="83">
        <f>EIA_RE_aeo2014!W76*1000</f>
        <v>5192.8624331912652</v>
      </c>
      <c r="V10" s="83">
        <f>EIA_RE_aeo2014!X76*1000</f>
        <v>5473.6860847785547</v>
      </c>
      <c r="W10" s="83">
        <f>EIA_RE_aeo2014!Y76*1000</f>
        <v>5409.2568413708759</v>
      </c>
      <c r="X10" s="185">
        <f>EIA_RE_aeo2014!Z76*1000</f>
        <v>5409.7210760533417</v>
      </c>
      <c r="Y10" s="175">
        <f>EIA_RE_aeo2014!AA76*1000</f>
        <v>5473.2289484857301</v>
      </c>
      <c r="Z10" s="175">
        <f>EIA_RE_aeo2014!AB76*1000</f>
        <v>5465.9474203928758</v>
      </c>
      <c r="AA10" s="175">
        <f>EIA_RE_aeo2014!AC76*1000</f>
        <v>5516.8954021960035</v>
      </c>
      <c r="AB10" s="175">
        <f>EIA_RE_aeo2014!AD76*1000</f>
        <v>5551.0003250610116</v>
      </c>
      <c r="AC10" s="175">
        <f>EIA_RE_aeo2014!AE76*1000</f>
        <v>5572.8094173913714</v>
      </c>
      <c r="AD10" s="175">
        <f>EIA_RE_aeo2014!AF76*1000</f>
        <v>5619.675115312456</v>
      </c>
      <c r="AE10" s="175">
        <f>EIA_RE_aeo2014!AG76*1000</f>
        <v>5746.4999134959107</v>
      </c>
      <c r="AF10" s="175">
        <f>EIA_RE_aeo2014!AH76*1000</f>
        <v>5670.1120130614936</v>
      </c>
      <c r="AG10" s="175">
        <f>EIA_RE_aeo2014!AI76*1000</f>
        <v>5706.6126424300473</v>
      </c>
      <c r="AH10" s="175">
        <f>EIA_RE_aeo2014!AJ76*1000</f>
        <v>5745.2811199947</v>
      </c>
    </row>
    <row r="11" spans="1:34" s="20" customFormat="1">
      <c r="A11" s="9" t="s">
        <v>50</v>
      </c>
      <c r="B11" s="35">
        <v>1</v>
      </c>
      <c r="C11" s="331">
        <f>EIA_RE_aeo2014!E74*1000</f>
        <v>0</v>
      </c>
      <c r="D11" s="331">
        <f>EIA_RE_aeo2014!F74*1000</f>
        <v>0</v>
      </c>
      <c r="E11" s="331">
        <f>EIA_RE_aeo2014!G74*1000</f>
        <v>1.0000000000000001E-5</v>
      </c>
      <c r="F11" s="331">
        <f>EIA_RE_aeo2014!H74*1000</f>
        <v>1.0000000000000001E-5</v>
      </c>
      <c r="G11" s="331">
        <f>EIA_RE_aeo2014!I74*1000</f>
        <v>1.0000000000000001E-5</v>
      </c>
      <c r="H11" s="83">
        <f>EIA_RE_aeo2014!J74*1000</f>
        <v>1.0000000000000001E-5</v>
      </c>
      <c r="I11" s="83">
        <f>EIA_RE_aeo2014!K74*1000</f>
        <v>1.0000000000000001E-5</v>
      </c>
      <c r="J11" s="83">
        <f>EIA_RE_aeo2014!L74*1000</f>
        <v>1.0000000000000001E-5</v>
      </c>
      <c r="K11" s="83">
        <f>EIA_RE_aeo2014!M74*1000</f>
        <v>1.0000000000000001E-5</v>
      </c>
      <c r="L11" s="83">
        <f>EIA_RE_aeo2014!N74*1000</f>
        <v>1.0000000000000001E-5</v>
      </c>
      <c r="M11" s="83">
        <f>EIA_RE_aeo2014!O74*1000</f>
        <v>1.0000000000000001E-5</v>
      </c>
      <c r="N11" s="389">
        <f>EIA_RE_aeo2014!P74*1000</f>
        <v>1.0000000000000001E-5</v>
      </c>
      <c r="O11" s="83">
        <f>EIA_RE_aeo2014!Q74*1000</f>
        <v>1.0000000000000001E-5</v>
      </c>
      <c r="P11" s="83">
        <f>EIA_RE_aeo2014!R74*1000</f>
        <v>1.0000000000000001E-5</v>
      </c>
      <c r="Q11" s="83">
        <f>EIA_RE_aeo2014!S74*1000</f>
        <v>1.0000000000000001E-5</v>
      </c>
      <c r="R11" s="83">
        <f>EIA_RE_aeo2014!T74*1000</f>
        <v>1.0000000000000001E-5</v>
      </c>
      <c r="S11" s="83">
        <f>EIA_RE_aeo2014!U74*1000</f>
        <v>1.0000000000000001E-5</v>
      </c>
      <c r="T11" s="83">
        <f>EIA_RE_aeo2014!V74*1000</f>
        <v>1.0000000000000001E-5</v>
      </c>
      <c r="U11" s="83">
        <f>EIA_RE_aeo2014!W74*1000</f>
        <v>1.0000000000000001E-5</v>
      </c>
      <c r="V11" s="83">
        <f>EIA_RE_aeo2014!X74*1000</f>
        <v>1.0000000000000001E-5</v>
      </c>
      <c r="W11" s="83">
        <f>EIA_RE_aeo2014!Y74*1000</f>
        <v>1.0000000000000001E-5</v>
      </c>
      <c r="X11" s="185">
        <f>EIA_RE_aeo2014!Z74*1000</f>
        <v>1.0000000000000001E-5</v>
      </c>
      <c r="Y11" s="175">
        <f>EIA_RE_aeo2014!AA74*1000</f>
        <v>1.0000000000000001E-5</v>
      </c>
      <c r="Z11" s="175">
        <f>EIA_RE_aeo2014!AB74*1000</f>
        <v>1.0000000000000001E-5</v>
      </c>
      <c r="AA11" s="175">
        <f>EIA_RE_aeo2014!AC74*1000</f>
        <v>1.0000000000000001E-5</v>
      </c>
      <c r="AB11" s="175">
        <f>EIA_RE_aeo2014!AD74*1000</f>
        <v>1.0000000000000001E-5</v>
      </c>
      <c r="AC11" s="175">
        <f>EIA_RE_aeo2014!AE74*1000</f>
        <v>1.0000000000000001E-5</v>
      </c>
      <c r="AD11" s="175">
        <f>EIA_RE_aeo2014!AF74*1000</f>
        <v>1.0000000000000001E-5</v>
      </c>
      <c r="AE11" s="175">
        <f>EIA_RE_aeo2014!AG74*1000</f>
        <v>1.0000000000000001E-5</v>
      </c>
      <c r="AF11" s="175">
        <f>EIA_RE_aeo2014!AH74*1000</f>
        <v>1.0000000000000001E-5</v>
      </c>
      <c r="AG11" s="175">
        <f>EIA_RE_aeo2014!AI74*1000</f>
        <v>1.0000000000000001E-5</v>
      </c>
      <c r="AH11" s="175">
        <f>EIA_RE_aeo2014!AJ74*1000</f>
        <v>1.0000000000000001E-5</v>
      </c>
    </row>
    <row r="12" spans="1:34" s="20" customFormat="1">
      <c r="A12" s="9" t="s">
        <v>51</v>
      </c>
      <c r="B12" s="35">
        <v>1</v>
      </c>
      <c r="C12" s="331">
        <f>EIA_RE_aeo2014!E75*1000</f>
        <v>232</v>
      </c>
      <c r="D12" s="331">
        <f>EIA_RE_aeo2014!F75*1000</f>
        <v>237</v>
      </c>
      <c r="E12" s="331">
        <f>EIA_RE_aeo2014!G75*1000</f>
        <v>225.56338833267711</v>
      </c>
      <c r="F12" s="331">
        <f>EIA_RE_aeo2014!H75*1000</f>
        <v>234.37576901946912</v>
      </c>
      <c r="G12" s="331">
        <f>EIA_RE_aeo2014!I75*1000</f>
        <v>262.68635259952293</v>
      </c>
      <c r="H12" s="83">
        <f>EIA_RE_aeo2014!J75*1000</f>
        <v>262.50939566077619</v>
      </c>
      <c r="I12" s="175">
        <f>EIA_RE_aeo2014!K75*1000</f>
        <v>262.48347441697246</v>
      </c>
      <c r="J12" s="175">
        <f>EIA_RE_aeo2014!L75*1000</f>
        <v>262.48749829236436</v>
      </c>
      <c r="K12" s="175">
        <f>EIA_RE_aeo2014!M75*1000</f>
        <v>262.48824692034424</v>
      </c>
      <c r="L12" s="175">
        <f>EIA_RE_aeo2014!N75*1000</f>
        <v>262.4927386882236</v>
      </c>
      <c r="M12" s="175">
        <f>EIA_RE_aeo2014!O75*1000</f>
        <v>262.49320658071099</v>
      </c>
      <c r="N12" s="185">
        <f>EIA_RE_aeo2014!P75*1000</f>
        <v>262.49077353977634</v>
      </c>
      <c r="O12" s="175">
        <f>EIA_RE_aeo2014!Q75*1000</f>
        <v>262.48899554832411</v>
      </c>
      <c r="P12" s="175">
        <f>EIA_RE_aeo2014!R75*1000</f>
        <v>262.48777902785679</v>
      </c>
      <c r="Q12" s="175">
        <f>EIA_RE_aeo2014!S75*1000</f>
        <v>262.48618819339953</v>
      </c>
      <c r="R12" s="175">
        <f>EIA_RE_aeo2014!T75*1000</f>
        <v>262.48450378044475</v>
      </c>
      <c r="S12" s="83">
        <f>EIA_RE_aeo2014!U75*1000</f>
        <v>263.22152802664766</v>
      </c>
      <c r="T12" s="83">
        <f>EIA_RE_aeo2014!V75*1000</f>
        <v>263.21890782871805</v>
      </c>
      <c r="U12" s="83">
        <f>EIA_RE_aeo2014!W75*1000</f>
        <v>262.47720465764087</v>
      </c>
      <c r="V12" s="83">
        <f>EIA_RE_aeo2014!X75*1000</f>
        <v>263.21404174684881</v>
      </c>
      <c r="W12" s="83">
        <f>EIA_RE_aeo2014!Y75*1000</f>
        <v>262.47102847680674</v>
      </c>
      <c r="X12" s="185">
        <f>EIA_RE_aeo2014!Z75*1000</f>
        <v>262.46859543587209</v>
      </c>
      <c r="Y12" s="175">
        <f>EIA_RE_aeo2014!AA75*1000</f>
        <v>263.20533894658257</v>
      </c>
      <c r="Z12" s="175">
        <f>EIA_RE_aeo2014!AB75*1000</f>
        <v>263.20234443466302</v>
      </c>
      <c r="AA12" s="175">
        <f>EIA_RE_aeo2014!AC75*1000</f>
        <v>263.19934992274341</v>
      </c>
      <c r="AB12" s="175">
        <f>EIA_RE_aeo2014!AD75*1000</f>
        <v>262.45109625684216</v>
      </c>
      <c r="AC12" s="175">
        <f>EIA_RE_aeo2014!AE75*1000</f>
        <v>262.44679164595772</v>
      </c>
      <c r="AD12" s="175">
        <f>EIA_RE_aeo2014!AF75*1000</f>
        <v>262.43911820916389</v>
      </c>
      <c r="AE12" s="175">
        <f>EIA_RE_aeo2014!AG75*1000</f>
        <v>262.43556222625944</v>
      </c>
      <c r="AF12" s="175">
        <f>EIA_RE_aeo2014!AH75*1000</f>
        <v>263.18503241262795</v>
      </c>
      <c r="AG12" s="175">
        <f>EIA_RE_aeo2014!AI75*1000</f>
        <v>262.42854383894792</v>
      </c>
      <c r="AH12" s="175">
        <f>EIA_RE_aeo2014!AJ75*1000</f>
        <v>262.42611079801327</v>
      </c>
    </row>
    <row r="13" spans="1:34">
      <c r="A13" s="9" t="s">
        <v>347</v>
      </c>
      <c r="B13" s="34">
        <v>1</v>
      </c>
      <c r="C13" s="331">
        <f>(EIA_RE_aeo2014!E34+EIA_RE_aeo2014!E54)*1000</f>
        <v>490.46999999999997</v>
      </c>
      <c r="D13" s="331">
        <f>(EIA_RE_aeo2014!F34+EIA_RE_aeo2014!F54)*1000</f>
        <v>510.57000000000011</v>
      </c>
      <c r="E13" s="331">
        <f>(EIA_RE_aeo2014!G34+EIA_RE_aeo2014!G54)*1000</f>
        <v>519.71472006201304</v>
      </c>
      <c r="F13" s="331">
        <f>(EIA_RE_aeo2014!H34+EIA_RE_aeo2014!H54)*1000</f>
        <v>504.91889932446179</v>
      </c>
      <c r="G13" s="331">
        <f>(EIA_RE_aeo2014!I34+EIA_RE_aeo2014!I54)*1000</f>
        <v>502.70028338052919</v>
      </c>
      <c r="H13" s="83">
        <f>(EIA_RE_aeo2014!J34+EIA_RE_aeo2014!J54)*1000</f>
        <v>518.67457290862615</v>
      </c>
      <c r="I13" s="83">
        <f>(EIA_RE_aeo2014!K34+EIA_RE_aeo2014!K54)*1000</f>
        <v>581.19058850832835</v>
      </c>
      <c r="J13" s="83">
        <f>(EIA_RE_aeo2014!L34+EIA_RE_aeo2014!L54)*1000</f>
        <v>642.4899550082622</v>
      </c>
      <c r="K13" s="83">
        <f>(EIA_RE_aeo2014!M34+EIA_RE_aeo2014!M54)*1000</f>
        <v>652.31973855701949</v>
      </c>
      <c r="L13" s="83">
        <f>(EIA_RE_aeo2014!N34+EIA_RE_aeo2014!N54)*1000</f>
        <v>656.01516992815289</v>
      </c>
      <c r="M13" s="83">
        <f>(EIA_RE_aeo2014!O34+EIA_RE_aeo2014!O54)*1000</f>
        <v>657.66114100319407</v>
      </c>
      <c r="N13" s="389">
        <f>(EIA_RE_aeo2014!P34+EIA_RE_aeo2014!P54)*1000</f>
        <v>654.69582801308866</v>
      </c>
      <c r="O13" s="83">
        <f>(EIA_RE_aeo2014!Q34+EIA_RE_aeo2014!Q54)*1000</f>
        <v>658.89719659201</v>
      </c>
      <c r="P13" s="83">
        <f>(EIA_RE_aeo2014!R34+EIA_RE_aeo2014!R54)*1000</f>
        <v>652.01127722858712</v>
      </c>
      <c r="Q13" s="83">
        <f>(EIA_RE_aeo2014!S34+EIA_RE_aeo2014!S54)*1000</f>
        <v>652.67911599879938</v>
      </c>
      <c r="R13" s="83">
        <f>(EIA_RE_aeo2014!T34+EIA_RE_aeo2014!T54)*1000</f>
        <v>652.1430191908571</v>
      </c>
      <c r="S13" s="83">
        <f>(EIA_RE_aeo2014!U34+EIA_RE_aeo2014!U54)*1000</f>
        <v>652.4662488062537</v>
      </c>
      <c r="T13" s="83">
        <f>(EIA_RE_aeo2014!V34+EIA_RE_aeo2014!V54)*1000</f>
        <v>647.30620060987712</v>
      </c>
      <c r="U13" s="83">
        <f>(EIA_RE_aeo2014!W34+EIA_RE_aeo2014!W54)*1000</f>
        <v>643.35945818578614</v>
      </c>
      <c r="V13" s="83">
        <f>(EIA_RE_aeo2014!X34+EIA_RE_aeo2014!X54)*1000</f>
        <v>653.62215722678263</v>
      </c>
      <c r="W13" s="83">
        <f>(EIA_RE_aeo2014!Y34+EIA_RE_aeo2014!Y54)*1000</f>
        <v>647.38306254906024</v>
      </c>
      <c r="X13" s="185">
        <f>(EIA_RE_aeo2014!Z34+EIA_RE_aeo2014!Z54)*1000</f>
        <v>652.71250626504934</v>
      </c>
      <c r="Y13" s="175">
        <f>(EIA_RE_aeo2014!AA34+EIA_RE_aeo2014!AA54)*1000</f>
        <v>658.64365290361809</v>
      </c>
      <c r="Z13" s="175">
        <f>(EIA_RE_aeo2014!AB34+EIA_RE_aeo2014!AB54)*1000</f>
        <v>666.37617984493193</v>
      </c>
      <c r="AA13" s="175">
        <f>(EIA_RE_aeo2014!AC34+EIA_RE_aeo2014!AC54)*1000</f>
        <v>677.02455053302185</v>
      </c>
      <c r="AB13" s="175">
        <f>(EIA_RE_aeo2014!AD34+EIA_RE_aeo2014!AD54)*1000</f>
        <v>685.10205247072031</v>
      </c>
      <c r="AC13" s="175">
        <f>(EIA_RE_aeo2014!AE34+EIA_RE_aeo2014!AE54)*1000</f>
        <v>684.86835993102636</v>
      </c>
      <c r="AD13" s="175">
        <f>(EIA_RE_aeo2014!AF34+EIA_RE_aeo2014!AF54)*1000</f>
        <v>692.97118092042081</v>
      </c>
      <c r="AE13" s="175">
        <f>(EIA_RE_aeo2014!AG34+EIA_RE_aeo2014!AG54)*1000</f>
        <v>700.60236648795581</v>
      </c>
      <c r="AF13" s="175">
        <f>(EIA_RE_aeo2014!AH34+EIA_RE_aeo2014!AH54)*1000</f>
        <v>698.90606154127363</v>
      </c>
      <c r="AG13" s="175">
        <f>(EIA_RE_aeo2014!AI34+EIA_RE_aeo2014!AI54)*1000</f>
        <v>699.22650671458302</v>
      </c>
      <c r="AH13" s="175">
        <f>(EIA_RE_aeo2014!AJ34+EIA_RE_aeo2014!AJ54)*1000</f>
        <v>695.84782655382844</v>
      </c>
    </row>
    <row r="14" spans="1:34">
      <c r="A14" s="9" t="s">
        <v>348</v>
      </c>
      <c r="B14" s="34">
        <v>1</v>
      </c>
      <c r="C14" s="331">
        <f>EIA_RE_aeo2014!E33*1000</f>
        <v>0</v>
      </c>
      <c r="D14" s="331">
        <f>EIA_RE_aeo2014!F33*1000</f>
        <v>0</v>
      </c>
      <c r="E14" s="331">
        <f>EIA_RE_aeo2014!G33*1000</f>
        <v>0.1</v>
      </c>
      <c r="F14" s="331">
        <f>EIA_RE_aeo2014!H33*1000</f>
        <v>0.1</v>
      </c>
      <c r="G14" s="331">
        <f>EIA_RE_aeo2014!I33*1000</f>
        <v>0.1</v>
      </c>
      <c r="H14" s="83">
        <f>EIA_RE_aeo2014!J33*1000</f>
        <v>0.1</v>
      </c>
      <c r="I14" s="83">
        <f>EIA_RE_aeo2014!K33*1000</f>
        <v>0.1</v>
      </c>
      <c r="J14" s="83">
        <f>EIA_RE_aeo2014!L33*1000</f>
        <v>0.1</v>
      </c>
      <c r="K14" s="83">
        <f>EIA_RE_aeo2014!M33*1000</f>
        <v>0.1</v>
      </c>
      <c r="L14" s="83">
        <f>EIA_RE_aeo2014!N33*1000</f>
        <v>0.1</v>
      </c>
      <c r="M14" s="83">
        <f>EIA_RE_aeo2014!O33*1000</f>
        <v>0.1</v>
      </c>
      <c r="N14" s="389">
        <f>EIA_RE_aeo2014!P33*1000</f>
        <v>0.1</v>
      </c>
      <c r="O14" s="83">
        <f>EIA_RE_aeo2014!Q33*1000</f>
        <v>0.1</v>
      </c>
      <c r="P14" s="83">
        <f>EIA_RE_aeo2014!R33*1000</f>
        <v>0.1</v>
      </c>
      <c r="Q14" s="83">
        <f>EIA_RE_aeo2014!S33*1000</f>
        <v>0.1</v>
      </c>
      <c r="R14" s="83">
        <f>EIA_RE_aeo2014!T33*1000</f>
        <v>0.1</v>
      </c>
      <c r="S14" s="83">
        <f>EIA_RE_aeo2014!U33*1000</f>
        <v>0.1</v>
      </c>
      <c r="T14" s="83">
        <f>EIA_RE_aeo2014!V33*1000</f>
        <v>0.1</v>
      </c>
      <c r="U14" s="83">
        <f>EIA_RE_aeo2014!W33*1000</f>
        <v>0.1</v>
      </c>
      <c r="V14" s="83">
        <f>EIA_RE_aeo2014!X33*1000</f>
        <v>0.1</v>
      </c>
      <c r="W14" s="83">
        <f>EIA_RE_aeo2014!Y33*1000</f>
        <v>0.1</v>
      </c>
      <c r="X14" s="185">
        <f>EIA_RE_aeo2014!Z33*1000</f>
        <v>0.1</v>
      </c>
      <c r="Y14" s="175">
        <f>EIA_RE_aeo2014!AA33*1000</f>
        <v>0.1</v>
      </c>
      <c r="Z14" s="175">
        <f>EIA_RE_aeo2014!AB33*1000</f>
        <v>0.1</v>
      </c>
      <c r="AA14" s="175">
        <f>EIA_RE_aeo2014!AC33*1000</f>
        <v>0.1</v>
      </c>
      <c r="AB14" s="175">
        <f>EIA_RE_aeo2014!AD33*1000</f>
        <v>0.1</v>
      </c>
      <c r="AC14" s="175">
        <f>EIA_RE_aeo2014!AE33*1000</f>
        <v>0.1</v>
      </c>
      <c r="AD14" s="175">
        <f>EIA_RE_aeo2014!AF33*1000</f>
        <v>0.1</v>
      </c>
      <c r="AE14" s="175">
        <f>EIA_RE_aeo2014!AG33*1000</f>
        <v>0.1</v>
      </c>
      <c r="AF14" s="175">
        <f>EIA_RE_aeo2014!AH33*1000</f>
        <v>0.1</v>
      </c>
      <c r="AG14" s="175">
        <f>EIA_RE_aeo2014!AI33*1000</f>
        <v>0.1</v>
      </c>
      <c r="AH14" s="175">
        <f>EIA_RE_aeo2014!AJ33*1000</f>
        <v>0.1</v>
      </c>
    </row>
    <row r="15" spans="1:34" s="514" customFormat="1">
      <c r="A15" s="511" t="s">
        <v>715</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1">
        <f>EIA_RE_aeo2014!E78*1000</f>
        <v>299</v>
      </c>
      <c r="D16" s="331">
        <f>EIA_RE_aeo2014!F78*1000</f>
        <v>499</v>
      </c>
      <c r="E16" s="331">
        <f>EIA_RE_aeo2014!G78*1000</f>
        <v>583.91233070900296</v>
      </c>
      <c r="F16" s="331">
        <f>EIA_RE_aeo2014!H78*1000</f>
        <v>870.53749814229786</v>
      </c>
      <c r="G16" s="331">
        <f>EIA_RE_aeo2014!I78*1000</f>
        <v>1445.8319848116309</v>
      </c>
      <c r="H16" s="3">
        <f>EIA_RE_aeo2014!J78*1000</f>
        <v>1467.2631053167781</v>
      </c>
      <c r="I16" s="3">
        <f>EIA_RE_aeo2014!K78*1000</f>
        <v>3627.041722052878</v>
      </c>
      <c r="J16" s="3">
        <f>EIA_RE_aeo2014!L78*1000</f>
        <v>5085.4727256893457</v>
      </c>
      <c r="K16" s="3">
        <f>EIA_RE_aeo2014!M78*1000</f>
        <v>5085.3582317626269</v>
      </c>
      <c r="L16" s="3">
        <f>EIA_RE_aeo2014!N78*1000</f>
        <v>5083.7881249898028</v>
      </c>
      <c r="M16" s="3">
        <f>EIA_RE_aeo2014!O78*1000</f>
        <v>5084.0325126111593</v>
      </c>
      <c r="N16" s="389">
        <f>EIA_RE_aeo2014!P78*1000</f>
        <v>5085.0957661528428</v>
      </c>
      <c r="O16" s="3">
        <f>EIA_RE_aeo2014!Q78*1000</f>
        <v>5084.5661480473818</v>
      </c>
      <c r="P16" s="3">
        <f>EIA_RE_aeo2014!R78*1000</f>
        <v>5084.2387355902765</v>
      </c>
      <c r="Q16" s="3">
        <f>EIA_RE_aeo2014!S78*1000</f>
        <v>5085.8972236398658</v>
      </c>
      <c r="R16" s="3">
        <f>EIA_RE_aeo2014!T78*1000</f>
        <v>5090.8090800515683</v>
      </c>
      <c r="S16" s="3">
        <f>EIA_RE_aeo2014!U78*1000</f>
        <v>5087.6548058482522</v>
      </c>
      <c r="T16" s="3">
        <f>EIA_RE_aeo2014!V78*1000</f>
        <v>5111.833780594623</v>
      </c>
      <c r="U16" s="3">
        <f>EIA_RE_aeo2014!W78*1000</f>
        <v>5129.9131081339883</v>
      </c>
      <c r="V16" s="3">
        <f>EIA_RE_aeo2014!X78*1000</f>
        <v>5220.6552362763459</v>
      </c>
      <c r="W16" s="3">
        <f>EIA_RE_aeo2014!Y78*1000</f>
        <v>5320.6820853648687</v>
      </c>
      <c r="X16" s="185">
        <f>EIA_RE_aeo2014!Z78*1000</f>
        <v>5345.8687405773817</v>
      </c>
      <c r="Y16" s="175">
        <f>EIA_RE_aeo2014!AA78*1000</f>
        <v>5349.2305768700699</v>
      </c>
      <c r="Z16" s="175">
        <f>EIA_RE_aeo2014!AB78*1000</f>
        <v>5352.2536182684926</v>
      </c>
      <c r="AA16" s="175">
        <f>EIA_RE_aeo2014!AC78*1000</f>
        <v>5430.9069285927908</v>
      </c>
      <c r="AB16" s="175">
        <f>EIA_RE_aeo2014!AD78*1000</f>
        <v>5535.2611124671412</v>
      </c>
      <c r="AC16" s="175">
        <f>EIA_RE_aeo2014!AE78*1000</f>
        <v>5572.9651007789962</v>
      </c>
      <c r="AD16" s="175">
        <f>EIA_RE_aeo2014!AF78*1000</f>
        <v>5893.8835427071863</v>
      </c>
      <c r="AE16" s="175">
        <f>EIA_RE_aeo2014!AG78*1000</f>
        <v>6134.5477680024123</v>
      </c>
      <c r="AF16" s="175">
        <f>EIA_RE_aeo2014!AH78*1000</f>
        <v>6163.6948417911553</v>
      </c>
      <c r="AG16" s="175">
        <f>EIA_RE_aeo2014!AI78*1000</f>
        <v>6227.0052963801536</v>
      </c>
      <c r="AH16" s="175">
        <f>EIA_RE_aeo2014!AJ78*1000</f>
        <v>6318.9332066524348</v>
      </c>
    </row>
    <row r="17" spans="1:34">
      <c r="A17" s="11" t="s">
        <v>327</v>
      </c>
      <c r="B17" s="36"/>
      <c r="C17" s="331">
        <f t="shared" ref="C17:AH17" si="0">SUM(C7:C16)</f>
        <v>8600.4699999999993</v>
      </c>
      <c r="D17" s="331">
        <f t="shared" si="0"/>
        <v>8446.57</v>
      </c>
      <c r="E17" s="331">
        <f t="shared" si="0"/>
        <v>9042.7708523281162</v>
      </c>
      <c r="F17" s="331">
        <f t="shared" si="0"/>
        <v>8704.6471384806591</v>
      </c>
      <c r="G17" s="331">
        <f t="shared" si="0"/>
        <v>8600.7241490149718</v>
      </c>
      <c r="H17" s="3">
        <f t="shared" si="0"/>
        <v>8799.6249486039469</v>
      </c>
      <c r="I17" s="3">
        <f t="shared" si="0"/>
        <v>11283.959671145783</v>
      </c>
      <c r="J17" s="3">
        <f t="shared" si="0"/>
        <v>13775.691965544635</v>
      </c>
      <c r="K17" s="3">
        <f t="shared" si="0"/>
        <v>13917.427174963974</v>
      </c>
      <c r="L17" s="3">
        <f t="shared" si="0"/>
        <v>14000.030048124398</v>
      </c>
      <c r="M17" s="3">
        <f t="shared" si="0"/>
        <v>14119.49908497915</v>
      </c>
      <c r="N17" s="389">
        <f t="shared" si="0"/>
        <v>14231.53813544372</v>
      </c>
      <c r="O17" s="3">
        <f t="shared" si="0"/>
        <v>14585.718780127147</v>
      </c>
      <c r="P17" s="3">
        <f t="shared" si="0"/>
        <v>14594.68314014822</v>
      </c>
      <c r="Q17" s="3">
        <f t="shared" si="0"/>
        <v>14785.958434573835</v>
      </c>
      <c r="R17" s="3">
        <f t="shared" si="0"/>
        <v>14834.642303148656</v>
      </c>
      <c r="S17" s="3">
        <f t="shared" si="0"/>
        <v>14850.212014953217</v>
      </c>
      <c r="T17" s="3">
        <f t="shared" si="0"/>
        <v>14911.530888830574</v>
      </c>
      <c r="U17" s="3">
        <f t="shared" si="0"/>
        <v>15133.134560754424</v>
      </c>
      <c r="V17" s="3">
        <f t="shared" si="0"/>
        <v>15542.718563883082</v>
      </c>
      <c r="W17" s="3">
        <f t="shared" si="0"/>
        <v>15571.338420015698</v>
      </c>
      <c r="X17" s="185">
        <f t="shared" si="0"/>
        <v>15602.315836319118</v>
      </c>
      <c r="Y17" s="175">
        <f t="shared" si="0"/>
        <v>15675.853919460089</v>
      </c>
      <c r="Z17" s="175">
        <f t="shared" si="0"/>
        <v>15679.325933728283</v>
      </c>
      <c r="AA17" s="175">
        <f t="shared" si="0"/>
        <v>15819.566790832494</v>
      </c>
      <c r="AB17" s="175">
        <f t="shared" si="0"/>
        <v>15965.355145843649</v>
      </c>
      <c r="AC17" s="175">
        <f t="shared" si="0"/>
        <v>16024.630229335287</v>
      </c>
      <c r="AD17" s="175">
        <f t="shared" si="0"/>
        <v>16420.100038393502</v>
      </c>
      <c r="AE17" s="175">
        <f t="shared" si="0"/>
        <v>16795.216691456815</v>
      </c>
      <c r="AF17" s="175">
        <f t="shared" si="0"/>
        <v>16747.029030050828</v>
      </c>
      <c r="AG17" s="175">
        <f t="shared" si="0"/>
        <v>16846.404070608012</v>
      </c>
      <c r="AH17" s="175">
        <f t="shared" si="0"/>
        <v>16973.624187909409</v>
      </c>
    </row>
    <row r="18" spans="1:34">
      <c r="A18" s="10" t="s">
        <v>126</v>
      </c>
      <c r="B18" s="37"/>
      <c r="C18" s="332">
        <f t="shared" ref="C18:AH18" si="1">SUMPRODUCT($B7:$B16,C7:C16)</f>
        <v>4388.4799999999996</v>
      </c>
      <c r="D18" s="332">
        <f t="shared" si="1"/>
        <v>4636.58</v>
      </c>
      <c r="E18" s="332">
        <f t="shared" si="1"/>
        <v>4809.3874771532774</v>
      </c>
      <c r="F18" s="332">
        <f t="shared" si="1"/>
        <v>5136.6102570323274</v>
      </c>
      <c r="G18" s="332">
        <f t="shared" si="1"/>
        <v>5141.3678341776367</v>
      </c>
      <c r="H18" s="14">
        <f t="shared" si="1"/>
        <v>5282.0297620744432</v>
      </c>
      <c r="I18" s="14">
        <f t="shared" si="1"/>
        <v>7696.8877218488851</v>
      </c>
      <c r="J18" s="14">
        <f t="shared" si="1"/>
        <v>10118.813952181921</v>
      </c>
      <c r="K18" s="14">
        <f t="shared" si="1"/>
        <v>10223.010266381141</v>
      </c>
      <c r="L18" s="14">
        <f t="shared" si="1"/>
        <v>10305.611686741722</v>
      </c>
      <c r="M18" s="14">
        <f t="shared" si="1"/>
        <v>10425.080239329855</v>
      </c>
      <c r="N18" s="191">
        <f t="shared" si="1"/>
        <v>10537.121226860887</v>
      </c>
      <c r="O18" s="14">
        <f t="shared" si="1"/>
        <v>10891.301871544314</v>
      </c>
      <c r="P18" s="14">
        <f t="shared" si="1"/>
        <v>10900.265263032157</v>
      </c>
      <c r="Q18" s="14">
        <f t="shared" si="1"/>
        <v>10908.624340050585</v>
      </c>
      <c r="R18" s="14">
        <f t="shared" si="1"/>
        <v>10957.308692892024</v>
      </c>
      <c r="S18" s="14">
        <f t="shared" si="1"/>
        <v>10972.874046297042</v>
      </c>
      <c r="T18" s="14">
        <f t="shared" si="1"/>
        <v>11034.18468764194</v>
      </c>
      <c r="U18" s="14">
        <f t="shared" si="1"/>
        <v>11228.72221416868</v>
      </c>
      <c r="V18" s="14">
        <f t="shared" si="1"/>
        <v>11611.287530028532</v>
      </c>
      <c r="W18" s="14">
        <f t="shared" si="1"/>
        <v>11639.903027761611</v>
      </c>
      <c r="X18" s="188">
        <f t="shared" si="1"/>
        <v>11670.880928331644</v>
      </c>
      <c r="Y18" s="14">
        <f t="shared" si="1"/>
        <v>11744.418527206002</v>
      </c>
      <c r="Z18" s="14">
        <f t="shared" si="1"/>
        <v>11747.889572940963</v>
      </c>
      <c r="AA18" s="14">
        <f t="shared" si="1"/>
        <v>11888.13624124456</v>
      </c>
      <c r="AB18" s="14">
        <f t="shared" si="1"/>
        <v>12033.924596255714</v>
      </c>
      <c r="AC18" s="14">
        <f t="shared" si="1"/>
        <v>12093.199679747351</v>
      </c>
      <c r="AD18" s="14">
        <f t="shared" si="1"/>
        <v>12469.078967149228</v>
      </c>
      <c r="AE18" s="14">
        <f t="shared" si="1"/>
        <v>12844.195620212538</v>
      </c>
      <c r="AF18" s="14">
        <f t="shared" si="1"/>
        <v>12796.007958806551</v>
      </c>
      <c r="AG18" s="14">
        <f t="shared" si="1"/>
        <v>12895.382999363732</v>
      </c>
      <c r="AH18" s="14">
        <f t="shared" si="1"/>
        <v>13022.598273998978</v>
      </c>
    </row>
    <row r="19" spans="1:34" s="529" customFormat="1">
      <c r="A19" s="524" t="s">
        <v>112</v>
      </c>
      <c r="B19" s="525"/>
      <c r="C19" s="526">
        <f t="shared" ref="C19:AH19" si="2">C18/C4</f>
        <v>0.26842498012110833</v>
      </c>
      <c r="D19" s="526">
        <f t="shared" si="2"/>
        <v>0.27243551324989712</v>
      </c>
      <c r="E19" s="526">
        <f t="shared" si="2"/>
        <v>0.2776703945134178</v>
      </c>
      <c r="F19" s="526">
        <f t="shared" si="2"/>
        <v>0.30525463273498871</v>
      </c>
      <c r="G19" s="526">
        <f t="shared" si="2"/>
        <v>0.30688608845958409</v>
      </c>
      <c r="H19" s="526">
        <f t="shared" si="2"/>
        <v>0.30557011689455593</v>
      </c>
      <c r="I19" s="526">
        <f t="shared" si="2"/>
        <v>0.39736770173512648</v>
      </c>
      <c r="J19" s="526">
        <f t="shared" si="2"/>
        <v>0.47255474061943142</v>
      </c>
      <c r="K19" s="526">
        <f t="shared" si="2"/>
        <v>0.47022543149331902</v>
      </c>
      <c r="L19" s="526">
        <f t="shared" si="2"/>
        <v>0.47135417013775899</v>
      </c>
      <c r="M19" s="526">
        <f t="shared" si="2"/>
        <v>0.47562483193996469</v>
      </c>
      <c r="N19" s="527">
        <f t="shared" si="2"/>
        <v>0.48291422474434997</v>
      </c>
      <c r="O19" s="526">
        <f t="shared" si="2"/>
        <v>0.49596303359602389</v>
      </c>
      <c r="P19" s="526">
        <f t="shared" si="2"/>
        <v>0.5016142062784138</v>
      </c>
      <c r="Q19" s="526">
        <f t="shared" si="2"/>
        <v>0.50148514130832167</v>
      </c>
      <c r="R19" s="526">
        <f t="shared" si="2"/>
        <v>0.5041373822154861</v>
      </c>
      <c r="S19" s="526">
        <f t="shared" si="2"/>
        <v>0.50460339110320263</v>
      </c>
      <c r="T19" s="526">
        <f t="shared" si="2"/>
        <v>0.51146843203499182</v>
      </c>
      <c r="U19" s="526">
        <f t="shared" si="2"/>
        <v>0.52367930566481935</v>
      </c>
      <c r="V19" s="526">
        <f t="shared" si="2"/>
        <v>0.53301731555518916</v>
      </c>
      <c r="W19" s="526">
        <f t="shared" si="2"/>
        <v>0.53948127339788265</v>
      </c>
      <c r="X19" s="528">
        <f t="shared" si="2"/>
        <v>0.53649972148671998</v>
      </c>
      <c r="Y19" s="526">
        <f t="shared" si="2"/>
        <v>0.53501776877309926</v>
      </c>
      <c r="Z19" s="526">
        <f t="shared" si="2"/>
        <v>0.52896486149370436</v>
      </c>
      <c r="AA19" s="526">
        <f t="shared" si="2"/>
        <v>0.52685943648595568</v>
      </c>
      <c r="AB19" s="526">
        <f t="shared" si="2"/>
        <v>0.52703161484775662</v>
      </c>
      <c r="AC19" s="526">
        <f t="shared" si="2"/>
        <v>0.52980834340675931</v>
      </c>
      <c r="AD19" s="526">
        <f t="shared" si="2"/>
        <v>0.53988732583386323</v>
      </c>
      <c r="AE19" s="526">
        <f t="shared" si="2"/>
        <v>0.55007075927273297</v>
      </c>
      <c r="AF19" s="526">
        <f t="shared" si="2"/>
        <v>0.54933730528541402</v>
      </c>
      <c r="AG19" s="526">
        <f t="shared" si="2"/>
        <v>0.55334976755336696</v>
      </c>
      <c r="AH19" s="526">
        <f t="shared" si="2"/>
        <v>0.56152234086748309</v>
      </c>
    </row>
    <row r="20" spans="1:34">
      <c r="A20" s="10" t="s">
        <v>142</v>
      </c>
      <c r="B20" s="37"/>
      <c r="C20" s="332">
        <f>EIA_electricity_aeo2014!E49*1000</f>
        <v>72</v>
      </c>
      <c r="D20" s="332">
        <f>EIA_electricity_aeo2014!F49*1000</f>
        <v>87</v>
      </c>
      <c r="E20" s="332">
        <f>EIA_electricity_aeo2014!G49*1000</f>
        <v>87.734611097023802</v>
      </c>
      <c r="F20" s="332">
        <f>EIA_electricity_aeo2014!H49*1000</f>
        <v>45.531858413267955</v>
      </c>
      <c r="G20" s="332">
        <f>EIA_electricity_aeo2014!I49*1000</f>
        <v>49.489386818061405</v>
      </c>
      <c r="H20" s="14">
        <f>EIA_electricity_aeo2014!J49*1000</f>
        <v>49.233298763607024</v>
      </c>
      <c r="I20" s="14">
        <f>EIA_electricity_aeo2014!K49*1000</f>
        <v>49.715981220379241</v>
      </c>
      <c r="J20" s="14">
        <f>EIA_electricity_aeo2014!L49*1000</f>
        <v>6.7424177847938269</v>
      </c>
      <c r="K20" s="14">
        <f>EIA_electricity_aeo2014!M49*1000</f>
        <v>25.688698162173161</v>
      </c>
      <c r="L20" s="14">
        <f>EIA_electricity_aeo2014!N49*1000</f>
        <v>48.826585198483443</v>
      </c>
      <c r="M20" s="14">
        <f>EIA_electricity_aeo2014!O49*1000</f>
        <v>58.418960297154236</v>
      </c>
      <c r="N20" s="191">
        <f>EIA_electricity_aeo2014!P49*1000</f>
        <v>60.394632213556037</v>
      </c>
      <c r="O20" s="14">
        <f>EIA_electricity_aeo2014!Q49*1000</f>
        <v>61.828582397719309</v>
      </c>
      <c r="P20" s="14">
        <f>EIA_electricity_aeo2014!R49*1000</f>
        <v>62.805822728908154</v>
      </c>
      <c r="Q20" s="14">
        <f>EIA_electricity_aeo2014!S49*1000</f>
        <v>63.538876408883617</v>
      </c>
      <c r="R20" s="14">
        <f>EIA_electricity_aeo2014!T49*1000</f>
        <v>63.884809663568966</v>
      </c>
      <c r="S20" s="14">
        <f>EIA_electricity_aeo2014!U49*1000</f>
        <v>64.227169898722337</v>
      </c>
      <c r="T20" s="14">
        <f>EIA_electricity_aeo2014!V49*1000</f>
        <v>64.253506300872473</v>
      </c>
      <c r="U20" s="14">
        <f>EIA_electricity_aeo2014!W49*1000</f>
        <v>99.467445772910438</v>
      </c>
      <c r="V20" s="14">
        <f>EIA_electricity_aeo2014!X49*1000</f>
        <v>108.79835379863144</v>
      </c>
      <c r="W20" s="14">
        <f>EIA_electricity_aeo2014!Y49*1000</f>
        <v>110.42948268976578</v>
      </c>
      <c r="X20" s="188">
        <f>EIA_electricity_aeo2014!Z49*1000</f>
        <v>111.06606484237831</v>
      </c>
      <c r="Y20" s="14">
        <f>EIA_electricity_aeo2014!AA49*1000</f>
        <v>110.47168329863783</v>
      </c>
      <c r="Z20" s="14">
        <f>EIA_electricity_aeo2014!AB49*1000</f>
        <v>98.018216057948649</v>
      </c>
      <c r="AA20" s="14">
        <f>EIA_electricity_aeo2014!AC49*1000</f>
        <v>96.322798800835614</v>
      </c>
      <c r="AB20" s="14">
        <f>EIA_electricity_aeo2014!AD49*1000</f>
        <v>92.654321179778663</v>
      </c>
      <c r="AC20" s="14">
        <f>EIA_electricity_aeo2014!AE49*1000</f>
        <v>90.440179443414635</v>
      </c>
      <c r="AD20" s="14">
        <f>EIA_electricity_aeo2014!AF49*1000</f>
        <v>102.91508480129556</v>
      </c>
      <c r="AE20" s="14">
        <f>EIA_electricity_aeo2014!AG49*1000</f>
        <v>101.27669293591261</v>
      </c>
      <c r="AF20" s="14">
        <f>EIA_electricity_aeo2014!AH49*1000</f>
        <v>103.4188415769072</v>
      </c>
      <c r="AG20" s="14">
        <f>EIA_electricity_aeo2014!AI49*1000</f>
        <v>103.45974290594944</v>
      </c>
      <c r="AH20" s="14">
        <f>EIA_electricity_aeo2014!AJ49*1000</f>
        <v>103.42511709848516</v>
      </c>
    </row>
    <row r="21" spans="1:34">
      <c r="A21" s="10" t="s">
        <v>222</v>
      </c>
      <c r="B21" s="37"/>
      <c r="C21" s="332">
        <f>EIA_electricity_aeo2014!E51*1000</f>
        <v>7355</v>
      </c>
      <c r="D21" s="332">
        <f>EIA_electricity_aeo2014!F51*1000</f>
        <v>8374</v>
      </c>
      <c r="E21" s="332">
        <f>EIA_electricity_aeo2014!G51*1000</f>
        <v>8324.4392511296555</v>
      </c>
      <c r="F21" s="332">
        <f>EIA_electricity_aeo2014!H51*1000</f>
        <v>8188.2346511285004</v>
      </c>
      <c r="G21" s="332">
        <f>EIA_electricity_aeo2014!I51*1000</f>
        <v>7969.4723890464402</v>
      </c>
      <c r="H21" s="14">
        <f>EIA_electricity_aeo2014!J51*1000</f>
        <v>8280.7571931239327</v>
      </c>
      <c r="I21" s="14">
        <f>EIA_electricity_aeo2014!K51*1000</f>
        <v>8465.7362304312846</v>
      </c>
      <c r="J21" s="14">
        <f>EIA_electricity_aeo2014!L51*1000</f>
        <v>8687.0903748377114</v>
      </c>
      <c r="K21" s="14">
        <f>EIA_electricity_aeo2014!M51*1000</f>
        <v>8921.1252055537807</v>
      </c>
      <c r="L21" s="14">
        <f>EIA_electricity_aeo2014!N51*1000</f>
        <v>8960.8792166734511</v>
      </c>
      <c r="M21" s="14">
        <f>EIA_electricity_aeo2014!O51*1000</f>
        <v>8916.6948161775963</v>
      </c>
      <c r="N21" s="191">
        <f>EIA_electricity_aeo2014!P51*1000</f>
        <v>8728.9427874011435</v>
      </c>
      <c r="O21" s="14">
        <f>EIA_electricity_aeo2014!Q51*1000</f>
        <v>8615.363261152128</v>
      </c>
      <c r="P21" s="14">
        <f>EIA_electricity_aeo2014!R51*1000</f>
        <v>8366.987853891651</v>
      </c>
      <c r="Q21" s="14">
        <f>EIA_electricity_aeo2014!S51*1000</f>
        <v>8181.3617806260891</v>
      </c>
      <c r="R21" s="14">
        <f>EIA_electricity_aeo2014!T51*1000</f>
        <v>8108.5430274167438</v>
      </c>
      <c r="S21" s="14">
        <f>EIA_electricity_aeo2014!U51*1000</f>
        <v>8078.3911240715388</v>
      </c>
      <c r="T21" s="14">
        <f>EIA_electricity_aeo2014!V51*1000</f>
        <v>7830.8607543571716</v>
      </c>
      <c r="U21" s="14">
        <f>EIA_electricity_aeo2014!W51*1000</f>
        <v>7466.3880160404633</v>
      </c>
      <c r="V21" s="14">
        <f>EIA_electricity_aeo2014!X51*1000</f>
        <v>7468.4326939764605</v>
      </c>
      <c r="W21" s="14">
        <f>EIA_electricity_aeo2014!Y51*1000</f>
        <v>7200.3324516072671</v>
      </c>
      <c r="X21" s="188">
        <f>EIA_electricity_aeo2014!Z51*1000</f>
        <v>7319.3707293256921</v>
      </c>
      <c r="Y21" s="14">
        <f>EIA_electricity_aeo2014!AA51*1000</f>
        <v>7427.0704391900581</v>
      </c>
      <c r="Z21" s="14">
        <f>EIA_electricity_aeo2014!AB51*1000</f>
        <v>7662.2679407687656</v>
      </c>
      <c r="AA21" s="14">
        <f>EIA_electricity_aeo2014!AC51*1000</f>
        <v>7885.5889471025203</v>
      </c>
      <c r="AB21" s="14">
        <f>EIA_electricity_aeo2014!AD51*1000</f>
        <v>8021.2517427586117</v>
      </c>
      <c r="AC21" s="14">
        <f>EIA_electricity_aeo2014!AE51*1000</f>
        <v>7933.1210975229724</v>
      </c>
      <c r="AD21" s="14">
        <f>EIA_electricity_aeo2014!AF51*1000</f>
        <v>7855.7952466299648</v>
      </c>
      <c r="AE21" s="14">
        <f>EIA_electricity_aeo2014!AG51*1000</f>
        <v>7801.228085945263</v>
      </c>
      <c r="AF21" s="14">
        <f>EIA_electricity_aeo2014!AH51*1000</f>
        <v>7729.6294655978409</v>
      </c>
      <c r="AG21" s="14">
        <f>EIA_electricity_aeo2014!AI51*1000</f>
        <v>7627.1187819628667</v>
      </c>
      <c r="AH21" s="14">
        <f>EIA_electricity_aeo2014!AJ51*1000</f>
        <v>7373.0594829659049</v>
      </c>
    </row>
    <row r="22" spans="1:34">
      <c r="A22" s="10" t="s">
        <v>350</v>
      </c>
      <c r="B22" s="37"/>
      <c r="C22" s="331">
        <f>SUM(C17,C20:C21)</f>
        <v>16027.47</v>
      </c>
      <c r="D22" s="331">
        <f t="shared" ref="D22:AH22" si="3">SUM(D17,D20:D21)</f>
        <v>16907.57</v>
      </c>
      <c r="E22" s="331">
        <f t="shared" si="3"/>
        <v>17454.944714554797</v>
      </c>
      <c r="F22" s="331">
        <f t="shared" si="3"/>
        <v>16938.413648022426</v>
      </c>
      <c r="G22" s="331">
        <f t="shared" si="3"/>
        <v>16619.685924879472</v>
      </c>
      <c r="H22" s="79">
        <f t="shared" si="3"/>
        <v>17129.615440491485</v>
      </c>
      <c r="I22" s="79">
        <f t="shared" si="3"/>
        <v>19799.411882797445</v>
      </c>
      <c r="J22" s="79">
        <f t="shared" si="3"/>
        <v>22469.524758167139</v>
      </c>
      <c r="K22" s="79">
        <f t="shared" si="3"/>
        <v>22864.24107867993</v>
      </c>
      <c r="L22" s="79">
        <f t="shared" si="3"/>
        <v>23009.73584999633</v>
      </c>
      <c r="M22" s="79">
        <f t="shared" si="3"/>
        <v>23094.612861453901</v>
      </c>
      <c r="N22" s="389">
        <f t="shared" si="3"/>
        <v>23020.875555058417</v>
      </c>
      <c r="O22" s="79">
        <f t="shared" si="3"/>
        <v>23262.910623676995</v>
      </c>
      <c r="P22" s="79">
        <f t="shared" si="3"/>
        <v>23024.47681676878</v>
      </c>
      <c r="Q22" s="79">
        <f t="shared" si="3"/>
        <v>23030.859091608807</v>
      </c>
      <c r="R22" s="79">
        <f t="shared" si="3"/>
        <v>23007.070140228967</v>
      </c>
      <c r="S22" s="79">
        <f t="shared" si="3"/>
        <v>22992.830308923476</v>
      </c>
      <c r="T22" s="79">
        <f t="shared" si="3"/>
        <v>22806.645149488617</v>
      </c>
      <c r="U22" s="79">
        <f t="shared" si="3"/>
        <v>22698.990022567799</v>
      </c>
      <c r="V22" s="79">
        <f t="shared" si="3"/>
        <v>23119.949611658172</v>
      </c>
      <c r="W22" s="79">
        <f t="shared" si="3"/>
        <v>22882.10035431273</v>
      </c>
      <c r="X22" s="185">
        <f t="shared" si="3"/>
        <v>23032.752630487186</v>
      </c>
      <c r="Y22" s="175">
        <f t="shared" si="3"/>
        <v>23213.396041948785</v>
      </c>
      <c r="Z22" s="175">
        <f t="shared" si="3"/>
        <v>23439.612090554998</v>
      </c>
      <c r="AA22" s="175">
        <f t="shared" si="3"/>
        <v>23801.478536735849</v>
      </c>
      <c r="AB22" s="175">
        <f t="shared" si="3"/>
        <v>24079.261209782038</v>
      </c>
      <c r="AC22" s="175">
        <f t="shared" si="3"/>
        <v>24048.191506301675</v>
      </c>
      <c r="AD22" s="175">
        <f t="shared" si="3"/>
        <v>24378.810369824761</v>
      </c>
      <c r="AE22" s="175">
        <f t="shared" si="3"/>
        <v>24697.72147033799</v>
      </c>
      <c r="AF22" s="175">
        <f t="shared" si="3"/>
        <v>24580.077337225575</v>
      </c>
      <c r="AG22" s="175">
        <f t="shared" si="3"/>
        <v>24576.982595476831</v>
      </c>
      <c r="AH22" s="175">
        <f t="shared" si="3"/>
        <v>24450.108787973801</v>
      </c>
    </row>
    <row r="23" spans="1:34">
      <c r="A23" s="10" t="s">
        <v>328</v>
      </c>
      <c r="B23" s="37"/>
      <c r="C23" s="331">
        <f>EIA_electricity_aeo2014!E50*1000+EIA_electricity_aeo2014!E55*1000</f>
        <v>772</v>
      </c>
      <c r="D23" s="331">
        <f>EIA_electricity_aeo2014!F50*1000+EIA_electricity_aeo2014!F55*1000</f>
        <v>595</v>
      </c>
      <c r="E23" s="331">
        <f>EIA_electricity_aeo2014!G50*1000+EIA_electricity_aeo2014!G55*1000</f>
        <v>330.64519386120787</v>
      </c>
      <c r="F23" s="331">
        <f>EIA_electricity_aeo2014!H50*1000+EIA_electricity_aeo2014!H55*1000</f>
        <v>320.58930060105178</v>
      </c>
      <c r="G23" s="331">
        <f>EIA_electricity_aeo2014!I50*1000+EIA_electricity_aeo2014!I55*1000</f>
        <v>330.44643043322691</v>
      </c>
      <c r="H23" s="331">
        <f>EIA_electricity_aeo2014!J50*1000+EIA_electricity_aeo2014!J55*1000</f>
        <v>330.32949668812842</v>
      </c>
      <c r="I23" s="331">
        <f>EIA_electricity_aeo2014!K50*1000+EIA_electricity_aeo2014!K55*1000</f>
        <v>331.06199779073103</v>
      </c>
      <c r="J23" s="331">
        <f>EIA_electricity_aeo2014!L50*1000+EIA_electricity_aeo2014!L55*1000</f>
        <v>328.53403624970383</v>
      </c>
      <c r="K23" s="331">
        <f>EIA_electricity_aeo2014!M50*1000+EIA_electricity_aeo2014!M55*1000</f>
        <v>295.23437700668694</v>
      </c>
      <c r="L23" s="331">
        <f>EIA_electricity_aeo2014!N50*1000+EIA_electricity_aeo2014!N55*1000</f>
        <v>296.91289430974592</v>
      </c>
      <c r="M23" s="331">
        <f>EIA_electricity_aeo2014!O50*1000+EIA_electricity_aeo2014!O55*1000</f>
        <v>299.82680182803034</v>
      </c>
      <c r="N23" s="331">
        <f>EIA_electricity_aeo2014!P50*1000+EIA_electricity_aeo2014!P55*1000</f>
        <v>300.05234333954144</v>
      </c>
      <c r="O23" s="331">
        <f>EIA_electricity_aeo2014!Q50*1000+EIA_electricity_aeo2014!Q55*1000</f>
        <v>297.74197676510386</v>
      </c>
      <c r="P23" s="331">
        <f>EIA_electricity_aeo2014!R50*1000+EIA_electricity_aeo2014!R55*1000</f>
        <v>295.20792828690804</v>
      </c>
      <c r="Q23" s="331">
        <f>EIA_electricity_aeo2014!S50*1000+EIA_electricity_aeo2014!S55*1000</f>
        <v>295.13168993622861</v>
      </c>
      <c r="R23" s="331">
        <f>EIA_electricity_aeo2014!T50*1000+EIA_electricity_aeo2014!T55*1000</f>
        <v>292.45794064759264</v>
      </c>
      <c r="S23" s="331">
        <f>EIA_electricity_aeo2014!U50*1000+EIA_electricity_aeo2014!U55*1000</f>
        <v>292.56261040388046</v>
      </c>
      <c r="T23" s="331">
        <f>EIA_electricity_aeo2014!V50*1000+EIA_electricity_aeo2014!V55*1000</f>
        <v>291.85986718327172</v>
      </c>
      <c r="U23" s="331">
        <f>EIA_electricity_aeo2014!W50*1000+EIA_electricity_aeo2014!W55*1000</f>
        <v>293.55263116097092</v>
      </c>
      <c r="V23" s="331">
        <f>EIA_electricity_aeo2014!X50*1000+EIA_electricity_aeo2014!X55*1000</f>
        <v>293.60447859983753</v>
      </c>
      <c r="W23" s="331">
        <f>EIA_electricity_aeo2014!Y50*1000+EIA_electricity_aeo2014!Y55*1000</f>
        <v>293.68600014779605</v>
      </c>
      <c r="X23" s="331">
        <f>EIA_electricity_aeo2014!Z50*1000+EIA_electricity_aeo2014!Z55*1000</f>
        <v>293.62068747054963</v>
      </c>
      <c r="Y23" s="331">
        <f>EIA_electricity_aeo2014!AA50*1000+EIA_electricity_aeo2014!AA55*1000</f>
        <v>293.5781324683777</v>
      </c>
      <c r="Z23" s="331">
        <f>EIA_electricity_aeo2014!AB50*1000+EIA_electricity_aeo2014!AB55*1000</f>
        <v>292.6802219225504</v>
      </c>
      <c r="AA23" s="331">
        <f>EIA_electricity_aeo2014!AC50*1000+EIA_electricity_aeo2014!AC55*1000</f>
        <v>292.45619881583252</v>
      </c>
      <c r="AB23" s="331">
        <f>EIA_electricity_aeo2014!AD50*1000+EIA_electricity_aeo2014!AD55*1000</f>
        <v>292.30759016501491</v>
      </c>
      <c r="AC23" s="331">
        <f>EIA_electricity_aeo2014!AE50*1000+EIA_electricity_aeo2014!AE55*1000</f>
        <v>291.60196101394672</v>
      </c>
      <c r="AD23" s="331">
        <f>EIA_electricity_aeo2014!AF50*1000+EIA_electricity_aeo2014!AF55*1000</f>
        <v>292.32501624735409</v>
      </c>
      <c r="AE23" s="331">
        <f>EIA_electricity_aeo2014!AG50*1000+EIA_electricity_aeo2014!AG55*1000</f>
        <v>292.00310238280605</v>
      </c>
      <c r="AF23" s="331">
        <f>EIA_electricity_aeo2014!AH50*1000+EIA_electricity_aeo2014!AH55*1000</f>
        <v>292.16515742170378</v>
      </c>
      <c r="AG23" s="331">
        <f>EIA_electricity_aeo2014!AI50*1000+EIA_electricity_aeo2014!AI55*1000</f>
        <v>292.19398150930675</v>
      </c>
      <c r="AH23" s="331">
        <f>EIA_electricity_aeo2014!AJ50*1000+EIA_electricity_aeo2014!AJ55*1000</f>
        <v>292.22385834631137</v>
      </c>
    </row>
    <row r="24" spans="1:34">
      <c r="A24" s="10" t="s">
        <v>345</v>
      </c>
      <c r="B24" s="37"/>
      <c r="C24" s="331">
        <f>SUM(C22:C23)</f>
        <v>16799.47</v>
      </c>
      <c r="D24" s="331">
        <f t="shared" ref="D24:AH24" si="4">SUM(D22:D23)</f>
        <v>17502.57</v>
      </c>
      <c r="E24" s="331">
        <f t="shared" si="4"/>
        <v>17785.589908416005</v>
      </c>
      <c r="F24" s="331">
        <f t="shared" si="4"/>
        <v>17259.002948623478</v>
      </c>
      <c r="G24" s="331">
        <f t="shared" si="4"/>
        <v>16950.1323553127</v>
      </c>
      <c r="H24" s="83">
        <f t="shared" si="4"/>
        <v>17459.944937179614</v>
      </c>
      <c r="I24" s="83">
        <f t="shared" si="4"/>
        <v>20130.473880588175</v>
      </c>
      <c r="J24" s="83">
        <f t="shared" si="4"/>
        <v>22798.058794416844</v>
      </c>
      <c r="K24" s="83">
        <f t="shared" si="4"/>
        <v>23159.475455686617</v>
      </c>
      <c r="L24" s="83">
        <f t="shared" si="4"/>
        <v>23306.648744306076</v>
      </c>
      <c r="M24" s="83">
        <f t="shared" si="4"/>
        <v>23394.43966328193</v>
      </c>
      <c r="N24" s="389">
        <f t="shared" si="4"/>
        <v>23320.92789839796</v>
      </c>
      <c r="O24" s="83">
        <f t="shared" si="4"/>
        <v>23560.652600442099</v>
      </c>
      <c r="P24" s="83">
        <f t="shared" si="4"/>
        <v>23319.684745055689</v>
      </c>
      <c r="Q24" s="83">
        <f t="shared" si="4"/>
        <v>23325.990781545035</v>
      </c>
      <c r="R24" s="83">
        <f t="shared" si="4"/>
        <v>23299.52808087656</v>
      </c>
      <c r="S24" s="83">
        <f t="shared" si="4"/>
        <v>23285.392919327358</v>
      </c>
      <c r="T24" s="83">
        <f t="shared" si="4"/>
        <v>23098.50501667189</v>
      </c>
      <c r="U24" s="83">
        <f t="shared" si="4"/>
        <v>22992.542653728771</v>
      </c>
      <c r="V24" s="83">
        <f t="shared" si="4"/>
        <v>23413.554090258011</v>
      </c>
      <c r="W24" s="83">
        <f t="shared" si="4"/>
        <v>23175.786354460524</v>
      </c>
      <c r="X24" s="185">
        <f t="shared" si="4"/>
        <v>23326.373317957736</v>
      </c>
      <c r="Y24" s="175">
        <f t="shared" si="4"/>
        <v>23506.974174417162</v>
      </c>
      <c r="Z24" s="175">
        <f t="shared" si="4"/>
        <v>23732.292312477548</v>
      </c>
      <c r="AA24" s="175">
        <f t="shared" si="4"/>
        <v>24093.93473555168</v>
      </c>
      <c r="AB24" s="175">
        <f t="shared" si="4"/>
        <v>24371.568799947054</v>
      </c>
      <c r="AC24" s="175">
        <f t="shared" si="4"/>
        <v>24339.793467315623</v>
      </c>
      <c r="AD24" s="175">
        <f t="shared" si="4"/>
        <v>24671.135386072114</v>
      </c>
      <c r="AE24" s="175">
        <f t="shared" si="4"/>
        <v>24989.724572720796</v>
      </c>
      <c r="AF24" s="175">
        <f t="shared" si="4"/>
        <v>24872.242494647278</v>
      </c>
      <c r="AG24" s="175">
        <f t="shared" si="4"/>
        <v>24869.176576986138</v>
      </c>
      <c r="AH24" s="175">
        <f t="shared" si="4"/>
        <v>24742.332646320112</v>
      </c>
    </row>
    <row r="25" spans="1:34">
      <c r="A25" s="10" t="s">
        <v>346</v>
      </c>
      <c r="B25" s="37"/>
      <c r="C25" s="333">
        <f t="shared" ref="C25:AH25" si="5">C24/C4-1</f>
        <v>2.7553367178420718E-2</v>
      </c>
      <c r="D25" s="333">
        <f t="shared" si="5"/>
        <v>2.841353781068201E-2</v>
      </c>
      <c r="E25" s="333">
        <f t="shared" si="5"/>
        <v>2.6852544109608578E-2</v>
      </c>
      <c r="F25" s="333">
        <f t="shared" si="5"/>
        <v>2.5655119393456882E-2</v>
      </c>
      <c r="G25" s="333">
        <f t="shared" si="5"/>
        <v>1.1746287206889638E-2</v>
      </c>
      <c r="H25" s="82">
        <f t="shared" si="5"/>
        <v>1.0073334636256259E-2</v>
      </c>
      <c r="I25" s="82">
        <f t="shared" si="5"/>
        <v>3.9277228646751317E-2</v>
      </c>
      <c r="J25" s="82">
        <f t="shared" si="5"/>
        <v>6.4683154679323396E-2</v>
      </c>
      <c r="K25" s="82">
        <f t="shared" si="5"/>
        <v>6.526101955722674E-2</v>
      </c>
      <c r="L25" s="82">
        <f t="shared" si="5"/>
        <v>6.5990686578830893E-2</v>
      </c>
      <c r="M25" s="82">
        <f t="shared" si="5"/>
        <v>6.7327653863062942E-2</v>
      </c>
      <c r="N25" s="200">
        <f t="shared" si="5"/>
        <v>6.8793608226219272E-2</v>
      </c>
      <c r="O25" s="82">
        <f t="shared" si="5"/>
        <v>7.2894028192097782E-2</v>
      </c>
      <c r="P25" s="82">
        <f t="shared" si="5"/>
        <v>7.3137659660956089E-2</v>
      </c>
      <c r="Q25" s="82">
        <f t="shared" si="5"/>
        <v>7.2329325732879424E-2</v>
      </c>
      <c r="R25" s="82">
        <f t="shared" si="5"/>
        <v>7.1993444993387889E-2</v>
      </c>
      <c r="S25" s="82">
        <f t="shared" si="5"/>
        <v>7.0812275862061957E-2</v>
      </c>
      <c r="T25" s="82">
        <f t="shared" si="5"/>
        <v>7.068682260332082E-2</v>
      </c>
      <c r="U25" s="82">
        <f t="shared" si="5"/>
        <v>7.231424401791231E-2</v>
      </c>
      <c r="V25" s="82">
        <f t="shared" si="5"/>
        <v>7.4801542595584802E-2</v>
      </c>
      <c r="W25" s="82">
        <f t="shared" si="5"/>
        <v>7.4141485945521834E-2</v>
      </c>
      <c r="X25" s="186">
        <f t="shared" si="5"/>
        <v>7.2292045924295723E-2</v>
      </c>
      <c r="Y25" s="173">
        <f t="shared" si="5"/>
        <v>7.0861775256873649E-2</v>
      </c>
      <c r="Z25" s="173">
        <f t="shared" si="5"/>
        <v>6.8579053118826616E-2</v>
      </c>
      <c r="AA25" s="173">
        <f t="shared" si="5"/>
        <v>6.7797055812780282E-2</v>
      </c>
      <c r="AB25" s="173">
        <f t="shared" si="5"/>
        <v>6.7364778486796784E-2</v>
      </c>
      <c r="AC25" s="173">
        <f t="shared" si="5"/>
        <v>6.6336949465681805E-2</v>
      </c>
      <c r="AD25" s="173">
        <f t="shared" si="5"/>
        <v>6.8213084860822004E-2</v>
      </c>
      <c r="AE25" s="173">
        <f t="shared" si="5"/>
        <v>7.0220134930141898E-2</v>
      </c>
      <c r="AF25" s="173">
        <f t="shared" si="5"/>
        <v>6.7774474070367408E-2</v>
      </c>
      <c r="AG25" s="173">
        <f t="shared" si="5"/>
        <v>6.7153498178217363E-2</v>
      </c>
      <c r="AH25" s="173">
        <f t="shared" si="5"/>
        <v>6.6866400526478076E-2</v>
      </c>
    </row>
    <row r="26" spans="1:34">
      <c r="A26" s="10"/>
      <c r="B26" s="37"/>
      <c r="C26" s="333"/>
      <c r="D26" s="333"/>
      <c r="E26" s="333"/>
      <c r="F26" s="333"/>
      <c r="G26" s="333"/>
      <c r="H26" s="82"/>
      <c r="I26" s="82"/>
      <c r="J26" s="82"/>
      <c r="K26" s="82"/>
      <c r="L26" s="82"/>
      <c r="M26" s="82"/>
      <c r="N26" s="184" t="s">
        <v>0</v>
      </c>
      <c r="O26" s="91" t="s">
        <v>0</v>
      </c>
      <c r="P26" s="82"/>
      <c r="Q26" s="82"/>
      <c r="R26" s="82"/>
      <c r="S26" s="82"/>
      <c r="T26" s="82"/>
      <c r="U26" s="82"/>
      <c r="V26" s="82"/>
      <c r="W26" s="82"/>
      <c r="X26" s="186" t="s">
        <v>0</v>
      </c>
    </row>
    <row r="27" spans="1:34">
      <c r="A27" s="10"/>
      <c r="B27" s="37"/>
      <c r="C27" s="333"/>
      <c r="D27" s="333"/>
      <c r="E27" s="333"/>
      <c r="F27" s="333"/>
      <c r="G27" s="333"/>
      <c r="H27" s="165"/>
      <c r="I27" s="165"/>
      <c r="J27" s="165"/>
      <c r="K27" s="165"/>
      <c r="L27" s="165"/>
      <c r="M27" s="165"/>
      <c r="N27" s="184"/>
      <c r="O27" s="165"/>
      <c r="P27" s="165"/>
      <c r="Q27" s="165"/>
      <c r="R27" s="165"/>
      <c r="S27" s="165"/>
      <c r="T27" s="165"/>
      <c r="U27" s="165"/>
      <c r="V27" s="165"/>
      <c r="W27" s="165"/>
      <c r="X27" s="186"/>
    </row>
    <row r="28" spans="1:34">
      <c r="A28" s="9" t="s">
        <v>125</v>
      </c>
      <c r="B28" s="37"/>
      <c r="C28" s="333">
        <f t="shared" ref="C28:K28" si="6">C10/C$18</f>
        <v>0.7672360361674202</v>
      </c>
      <c r="D28" s="333">
        <f t="shared" si="6"/>
        <v>0.73114235061187338</v>
      </c>
      <c r="E28" s="333">
        <f t="shared" si="6"/>
        <v>0.72360296286825276</v>
      </c>
      <c r="F28" s="333">
        <f t="shared" si="6"/>
        <v>0.68657497923224309</v>
      </c>
      <c r="G28" s="333">
        <f t="shared" si="6"/>
        <v>0.56989487970658181</v>
      </c>
      <c r="H28" s="165">
        <f t="shared" si="6"/>
        <v>0.57430056528059181</v>
      </c>
      <c r="I28" s="165">
        <f t="shared" si="6"/>
        <v>0.41913849382432822</v>
      </c>
      <c r="J28" s="165">
        <f t="shared" si="6"/>
        <v>0.4079780281266831</v>
      </c>
      <c r="K28" s="165">
        <f t="shared" si="6"/>
        <v>0.41306170385329799</v>
      </c>
      <c r="L28" s="165">
        <f t="shared" ref="L28:L34" si="7">L10/L$18</f>
        <v>0.41755945924798055</v>
      </c>
      <c r="M28" s="165">
        <f t="shared" ref="M28:AH28" si="8">M10/M$18</f>
        <v>0.42405269481349983</v>
      </c>
      <c r="N28" s="186">
        <f t="shared" si="8"/>
        <v>0.43035747160195864</v>
      </c>
      <c r="O28" s="165">
        <f t="shared" si="8"/>
        <v>0.44854504805529766</v>
      </c>
      <c r="P28" s="165">
        <f t="shared" si="8"/>
        <v>0.4496603837530827</v>
      </c>
      <c r="Q28" s="165">
        <f t="shared" si="8"/>
        <v>0.44986898890641991</v>
      </c>
      <c r="R28" s="165">
        <f t="shared" si="8"/>
        <v>0.4519140802413778</v>
      </c>
      <c r="S28" s="165">
        <f t="shared" si="8"/>
        <v>0.45288239276681502</v>
      </c>
      <c r="T28" s="165">
        <f t="shared" si="8"/>
        <v>0.45419901247635824</v>
      </c>
      <c r="U28" s="165">
        <f t="shared" si="8"/>
        <v>0.4624624542442401</v>
      </c>
      <c r="V28" s="165">
        <f t="shared" si="8"/>
        <v>0.47141077771287471</v>
      </c>
      <c r="W28" s="165">
        <f t="shared" si="8"/>
        <v>0.46471665858981753</v>
      </c>
      <c r="X28" s="186">
        <f t="shared" si="8"/>
        <v>0.46352294306430414</v>
      </c>
      <c r="Y28" s="173">
        <f t="shared" si="8"/>
        <v>0.46602809119982985</v>
      </c>
      <c r="Z28" s="173">
        <f t="shared" si="8"/>
        <v>0.46527058212929151</v>
      </c>
      <c r="AA28" s="173">
        <f t="shared" si="8"/>
        <v>0.46406730964739046</v>
      </c>
      <c r="AB28" s="173">
        <f t="shared" si="8"/>
        <v>0.46127930091802083</v>
      </c>
      <c r="AC28" s="173">
        <f t="shared" si="8"/>
        <v>0.46082174817010857</v>
      </c>
      <c r="AD28" s="173">
        <f t="shared" si="8"/>
        <v>0.45068887045450057</v>
      </c>
      <c r="AE28" s="173">
        <f t="shared" si="8"/>
        <v>0.44740052887802567</v>
      </c>
      <c r="AF28" s="173">
        <f t="shared" si="8"/>
        <v>0.44311569915515508</v>
      </c>
      <c r="AG28" s="173">
        <f t="shared" si="8"/>
        <v>0.44253145817472939</v>
      </c>
      <c r="AH28" s="173">
        <f t="shared" si="8"/>
        <v>0.441177789494265</v>
      </c>
    </row>
    <row r="29" spans="1:34">
      <c r="A29" s="9" t="s">
        <v>50</v>
      </c>
      <c r="B29" s="37"/>
      <c r="C29" s="333">
        <f t="shared" ref="C29:K29" si="9">C11/C$18</f>
        <v>0</v>
      </c>
      <c r="D29" s="333">
        <f t="shared" si="9"/>
        <v>0</v>
      </c>
      <c r="E29" s="333">
        <f t="shared" si="9"/>
        <v>2.0792668603859501E-9</v>
      </c>
      <c r="F29" s="333">
        <f t="shared" si="9"/>
        <v>1.9468091795186139E-9</v>
      </c>
      <c r="G29" s="333">
        <f t="shared" si="9"/>
        <v>1.9450076949414578E-9</v>
      </c>
      <c r="H29" s="165">
        <f t="shared" si="9"/>
        <v>1.8932115967617422E-9</v>
      </c>
      <c r="I29" s="165">
        <f t="shared" si="9"/>
        <v>1.2992264355907585E-9</v>
      </c>
      <c r="J29" s="165">
        <f t="shared" si="9"/>
        <v>9.8825811476093988E-10</v>
      </c>
      <c r="K29" s="165">
        <f t="shared" si="9"/>
        <v>9.7818545999953445E-10</v>
      </c>
      <c r="L29" s="165">
        <f t="shared" si="7"/>
        <v>9.7034511914174928E-10</v>
      </c>
      <c r="M29" s="165">
        <f t="shared" ref="M29:AH29" si="10">M11/M$18</f>
        <v>9.5922523092664666E-10</v>
      </c>
      <c r="N29" s="186">
        <f t="shared" si="10"/>
        <v>9.4902580929868456E-10</v>
      </c>
      <c r="O29" s="165">
        <f t="shared" si="10"/>
        <v>9.1816388141136583E-10</v>
      </c>
      <c r="P29" s="165">
        <f t="shared" si="10"/>
        <v>9.1740886654516816E-10</v>
      </c>
      <c r="Q29" s="165">
        <f t="shared" si="10"/>
        <v>9.1670587310311848E-10</v>
      </c>
      <c r="R29" s="165">
        <f t="shared" si="10"/>
        <v>9.1263286271080177E-10</v>
      </c>
      <c r="S29" s="165">
        <f t="shared" si="10"/>
        <v>9.1133826541776881E-10</v>
      </c>
      <c r="T29" s="165">
        <f t="shared" si="10"/>
        <v>9.0627448090476448E-10</v>
      </c>
      <c r="U29" s="165">
        <f t="shared" si="10"/>
        <v>8.9057328245076305E-10</v>
      </c>
      <c r="V29" s="165">
        <f t="shared" si="10"/>
        <v>8.6123093361855871E-10</v>
      </c>
      <c r="W29" s="165">
        <f t="shared" si="10"/>
        <v>8.5911368644134073E-10</v>
      </c>
      <c r="X29" s="186">
        <f t="shared" si="10"/>
        <v>8.5683334971951459E-10</v>
      </c>
      <c r="Y29" s="173">
        <f t="shared" si="10"/>
        <v>8.5146829337143876E-10</v>
      </c>
      <c r="Z29" s="173">
        <f t="shared" si="10"/>
        <v>8.512167175143615E-10</v>
      </c>
      <c r="AA29" s="173">
        <f t="shared" si="10"/>
        <v>8.4117474741802827E-10</v>
      </c>
      <c r="AB29" s="173">
        <f t="shared" si="10"/>
        <v>8.3098409999273572E-10</v>
      </c>
      <c r="AC29" s="173">
        <f t="shared" si="10"/>
        <v>8.2691101319918993E-10</v>
      </c>
      <c r="AD29" s="173">
        <f t="shared" si="10"/>
        <v>8.0198385352645453E-10</v>
      </c>
      <c r="AE29" s="173">
        <f t="shared" si="10"/>
        <v>7.7856179520212932E-10</v>
      </c>
      <c r="AF29" s="173">
        <f t="shared" si="10"/>
        <v>7.8149373087234884E-10</v>
      </c>
      <c r="AG29" s="173">
        <f t="shared" si="10"/>
        <v>7.7547134509253494E-10</v>
      </c>
      <c r="AH29" s="173">
        <f t="shared" si="10"/>
        <v>7.6789591367231836E-10</v>
      </c>
    </row>
    <row r="30" spans="1:34">
      <c r="A30" s="9" t="s">
        <v>51</v>
      </c>
      <c r="B30" s="37"/>
      <c r="C30" s="333">
        <f t="shared" ref="C30:K30" si="11">C12/C$18</f>
        <v>5.2865684701764629E-2</v>
      </c>
      <c r="D30" s="333">
        <f t="shared" si="11"/>
        <v>5.111526167994513E-2</v>
      </c>
      <c r="E30" s="333">
        <f t="shared" si="11"/>
        <v>4.6900647827650237E-2</v>
      </c>
      <c r="F30" s="333">
        <f t="shared" si="11"/>
        <v>4.5628489858383678E-2</v>
      </c>
      <c r="G30" s="333">
        <f t="shared" si="11"/>
        <v>5.109269771621771E-2</v>
      </c>
      <c r="H30" s="165">
        <f t="shared" si="11"/>
        <v>4.9698583212389798E-2</v>
      </c>
      <c r="I30" s="165">
        <f t="shared" si="11"/>
        <v>3.4102546886824119E-2</v>
      </c>
      <c r="J30" s="165">
        <f t="shared" si="11"/>
        <v>2.5940540021072742E-2</v>
      </c>
      <c r="K30" s="165">
        <f t="shared" si="11"/>
        <v>2.5676218655824833E-2</v>
      </c>
      <c r="L30" s="165">
        <f t="shared" si="7"/>
        <v>2.5470854779626836E-2</v>
      </c>
      <c r="M30" s="165">
        <f t="shared" ref="M30:AH30" si="12">M12/M$18</f>
        <v>2.5179010669905844E-2</v>
      </c>
      <c r="N30" s="186">
        <f t="shared" si="12"/>
        <v>2.4911051879202395E-2</v>
      </c>
      <c r="O30" s="165">
        <f t="shared" si="12"/>
        <v>2.4100791498042E-2</v>
      </c>
      <c r="P30" s="165">
        <f t="shared" si="12"/>
        <v>2.4080861583990466E-2</v>
      </c>
      <c r="Q30" s="165">
        <f t="shared" si="12"/>
        <v>2.4062263032533976E-2</v>
      </c>
      <c r="R30" s="165">
        <f t="shared" si="12"/>
        <v>2.3955198410237154E-2</v>
      </c>
      <c r="S30" s="165">
        <f t="shared" si="12"/>
        <v>2.3988385077241971E-2</v>
      </c>
      <c r="T30" s="165">
        <f t="shared" si="12"/>
        <v>2.3854857905679049E-2</v>
      </c>
      <c r="U30" s="165">
        <f t="shared" si="12"/>
        <v>2.3375518572045593E-2</v>
      </c>
      <c r="V30" s="165">
        <f t="shared" si="12"/>
        <v>2.2668807491515286E-2</v>
      </c>
      <c r="W30" s="165">
        <f t="shared" si="12"/>
        <v>2.2549245285875954E-2</v>
      </c>
      <c r="X30" s="186">
        <f t="shared" si="12"/>
        <v>2.2489184582349435E-2</v>
      </c>
      <c r="Y30" s="173">
        <f t="shared" si="12"/>
        <v>2.2411100075909771E-2</v>
      </c>
      <c r="Z30" s="173">
        <f t="shared" si="12"/>
        <v>2.2404223567175821E-2</v>
      </c>
      <c r="AA30" s="173">
        <f t="shared" si="12"/>
        <v>2.213966466918529E-2</v>
      </c>
      <c r="AB30" s="173">
        <f t="shared" si="12"/>
        <v>2.1809268801509882E-2</v>
      </c>
      <c r="AC30" s="173">
        <f t="shared" si="12"/>
        <v>2.1702014239083557E-2</v>
      </c>
      <c r="AD30" s="173">
        <f t="shared" si="12"/>
        <v>2.1047193533746997E-2</v>
      </c>
      <c r="AE30" s="173">
        <f t="shared" si="12"/>
        <v>2.0432230245175664E-2</v>
      </c>
      <c r="AF30" s="173">
        <f t="shared" si="12"/>
        <v>2.0567745288990465E-2</v>
      </c>
      <c r="AG30" s="173">
        <f t="shared" si="12"/>
        <v>2.035058158814642E-2</v>
      </c>
      <c r="AH30" s="173">
        <f t="shared" si="12"/>
        <v>2.0151593812271343E-2</v>
      </c>
    </row>
    <row r="31" spans="1:34">
      <c r="A31" s="9" t="s">
        <v>347</v>
      </c>
      <c r="B31" s="37"/>
      <c r="C31" s="333">
        <f t="shared" ref="C31:K31" si="13">C13/C$18</f>
        <v>0.11176307058480385</v>
      </c>
      <c r="D31" s="333">
        <f t="shared" si="13"/>
        <v>0.11011780234569447</v>
      </c>
      <c r="E31" s="333">
        <f t="shared" si="13"/>
        <v>0.10806255942797048</v>
      </c>
      <c r="F31" s="333">
        <f t="shared" si="13"/>
        <v>9.8298074811729697E-2</v>
      </c>
      <c r="G31" s="333">
        <f t="shared" si="13"/>
        <v>9.7775591942438067E-2</v>
      </c>
      <c r="H31" s="165">
        <f t="shared" si="13"/>
        <v>9.8196071637605464E-2</v>
      </c>
      <c r="I31" s="165">
        <f t="shared" si="13"/>
        <v>7.5509817670657065E-2</v>
      </c>
      <c r="J31" s="165">
        <f t="shared" si="13"/>
        <v>6.3494591168930622E-2</v>
      </c>
      <c r="K31" s="165">
        <f t="shared" si="13"/>
        <v>6.3808968352717418E-2</v>
      </c>
      <c r="L31" s="165">
        <f t="shared" si="7"/>
        <v>6.3656111822272834E-2</v>
      </c>
      <c r="M31" s="165">
        <f t="shared" ref="M31:AH31" si="14">M13/M$18</f>
        <v>6.3084515985027068E-2</v>
      </c>
      <c r="N31" s="186">
        <f t="shared" si="14"/>
        <v>6.213232380245938E-2</v>
      </c>
      <c r="O31" s="165">
        <f t="shared" si="14"/>
        <v>6.0497560747398767E-2</v>
      </c>
      <c r="P31" s="165">
        <f t="shared" si="14"/>
        <v>5.9816092681694549E-2</v>
      </c>
      <c r="Q31" s="165">
        <f t="shared" si="14"/>
        <v>5.9831477888785088E-2</v>
      </c>
      <c r="R31" s="165">
        <f t="shared" si="14"/>
        <v>5.9516715050101719E-2</v>
      </c>
      <c r="S31" s="165">
        <f t="shared" si="14"/>
        <v>5.9461745943072963E-2</v>
      </c>
      <c r="T31" s="165">
        <f t="shared" si="14"/>
        <v>5.8663709094415172E-2</v>
      </c>
      <c r="U31" s="165">
        <f t="shared" si="14"/>
        <v>5.7295874447225996E-2</v>
      </c>
      <c r="V31" s="165">
        <f t="shared" si="14"/>
        <v>5.6291962070219831E-2</v>
      </c>
      <c r="W31" s="165">
        <f t="shared" si="14"/>
        <v>5.5617564940620812E-2</v>
      </c>
      <c r="X31" s="186">
        <f t="shared" si="14"/>
        <v>5.5926584314690185E-2</v>
      </c>
      <c r="Y31" s="173">
        <f t="shared" si="14"/>
        <v>5.6081418707777393E-2</v>
      </c>
      <c r="Z31" s="173">
        <f t="shared" si="14"/>
        <v>5.6723054443736272E-2</v>
      </c>
      <c r="AA31" s="173">
        <f t="shared" si="14"/>
        <v>5.6949595529041872E-2</v>
      </c>
      <c r="AB31" s="173">
        <f t="shared" si="14"/>
        <v>5.6930891247555751E-2</v>
      </c>
      <c r="AC31" s="173">
        <f t="shared" si="14"/>
        <v>5.663251894186324E-2</v>
      </c>
      <c r="AD31" s="173">
        <f t="shared" si="14"/>
        <v>5.5575169805733696E-2</v>
      </c>
      <c r="AE31" s="173">
        <f t="shared" si="14"/>
        <v>5.4546223617572297E-2</v>
      </c>
      <c r="AF31" s="173">
        <f t="shared" si="14"/>
        <v>5.4619070556318934E-2</v>
      </c>
      <c r="AG31" s="173">
        <f t="shared" si="14"/>
        <v>5.4223011968631205E-2</v>
      </c>
      <c r="AH31" s="173">
        <f t="shared" si="14"/>
        <v>5.3433870254844897E-2</v>
      </c>
    </row>
    <row r="32" spans="1:34">
      <c r="A32" s="9" t="s">
        <v>348</v>
      </c>
      <c r="B32" s="37"/>
      <c r="C32" s="333">
        <f t="shared" ref="C32:K32" si="15">C14/C$18</f>
        <v>0</v>
      </c>
      <c r="D32" s="333">
        <f t="shared" si="15"/>
        <v>0</v>
      </c>
      <c r="E32" s="333">
        <f t="shared" si="15"/>
        <v>2.0792668603859503E-5</v>
      </c>
      <c r="F32" s="333">
        <f t="shared" si="15"/>
        <v>1.9468091795186138E-5</v>
      </c>
      <c r="G32" s="333">
        <f t="shared" si="15"/>
        <v>1.9450076949414578E-5</v>
      </c>
      <c r="H32" s="165">
        <f t="shared" si="15"/>
        <v>1.893211596761742E-5</v>
      </c>
      <c r="I32" s="165">
        <f t="shared" si="15"/>
        <v>1.2992264355907585E-5</v>
      </c>
      <c r="J32" s="165">
        <f t="shared" si="15"/>
        <v>9.8825811476093982E-6</v>
      </c>
      <c r="K32" s="165">
        <f t="shared" si="15"/>
        <v>9.7818545999953455E-6</v>
      </c>
      <c r="L32" s="165">
        <f t="shared" si="7"/>
        <v>9.7034511914174932E-6</v>
      </c>
      <c r="M32" s="165">
        <f t="shared" ref="M32:AH32" si="16">M14/M$18</f>
        <v>9.5922523092664674E-6</v>
      </c>
      <c r="N32" s="186">
        <f t="shared" si="16"/>
        <v>9.4902580929868447E-6</v>
      </c>
      <c r="O32" s="165">
        <f t="shared" si="16"/>
        <v>9.1816388141136581E-6</v>
      </c>
      <c r="P32" s="165">
        <f t="shared" si="16"/>
        <v>9.1740886654516818E-6</v>
      </c>
      <c r="Q32" s="165">
        <f t="shared" si="16"/>
        <v>9.1670587310311846E-6</v>
      </c>
      <c r="R32" s="165">
        <f t="shared" si="16"/>
        <v>9.1263286271080178E-6</v>
      </c>
      <c r="S32" s="165">
        <f t="shared" si="16"/>
        <v>9.1133826541776879E-6</v>
      </c>
      <c r="T32" s="165">
        <f t="shared" si="16"/>
        <v>9.0627448090476455E-6</v>
      </c>
      <c r="U32" s="165">
        <f t="shared" si="16"/>
        <v>8.90573282450763E-6</v>
      </c>
      <c r="V32" s="165">
        <f t="shared" si="16"/>
        <v>8.6123093361855863E-6</v>
      </c>
      <c r="W32" s="165">
        <f t="shared" si="16"/>
        <v>8.591136864413406E-6</v>
      </c>
      <c r="X32" s="186">
        <f t="shared" si="16"/>
        <v>8.5683334971951459E-6</v>
      </c>
      <c r="Y32" s="173">
        <f t="shared" si="16"/>
        <v>8.5146829337143865E-6</v>
      </c>
      <c r="Z32" s="173">
        <f t="shared" si="16"/>
        <v>8.5121671751436141E-6</v>
      </c>
      <c r="AA32" s="173">
        <f t="shared" si="16"/>
        <v>8.411747474180282E-6</v>
      </c>
      <c r="AB32" s="173">
        <f t="shared" si="16"/>
        <v>8.3098409999273569E-6</v>
      </c>
      <c r="AC32" s="173">
        <f t="shared" si="16"/>
        <v>8.2691101319918982E-6</v>
      </c>
      <c r="AD32" s="173">
        <f t="shared" si="16"/>
        <v>8.0198385352645457E-6</v>
      </c>
      <c r="AE32" s="173">
        <f t="shared" si="16"/>
        <v>7.7856179520212922E-6</v>
      </c>
      <c r="AF32" s="173">
        <f t="shared" si="16"/>
        <v>7.8149373087234887E-6</v>
      </c>
      <c r="AG32" s="173">
        <f t="shared" si="16"/>
        <v>7.7547134509253495E-6</v>
      </c>
      <c r="AH32" s="173">
        <f t="shared" si="16"/>
        <v>7.6789591367231828E-6</v>
      </c>
    </row>
    <row r="33" spans="1:36">
      <c r="A33" s="9" t="s">
        <v>344</v>
      </c>
      <c r="B33" s="37"/>
      <c r="C33" s="333">
        <f t="shared" ref="C33:K33" si="17">C15/C$18</f>
        <v>2.2786933061105441E-6</v>
      </c>
      <c r="D33" s="333">
        <f t="shared" si="17"/>
        <v>2.1567620962002165E-6</v>
      </c>
      <c r="E33" s="333">
        <f t="shared" si="17"/>
        <v>2.0792668603859499E-6</v>
      </c>
      <c r="F33" s="333">
        <f t="shared" si="17"/>
        <v>1.9468091795186138E-6</v>
      </c>
      <c r="G33" s="333">
        <f t="shared" si="17"/>
        <v>1.9450076949414578E-6</v>
      </c>
      <c r="H33" s="165">
        <f t="shared" si="17"/>
        <v>1.8932115967617419E-6</v>
      </c>
      <c r="I33" s="165">
        <f t="shared" si="17"/>
        <v>1.2992264355907585E-6</v>
      </c>
      <c r="J33" s="165">
        <f t="shared" si="17"/>
        <v>9.8825811476093991E-7</v>
      </c>
      <c r="K33" s="165">
        <f t="shared" si="17"/>
        <v>9.7818545999953455E-7</v>
      </c>
      <c r="L33" s="165">
        <f t="shared" si="7"/>
        <v>9.703451191417492E-7</v>
      </c>
      <c r="M33" s="165">
        <f t="shared" ref="M33:AH33" si="18">M15/M$18</f>
        <v>9.5922523092664653E-7</v>
      </c>
      <c r="N33" s="186">
        <f t="shared" si="18"/>
        <v>9.4902580929868442E-7</v>
      </c>
      <c r="O33" s="165">
        <f t="shared" si="18"/>
        <v>9.1816388141136579E-7</v>
      </c>
      <c r="P33" s="165">
        <f t="shared" si="18"/>
        <v>9.1740886654516816E-7</v>
      </c>
      <c r="Q33" s="165">
        <f t="shared" si="18"/>
        <v>9.1670587310311839E-7</v>
      </c>
      <c r="R33" s="165">
        <f t="shared" si="18"/>
        <v>9.1263286271080172E-7</v>
      </c>
      <c r="S33" s="165">
        <f t="shared" si="18"/>
        <v>9.1133826541776879E-7</v>
      </c>
      <c r="T33" s="165">
        <f t="shared" si="18"/>
        <v>9.0627448090476446E-7</v>
      </c>
      <c r="U33" s="165">
        <f t="shared" si="18"/>
        <v>8.9057328245076294E-7</v>
      </c>
      <c r="V33" s="165">
        <f t="shared" si="18"/>
        <v>8.6123093361855861E-7</v>
      </c>
      <c r="W33" s="165">
        <f t="shared" si="18"/>
        <v>8.5911368644134064E-7</v>
      </c>
      <c r="X33" s="186">
        <f t="shared" si="18"/>
        <v>8.5683334971951452E-7</v>
      </c>
      <c r="Y33" s="173">
        <f t="shared" si="18"/>
        <v>8.5146829337143865E-7</v>
      </c>
      <c r="Z33" s="173">
        <f t="shared" si="18"/>
        <v>8.5121671751436147E-7</v>
      </c>
      <c r="AA33" s="173">
        <f t="shared" si="18"/>
        <v>8.411747474180282E-7</v>
      </c>
      <c r="AB33" s="173">
        <f t="shared" si="18"/>
        <v>8.3098409999273573E-7</v>
      </c>
      <c r="AC33" s="173">
        <f t="shared" si="18"/>
        <v>8.2691101319918986E-7</v>
      </c>
      <c r="AD33" s="173">
        <f t="shared" si="18"/>
        <v>8.0198385352645447E-7</v>
      </c>
      <c r="AE33" s="173">
        <f t="shared" si="18"/>
        <v>7.7856179520212933E-7</v>
      </c>
      <c r="AF33" s="173">
        <f t="shared" si="18"/>
        <v>7.8149373087234883E-7</v>
      </c>
      <c r="AG33" s="173">
        <f t="shared" si="18"/>
        <v>7.7547134509253491E-7</v>
      </c>
      <c r="AH33" s="173">
        <f t="shared" si="18"/>
        <v>7.678959136723183E-7</v>
      </c>
    </row>
    <row r="34" spans="1:36">
      <c r="A34" s="9" t="s">
        <v>53</v>
      </c>
      <c r="B34" s="37"/>
      <c r="C34" s="333">
        <f t="shared" ref="C34:K34" si="19">C16/C$18</f>
        <v>6.8132929852705276E-2</v>
      </c>
      <c r="D34" s="333">
        <f t="shared" si="19"/>
        <v>0.10762242860039081</v>
      </c>
      <c r="E34" s="333">
        <f t="shared" si="19"/>
        <v>0.12141095586139511</v>
      </c>
      <c r="F34" s="333">
        <f t="shared" si="19"/>
        <v>0.16947703924985935</v>
      </c>
      <c r="G34" s="333">
        <f t="shared" si="19"/>
        <v>0.28121543360511031</v>
      </c>
      <c r="H34" s="165">
        <f t="shared" si="19"/>
        <v>0.27778395264863692</v>
      </c>
      <c r="I34" s="165">
        <f t="shared" si="19"/>
        <v>0.47123484882817268</v>
      </c>
      <c r="J34" s="165">
        <f t="shared" si="19"/>
        <v>0.50257596885579303</v>
      </c>
      <c r="K34" s="165">
        <f t="shared" si="19"/>
        <v>0.49744234811991445</v>
      </c>
      <c r="L34" s="165">
        <f t="shared" si="7"/>
        <v>0.493302899383464</v>
      </c>
      <c r="M34" s="165">
        <f t="shared" ref="M34:AH34" si="20">M16/M$18</f>
        <v>0.48767322609480185</v>
      </c>
      <c r="N34" s="186">
        <f t="shared" si="20"/>
        <v>0.48258871248345153</v>
      </c>
      <c r="O34" s="165">
        <f t="shared" si="20"/>
        <v>0.46684649897840214</v>
      </c>
      <c r="P34" s="165">
        <f t="shared" si="20"/>
        <v>0.46643256956629142</v>
      </c>
      <c r="Q34" s="165">
        <f t="shared" si="20"/>
        <v>0.46622718549095093</v>
      </c>
      <c r="R34" s="165">
        <f t="shared" si="20"/>
        <v>0.46460396642416057</v>
      </c>
      <c r="S34" s="165">
        <f t="shared" si="20"/>
        <v>0.46365745058061214</v>
      </c>
      <c r="T34" s="165">
        <f t="shared" si="20"/>
        <v>0.46327245059798317</v>
      </c>
      <c r="U34" s="165">
        <f t="shared" si="20"/>
        <v>0.45685635553980819</v>
      </c>
      <c r="V34" s="165">
        <f t="shared" si="20"/>
        <v>0.44961897832388942</v>
      </c>
      <c r="W34" s="165">
        <f t="shared" si="20"/>
        <v>0.45710708007402123</v>
      </c>
      <c r="X34" s="186">
        <f t="shared" si="20"/>
        <v>0.45805186201497605</v>
      </c>
      <c r="Y34" s="173">
        <f t="shared" si="20"/>
        <v>0.45547002301378747</v>
      </c>
      <c r="Z34" s="173">
        <f t="shared" si="20"/>
        <v>0.45559277562468703</v>
      </c>
      <c r="AA34" s="173">
        <f t="shared" si="20"/>
        <v>0.456834176390986</v>
      </c>
      <c r="AB34" s="173">
        <f t="shared" si="20"/>
        <v>0.45997139737682963</v>
      </c>
      <c r="AC34" s="173">
        <f t="shared" si="20"/>
        <v>0.46083462180088847</v>
      </c>
      <c r="AD34" s="173">
        <f t="shared" si="20"/>
        <v>0.47267994358164606</v>
      </c>
      <c r="AE34" s="173">
        <f t="shared" si="20"/>
        <v>0.47761245230091731</v>
      </c>
      <c r="AF34" s="173">
        <f t="shared" si="20"/>
        <v>0.48168888778700214</v>
      </c>
      <c r="AG34" s="173">
        <f t="shared" si="20"/>
        <v>0.48288641730822568</v>
      </c>
      <c r="AH34" s="173">
        <f t="shared" si="20"/>
        <v>0.48522829881567237</v>
      </c>
    </row>
    <row r="35" spans="1:36">
      <c r="A35" s="10"/>
      <c r="B35" s="37"/>
      <c r="C35" s="333"/>
      <c r="D35" s="333"/>
      <c r="E35" s="333"/>
      <c r="F35" s="333"/>
      <c r="G35" s="333"/>
      <c r="H35" s="165"/>
      <c r="I35" s="165"/>
      <c r="J35" s="165"/>
      <c r="K35" s="165"/>
      <c r="L35" s="165"/>
      <c r="M35" s="165"/>
      <c r="N35" s="184"/>
      <c r="O35" s="165"/>
      <c r="P35" s="165"/>
      <c r="Q35" s="165"/>
      <c r="R35" s="165"/>
      <c r="S35" s="165"/>
      <c r="T35" s="165"/>
      <c r="U35" s="165"/>
      <c r="V35" s="165"/>
      <c r="W35" s="165"/>
      <c r="X35" s="186"/>
    </row>
    <row r="36" spans="1:36">
      <c r="A36" s="10"/>
      <c r="B36" s="37"/>
      <c r="C36" s="333"/>
      <c r="D36" s="333"/>
      <c r="E36" s="333"/>
      <c r="F36" s="333"/>
      <c r="G36" s="333"/>
      <c r="H36" s="165"/>
      <c r="I36" s="165"/>
      <c r="J36" s="165"/>
      <c r="K36" s="165"/>
      <c r="L36" s="165"/>
      <c r="M36" s="165"/>
      <c r="N36" s="184"/>
      <c r="O36" s="165"/>
      <c r="P36" s="165"/>
      <c r="Q36" s="165"/>
      <c r="R36" s="165"/>
      <c r="S36" s="165"/>
      <c r="T36" s="165"/>
      <c r="U36" s="165"/>
      <c r="V36" s="165"/>
      <c r="W36" s="165"/>
      <c r="X36" s="186"/>
    </row>
    <row r="37" spans="1:36">
      <c r="A37" s="10"/>
      <c r="B37" s="37"/>
      <c r="C37" s="333"/>
      <c r="D37" s="333"/>
      <c r="E37" s="333"/>
      <c r="F37" s="333"/>
      <c r="G37" s="333"/>
      <c r="H37" s="165"/>
      <c r="I37" s="165"/>
      <c r="J37" s="165"/>
      <c r="K37" s="165"/>
      <c r="L37" s="165"/>
      <c r="M37" s="165"/>
      <c r="N37" s="184"/>
      <c r="O37" s="165"/>
      <c r="P37" s="165"/>
      <c r="Q37" s="165"/>
      <c r="R37" s="165"/>
      <c r="S37" s="165"/>
      <c r="T37" s="165"/>
      <c r="U37" s="165"/>
      <c r="V37" s="165"/>
      <c r="W37" s="165"/>
      <c r="X37" s="186"/>
    </row>
    <row r="38" spans="1:36">
      <c r="A38" s="10"/>
      <c r="B38" s="37"/>
      <c r="C38" s="333"/>
      <c r="D38" s="333"/>
      <c r="E38" s="333"/>
      <c r="F38" s="333"/>
      <c r="G38" s="333"/>
      <c r="H38" s="165"/>
      <c r="I38" s="165"/>
      <c r="J38" s="165"/>
      <c r="K38" s="165"/>
      <c r="L38" s="165"/>
      <c r="M38" s="165"/>
      <c r="N38" s="184"/>
      <c r="O38" s="165"/>
      <c r="P38" s="165"/>
      <c r="Q38" s="165"/>
      <c r="R38" s="165"/>
      <c r="S38" s="165"/>
      <c r="T38" s="165"/>
      <c r="U38" s="165"/>
      <c r="V38" s="165"/>
      <c r="W38" s="165"/>
      <c r="X38" s="186"/>
    </row>
    <row r="39" spans="1:36">
      <c r="A39" s="1" t="s">
        <v>139</v>
      </c>
      <c r="B39" s="13"/>
      <c r="D39" s="334"/>
      <c r="E39" s="334"/>
      <c r="F39" s="334"/>
      <c r="G39" s="334"/>
      <c r="H39" s="16"/>
      <c r="I39" s="16"/>
      <c r="J39" s="16"/>
      <c r="K39" s="16"/>
      <c r="L39" s="16"/>
      <c r="M39" s="16"/>
      <c r="N39" s="390" t="s">
        <v>0</v>
      </c>
    </row>
    <row r="40" spans="1:36" ht="15">
      <c r="A40" s="8" t="s">
        <v>61</v>
      </c>
      <c r="B40" s="34">
        <v>0</v>
      </c>
      <c r="C40" s="332">
        <f>C5*Inputs!$C$44</f>
        <v>0</v>
      </c>
      <c r="D40" s="332">
        <f>D5*Inputs!$C$44</f>
        <v>0</v>
      </c>
      <c r="E40" s="332">
        <f>E5*Inputs!$C$44</f>
        <v>0</v>
      </c>
      <c r="F40" s="332">
        <f>F5*Inputs!$C$44</f>
        <v>0</v>
      </c>
      <c r="G40" s="332">
        <f>G5*Inputs!$C$44</f>
        <v>0</v>
      </c>
      <c r="H40" s="14">
        <f>H5*Inputs!$C$44</f>
        <v>0</v>
      </c>
      <c r="I40" s="14">
        <f>I5*Inputs!$C$44</f>
        <v>0</v>
      </c>
      <c r="J40" s="14">
        <f>J5*Inputs!$C$44</f>
        <v>0</v>
      </c>
      <c r="K40" s="14">
        <f>K5*Inputs!$C$44</f>
        <v>0</v>
      </c>
      <c r="L40" s="14">
        <f>L5*Inputs!$C$44</f>
        <v>0</v>
      </c>
      <c r="M40" s="14">
        <f>M5*Inputs!$C$44</f>
        <v>0</v>
      </c>
      <c r="N40" s="191">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8">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2">
        <f>C6*Inputs!$C$47</f>
        <v>0</v>
      </c>
      <c r="D41" s="332">
        <f>D6*Inputs!$C$47</f>
        <v>0</v>
      </c>
      <c r="E41" s="332" t="s">
        <v>376</v>
      </c>
      <c r="F41" s="332">
        <f>F6*Inputs!$C$47</f>
        <v>0</v>
      </c>
      <c r="G41" s="332">
        <f>G6*Inputs!$C$47</f>
        <v>0</v>
      </c>
      <c r="H41" s="14">
        <f>H6*Inputs!$C$47</f>
        <v>0</v>
      </c>
      <c r="I41" s="14">
        <f>I6*Inputs!$C$47</f>
        <v>0</v>
      </c>
      <c r="J41" s="14">
        <f>J6*Inputs!$C$47</f>
        <v>0</v>
      </c>
      <c r="K41" s="14">
        <f>K6*Inputs!$C$47</f>
        <v>0</v>
      </c>
      <c r="L41" s="14">
        <f>L6*Inputs!$C$47</f>
        <v>0</v>
      </c>
      <c r="M41" s="14">
        <f>M6*Inputs!$C$47</f>
        <v>0</v>
      </c>
      <c r="N41" s="191">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8">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2">
        <f>C7*Inputs!$C$48</f>
        <v>631.79849999999999</v>
      </c>
      <c r="D42" s="332">
        <f>D7*Inputs!$C$48</f>
        <v>571.49849999999992</v>
      </c>
      <c r="E42" s="332">
        <f>E7*Inputs!$C$48</f>
        <v>635.00750627622597</v>
      </c>
      <c r="F42" s="332">
        <f>F7*Inputs!$C$48</f>
        <v>535.20553221724992</v>
      </c>
      <c r="G42" s="332">
        <f>G7*Inputs!$C$48</f>
        <v>518.90344722560008</v>
      </c>
      <c r="H42" s="14">
        <f>H7*Inputs!$C$48</f>
        <v>527.63927797942563</v>
      </c>
      <c r="I42" s="14">
        <f>I7*Inputs!$C$48</f>
        <v>538.0607923945347</v>
      </c>
      <c r="J42" s="14">
        <f>J7*Inputs!$C$48</f>
        <v>548.53170200440684</v>
      </c>
      <c r="K42" s="14">
        <f>K7*Inputs!$C$48</f>
        <v>554.1625362874247</v>
      </c>
      <c r="L42" s="14">
        <f>L7*Inputs!$C$48</f>
        <v>554.16275420740158</v>
      </c>
      <c r="M42" s="14">
        <f>M7*Inputs!$C$48</f>
        <v>554.16282684739394</v>
      </c>
      <c r="N42" s="191">
        <f>N7*Inputs!$C$48</f>
        <v>554.1625362874247</v>
      </c>
      <c r="O42" s="14">
        <f>O7*Inputs!$C$48</f>
        <v>554.1625362874247</v>
      </c>
      <c r="P42" s="14">
        <f>P7*Inputs!$C$48</f>
        <v>554.16268156740932</v>
      </c>
      <c r="Q42" s="14">
        <f>Q7*Inputs!$C$48</f>
        <v>581.60011417848762</v>
      </c>
      <c r="R42" s="14">
        <f>R7*Inputs!$C$48</f>
        <v>581.60004153849525</v>
      </c>
      <c r="S42" s="14">
        <f>S7*Inputs!$C$48</f>
        <v>581.60069529842588</v>
      </c>
      <c r="T42" s="14">
        <f>T7*Inputs!$C$48</f>
        <v>581.60193017829499</v>
      </c>
      <c r="U42" s="14">
        <f>U7*Inputs!$C$48</f>
        <v>585.66185198786138</v>
      </c>
      <c r="V42" s="14">
        <f>V7*Inputs!$C$48</f>
        <v>589.71465507818243</v>
      </c>
      <c r="W42" s="14">
        <f>W7*Inputs!$C$48</f>
        <v>589.71530883811317</v>
      </c>
      <c r="X42" s="188">
        <f>X7*Inputs!$C$48</f>
        <v>589.71523619812081</v>
      </c>
      <c r="Y42" s="14">
        <f>Y7*Inputs!$C$48</f>
        <v>589.71530883811317</v>
      </c>
      <c r="Z42" s="14">
        <f>Z7*Inputs!$C$48</f>
        <v>589.7154541180978</v>
      </c>
      <c r="AA42" s="14">
        <f>AA7*Inputs!$C$48</f>
        <v>589.71458243819018</v>
      </c>
      <c r="AB42" s="14">
        <f>AB7*Inputs!$C$48</f>
        <v>589.71458243819018</v>
      </c>
      <c r="AC42" s="14">
        <f>AC7*Inputs!$C$48</f>
        <v>589.71458243819018</v>
      </c>
      <c r="AD42" s="14">
        <f>AD7*Inputs!$C$48</f>
        <v>592.6531606866414</v>
      </c>
      <c r="AE42" s="14">
        <f>AE7*Inputs!$C$48</f>
        <v>592.6531606866414</v>
      </c>
      <c r="AF42" s="14">
        <f>AF7*Inputs!$C$48</f>
        <v>592.6531606866414</v>
      </c>
      <c r="AG42" s="14">
        <f>AG7*Inputs!$C$48</f>
        <v>592.6531606866414</v>
      </c>
      <c r="AH42" s="14">
        <f>AH7*Inputs!$C$48</f>
        <v>592.65388708656462</v>
      </c>
    </row>
    <row r="43" spans="1:36" ht="15">
      <c r="A43" s="8" t="s">
        <v>59</v>
      </c>
      <c r="B43" s="34">
        <v>0</v>
      </c>
      <c r="C43" s="332">
        <f>C8*Inputs!$C$53</f>
        <v>0</v>
      </c>
      <c r="D43" s="332">
        <f>D8*Inputs!$C$53</f>
        <v>0</v>
      </c>
      <c r="E43" s="332">
        <f>E8*Inputs!$C$53</f>
        <v>0</v>
      </c>
      <c r="F43" s="332">
        <f>F8*Inputs!$C$53</f>
        <v>0</v>
      </c>
      <c r="G43" s="332">
        <f>G8*Inputs!$C$53</f>
        <v>0</v>
      </c>
      <c r="H43" s="14">
        <f>H8*Inputs!$C$53</f>
        <v>0</v>
      </c>
      <c r="I43" s="14">
        <f>I8*Inputs!$C$53</f>
        <v>0</v>
      </c>
      <c r="J43" s="14">
        <f>J8*Inputs!$C$53</f>
        <v>0</v>
      </c>
      <c r="K43" s="14">
        <f>K8*Inputs!$C$53</f>
        <v>0</v>
      </c>
      <c r="L43" s="14">
        <f>L8*Inputs!$C$53</f>
        <v>0</v>
      </c>
      <c r="M43" s="14">
        <f>M8*Inputs!$C$53</f>
        <v>0</v>
      </c>
      <c r="N43" s="191">
        <f>N8*Inputs!$C$53</f>
        <v>0</v>
      </c>
      <c r="O43" s="14">
        <f>O8*Inputs!$C$53</f>
        <v>0</v>
      </c>
      <c r="P43" s="14">
        <f>P8*Inputs!$C$53</f>
        <v>0</v>
      </c>
      <c r="Q43" s="14">
        <f>Q8*Inputs!$C$53</f>
        <v>0</v>
      </c>
      <c r="R43" s="14">
        <f>R8*Inputs!$C$53</f>
        <v>0</v>
      </c>
      <c r="S43" s="14">
        <f>S8*Inputs!$C$53</f>
        <v>0</v>
      </c>
      <c r="T43" s="14">
        <f>T8*Inputs!$C$53</f>
        <v>0</v>
      </c>
      <c r="U43" s="14">
        <f>U8*Inputs!$C$53</f>
        <v>0</v>
      </c>
      <c r="V43" s="14">
        <f>V8*Inputs!$C$53</f>
        <v>0</v>
      </c>
      <c r="W43" s="14">
        <f>W8*Inputs!$C$53</f>
        <v>0</v>
      </c>
      <c r="X43" s="188">
        <f>X8*Inputs!$C$53</f>
        <v>0</v>
      </c>
      <c r="Y43" s="14">
        <f>Y8*Inputs!$C$53</f>
        <v>0</v>
      </c>
      <c r="Z43" s="14">
        <f>Z8*Inputs!$C$53</f>
        <v>0</v>
      </c>
      <c r="AA43" s="14">
        <f>AA8*Inputs!$C$53</f>
        <v>0</v>
      </c>
      <c r="AB43" s="14">
        <f>AB8*Inputs!$C$53</f>
        <v>0</v>
      </c>
      <c r="AC43" s="14">
        <f>AC8*Inputs!$C$53</f>
        <v>0</v>
      </c>
      <c r="AD43" s="14">
        <f>AD8*Inputs!$C$53</f>
        <v>0</v>
      </c>
      <c r="AE43" s="14">
        <f>AE8*Inputs!$C$53</f>
        <v>0</v>
      </c>
      <c r="AF43" s="14">
        <f>AF8*Inputs!$C$53</f>
        <v>0</v>
      </c>
      <c r="AG43" s="14">
        <f>AG8*Inputs!$C$53</f>
        <v>0</v>
      </c>
      <c r="AH43" s="14">
        <f>AH8*Inputs!$C$53</f>
        <v>0</v>
      </c>
    </row>
    <row r="44" spans="1:36" ht="15">
      <c r="A44" s="8" t="s">
        <v>121</v>
      </c>
      <c r="B44" s="34">
        <v>1</v>
      </c>
      <c r="C44" s="332">
        <f>C10*Inputs!$C$46</f>
        <v>707.06999999999994</v>
      </c>
      <c r="D44" s="332">
        <f>D10*Inputs!$C$46</f>
        <v>711.9</v>
      </c>
      <c r="E44" s="332">
        <f>E10*Inputs!$C$46</f>
        <v>730.81827589041234</v>
      </c>
      <c r="F44" s="332">
        <f>F10*Inputs!$C$46</f>
        <v>740.60029691468037</v>
      </c>
      <c r="G44" s="332">
        <f>G10*Inputs!$C$46</f>
        <v>615.30823271105021</v>
      </c>
      <c r="H44" s="14">
        <f>H10*Inputs!$C$46</f>
        <v>637.02926241953503</v>
      </c>
      <c r="I44" s="14">
        <f>I10*Inputs!$C$46</f>
        <v>677.47300464284831</v>
      </c>
      <c r="J44" s="14">
        <f>J10*Inputs!$C$46</f>
        <v>866.93329027030939</v>
      </c>
      <c r="K44" s="14">
        <f>K10*Inputs!$C$46</f>
        <v>886.7741482196418</v>
      </c>
      <c r="L44" s="14">
        <f>L10*Inputs!$C$46</f>
        <v>903.67318505846379</v>
      </c>
      <c r="M44" s="14">
        <f>M10*Inputs!$C$46</f>
        <v>928.36450751830603</v>
      </c>
      <c r="N44" s="191">
        <f>N10*Inputs!$C$46</f>
        <v>952.29305832258774</v>
      </c>
      <c r="O44" s="14">
        <f>O10*Inputs!$C$46</f>
        <v>1025.9002994848854</v>
      </c>
      <c r="P44" s="14">
        <f>P10*Inputs!$C$46</f>
        <v>1029.2976668489416</v>
      </c>
      <c r="Q44" s="14">
        <f>Q10*Inputs!$C$46</f>
        <v>1030.5648784658888</v>
      </c>
      <c r="R44" s="14">
        <f>R10*Inputs!$C$46</f>
        <v>1039.8700367725219</v>
      </c>
      <c r="S44" s="14">
        <f>S10*Inputs!$C$46</f>
        <v>1043.5785052593365</v>
      </c>
      <c r="T44" s="14">
        <f>T10*Inputs!$C$46</f>
        <v>1052.4603156078317</v>
      </c>
      <c r="U44" s="14">
        <f>U10*Inputs!$C$46</f>
        <v>1090.5011109701657</v>
      </c>
      <c r="V44" s="14">
        <f>V10*Inputs!$C$46</f>
        <v>1149.4740778034964</v>
      </c>
      <c r="W44" s="14">
        <f>W10*Inputs!$C$46</f>
        <v>1135.9439366878839</v>
      </c>
      <c r="X44" s="188">
        <f>X10*Inputs!$C$46</f>
        <v>1136.0414259712018</v>
      </c>
      <c r="Y44" s="14">
        <f>Y10*Inputs!$C$46</f>
        <v>1149.3780791820034</v>
      </c>
      <c r="Z44" s="14">
        <f>Z10*Inputs!$C$46</f>
        <v>1147.8489582825039</v>
      </c>
      <c r="AA44" s="14">
        <f>AA10*Inputs!$C$46</f>
        <v>1158.5480344611608</v>
      </c>
      <c r="AB44" s="14">
        <f>AB10*Inputs!$C$46</f>
        <v>1165.7100682628125</v>
      </c>
      <c r="AC44" s="14">
        <f>AC10*Inputs!$C$46</f>
        <v>1170.2899776521879</v>
      </c>
      <c r="AD44" s="14">
        <f>AD10*Inputs!$C$46</f>
        <v>1180.1317742156157</v>
      </c>
      <c r="AE44" s="14">
        <f>AE10*Inputs!$C$46</f>
        <v>1206.7649818341413</v>
      </c>
      <c r="AF44" s="14">
        <f>AF10*Inputs!$C$46</f>
        <v>1190.7235227429137</v>
      </c>
      <c r="AG44" s="14">
        <f>AG10*Inputs!$C$46</f>
        <v>1198.3886549103099</v>
      </c>
      <c r="AH44" s="14">
        <f>AH10*Inputs!$C$46</f>
        <v>1206.509035198887</v>
      </c>
    </row>
    <row r="45" spans="1:36" ht="15">
      <c r="A45" s="8" t="s">
        <v>50</v>
      </c>
      <c r="B45" s="34">
        <v>1</v>
      </c>
      <c r="C45" s="332">
        <f>C11*Inputs!$C$49</f>
        <v>0</v>
      </c>
      <c r="D45" s="332">
        <f>D11*Inputs!$C$49</f>
        <v>0</v>
      </c>
      <c r="E45" s="332">
        <f>E11*Inputs!$C$49</f>
        <v>2.5000000000000002E-6</v>
      </c>
      <c r="F45" s="332">
        <f>F11*Inputs!$C$49</f>
        <v>2.5000000000000002E-6</v>
      </c>
      <c r="G45" s="332">
        <f>G11*Inputs!$C$49</f>
        <v>2.5000000000000002E-6</v>
      </c>
      <c r="H45" s="14">
        <f>H11*Inputs!$C$49</f>
        <v>2.5000000000000002E-6</v>
      </c>
      <c r="I45" s="14">
        <f>I11*Inputs!$C$49</f>
        <v>2.5000000000000002E-6</v>
      </c>
      <c r="J45" s="14">
        <f>J11*Inputs!$C$49</f>
        <v>2.5000000000000002E-6</v>
      </c>
      <c r="K45" s="14">
        <f>K11*Inputs!$C$49</f>
        <v>2.5000000000000002E-6</v>
      </c>
      <c r="L45" s="14">
        <f>L11*Inputs!$C$49</f>
        <v>2.5000000000000002E-6</v>
      </c>
      <c r="M45" s="14">
        <f>M11*Inputs!$C$49</f>
        <v>2.5000000000000002E-6</v>
      </c>
      <c r="N45" s="191">
        <f>N11*Inputs!$C$49</f>
        <v>2.5000000000000002E-6</v>
      </c>
      <c r="O45" s="14">
        <f>O11*Inputs!$C$49</f>
        <v>2.5000000000000002E-6</v>
      </c>
      <c r="P45" s="14">
        <f>P11*Inputs!$C$49</f>
        <v>2.5000000000000002E-6</v>
      </c>
      <c r="Q45" s="14">
        <f>Q11*Inputs!$C$49</f>
        <v>2.5000000000000002E-6</v>
      </c>
      <c r="R45" s="14">
        <f>R11*Inputs!$C$49</f>
        <v>2.5000000000000002E-6</v>
      </c>
      <c r="S45" s="14">
        <f>S11*Inputs!$C$49</f>
        <v>2.5000000000000002E-6</v>
      </c>
      <c r="T45" s="14">
        <f>T11*Inputs!$C$49</f>
        <v>2.5000000000000002E-6</v>
      </c>
      <c r="U45" s="14">
        <f>U11*Inputs!$C$49</f>
        <v>2.5000000000000002E-6</v>
      </c>
      <c r="V45" s="14">
        <f>V11*Inputs!$C$49</f>
        <v>2.5000000000000002E-6</v>
      </c>
      <c r="W45" s="14">
        <f>W11*Inputs!$C$49</f>
        <v>2.5000000000000002E-6</v>
      </c>
      <c r="X45" s="188">
        <f>X11*Inputs!$C$49</f>
        <v>2.5000000000000002E-6</v>
      </c>
      <c r="Y45" s="14">
        <f>Y11*Inputs!$C$49</f>
        <v>2.5000000000000002E-6</v>
      </c>
      <c r="Z45" s="14">
        <f>Z11*Inputs!$C$49</f>
        <v>2.5000000000000002E-6</v>
      </c>
      <c r="AA45" s="14">
        <f>AA11*Inputs!$C$49</f>
        <v>2.5000000000000002E-6</v>
      </c>
      <c r="AB45" s="14">
        <f>AB11*Inputs!$C$49</f>
        <v>2.5000000000000002E-6</v>
      </c>
      <c r="AC45" s="14">
        <f>AC11*Inputs!$C$49</f>
        <v>2.5000000000000002E-6</v>
      </c>
      <c r="AD45" s="14">
        <f>AD11*Inputs!$C$49</f>
        <v>2.5000000000000002E-6</v>
      </c>
      <c r="AE45" s="14">
        <f>AE11*Inputs!$C$49</f>
        <v>2.5000000000000002E-6</v>
      </c>
      <c r="AF45" s="14">
        <f>AF11*Inputs!$C$49</f>
        <v>2.5000000000000002E-6</v>
      </c>
      <c r="AG45" s="14">
        <f>AG11*Inputs!$C$49</f>
        <v>2.5000000000000002E-6</v>
      </c>
      <c r="AH45" s="14">
        <f>AH11*Inputs!$C$49</f>
        <v>2.5000000000000002E-6</v>
      </c>
    </row>
    <row r="46" spans="1:36" ht="15">
      <c r="A46" s="8" t="s">
        <v>51</v>
      </c>
      <c r="B46" s="34">
        <v>1</v>
      </c>
      <c r="C46" s="332">
        <f>C12*Inputs!$C$52</f>
        <v>34.799999999999997</v>
      </c>
      <c r="D46" s="332">
        <f>D12*Inputs!$C$52</f>
        <v>35.549999999999997</v>
      </c>
      <c r="E46" s="332">
        <f>E12*Inputs!$C$52</f>
        <v>33.834508249901567</v>
      </c>
      <c r="F46" s="332">
        <f>F12*Inputs!$C$52</f>
        <v>35.156365352920368</v>
      </c>
      <c r="G46" s="332">
        <f>G12*Inputs!$C$52</f>
        <v>39.402952889928436</v>
      </c>
      <c r="H46" s="14">
        <f>H12*Inputs!$C$52</f>
        <v>39.376409349116429</v>
      </c>
      <c r="I46" s="14">
        <f>I12*Inputs!$C$52</f>
        <v>39.372521162545866</v>
      </c>
      <c r="J46" s="14">
        <f>J12*Inputs!$C$52</f>
        <v>39.373124743854653</v>
      </c>
      <c r="K46" s="14">
        <f>K12*Inputs!$C$52</f>
        <v>39.373237038051634</v>
      </c>
      <c r="L46" s="14">
        <f>L12*Inputs!$C$52</f>
        <v>39.373910803233535</v>
      </c>
      <c r="M46" s="14">
        <f>M12*Inputs!$C$52</f>
        <v>39.373980987106648</v>
      </c>
      <c r="N46" s="191">
        <f>N12*Inputs!$C$52</f>
        <v>39.373616030966453</v>
      </c>
      <c r="O46" s="14">
        <f>O12*Inputs!$C$52</f>
        <v>39.373349332248615</v>
      </c>
      <c r="P46" s="14">
        <f>P12*Inputs!$C$52</f>
        <v>39.373166854178514</v>
      </c>
      <c r="Q46" s="14">
        <f>Q12*Inputs!$C$52</f>
        <v>39.372928229009929</v>
      </c>
      <c r="R46" s="14">
        <f>R12*Inputs!$C$52</f>
        <v>39.372675567066715</v>
      </c>
      <c r="S46" s="14">
        <f>S12*Inputs!$C$52</f>
        <v>39.483229203997148</v>
      </c>
      <c r="T46" s="14">
        <f>T12*Inputs!$C$52</f>
        <v>39.482836174307707</v>
      </c>
      <c r="U46" s="14">
        <f>U12*Inputs!$C$52</f>
        <v>39.371580698646127</v>
      </c>
      <c r="V46" s="14">
        <f>V12*Inputs!$C$52</f>
        <v>39.482106262027322</v>
      </c>
      <c r="W46" s="14">
        <f>W12*Inputs!$C$52</f>
        <v>39.370654271521012</v>
      </c>
      <c r="X46" s="188">
        <f>X12*Inputs!$C$52</f>
        <v>39.370289315380809</v>
      </c>
      <c r="Y46" s="14">
        <f>Y12*Inputs!$C$52</f>
        <v>39.480800841987381</v>
      </c>
      <c r="Z46" s="14">
        <f>Z12*Inputs!$C$52</f>
        <v>39.48035166519945</v>
      </c>
      <c r="AA46" s="14">
        <f>AA12*Inputs!$C$52</f>
        <v>39.479902488411511</v>
      </c>
      <c r="AB46" s="14">
        <f>AB12*Inputs!$C$52</f>
        <v>39.367664438526326</v>
      </c>
      <c r="AC46" s="14">
        <f>AC12*Inputs!$C$52</f>
        <v>39.367018746893656</v>
      </c>
      <c r="AD46" s="14">
        <f>AD12*Inputs!$C$52</f>
        <v>39.365867731374586</v>
      </c>
      <c r="AE46" s="14">
        <f>AE12*Inputs!$C$52</f>
        <v>39.365334333938911</v>
      </c>
      <c r="AF46" s="14">
        <f>AF12*Inputs!$C$52</f>
        <v>39.477754861894191</v>
      </c>
      <c r="AG46" s="14">
        <f>AG12*Inputs!$C$52</f>
        <v>39.364281575842185</v>
      </c>
      <c r="AH46" s="14">
        <f>AH12*Inputs!$C$52</f>
        <v>39.363916619701989</v>
      </c>
    </row>
    <row r="47" spans="1:36" ht="15">
      <c r="A47" s="8" t="s">
        <v>347</v>
      </c>
      <c r="B47" s="34">
        <v>1</v>
      </c>
      <c r="C47" s="332">
        <f>C13*Inputs!$C$54</f>
        <v>387.47129999999999</v>
      </c>
      <c r="D47" s="332">
        <f>D13*Inputs!$C$54</f>
        <v>403.35030000000012</v>
      </c>
      <c r="E47" s="332">
        <f>E13*Inputs!$C$54</f>
        <v>410.5746288489903</v>
      </c>
      <c r="F47" s="332">
        <f>F13*Inputs!$C$54</f>
        <v>398.88593046632485</v>
      </c>
      <c r="G47" s="332">
        <f>G13*Inputs!$C$54</f>
        <v>397.13322387061805</v>
      </c>
      <c r="H47" s="14">
        <f>H13*Inputs!$C$54</f>
        <v>409.75291259781466</v>
      </c>
      <c r="I47" s="14">
        <f>I13*Inputs!$C$54</f>
        <v>459.14056492157943</v>
      </c>
      <c r="J47" s="14">
        <f>J13*Inputs!$C$54</f>
        <v>507.56706445652713</v>
      </c>
      <c r="K47" s="14">
        <f>K13*Inputs!$C$54</f>
        <v>515.33259346004547</v>
      </c>
      <c r="L47" s="14">
        <f>L13*Inputs!$C$54</f>
        <v>518.25198424324083</v>
      </c>
      <c r="M47" s="14">
        <f>M13*Inputs!$C$54</f>
        <v>519.5523013925233</v>
      </c>
      <c r="N47" s="191">
        <f>N13*Inputs!$C$54</f>
        <v>517.20970413034001</v>
      </c>
      <c r="O47" s="14">
        <f>O13*Inputs!$C$54</f>
        <v>520.52878530768794</v>
      </c>
      <c r="P47" s="14">
        <f>P13*Inputs!$C$54</f>
        <v>515.08890901058385</v>
      </c>
      <c r="Q47" s="14">
        <f>Q13*Inputs!$C$54</f>
        <v>515.61650163905153</v>
      </c>
      <c r="R47" s="14">
        <f>R13*Inputs!$C$54</f>
        <v>515.19298516077708</v>
      </c>
      <c r="S47" s="14">
        <f>S13*Inputs!$C$54</f>
        <v>515.44833655694049</v>
      </c>
      <c r="T47" s="14">
        <f>T13*Inputs!$C$54</f>
        <v>511.37189848180293</v>
      </c>
      <c r="U47" s="14">
        <f>U13*Inputs!$C$54</f>
        <v>508.25397196677108</v>
      </c>
      <c r="V47" s="14">
        <f>V13*Inputs!$C$54</f>
        <v>516.36150420915828</v>
      </c>
      <c r="W47" s="14">
        <f>W13*Inputs!$C$54</f>
        <v>511.43261941375761</v>
      </c>
      <c r="X47" s="188">
        <f>X13*Inputs!$C$54</f>
        <v>515.642879949389</v>
      </c>
      <c r="Y47" s="14">
        <f>Y13*Inputs!$C$54</f>
        <v>520.32848579385836</v>
      </c>
      <c r="Z47" s="14">
        <f>Z13*Inputs!$C$54</f>
        <v>526.43718207749623</v>
      </c>
      <c r="AA47" s="14">
        <f>AA13*Inputs!$C$54</f>
        <v>534.84939492108731</v>
      </c>
      <c r="AB47" s="14">
        <f>AB13*Inputs!$C$54</f>
        <v>541.23062145186907</v>
      </c>
      <c r="AC47" s="14">
        <f>AC13*Inputs!$C$54</f>
        <v>541.04600434551082</v>
      </c>
      <c r="AD47" s="14">
        <f>AD13*Inputs!$C$54</f>
        <v>547.44723292713252</v>
      </c>
      <c r="AE47" s="14">
        <f>AE13*Inputs!$C$54</f>
        <v>553.47586952548511</v>
      </c>
      <c r="AF47" s="14">
        <f>AF13*Inputs!$C$54</f>
        <v>552.13578861760618</v>
      </c>
      <c r="AG47" s="14">
        <f>AG13*Inputs!$C$54</f>
        <v>552.38894030452059</v>
      </c>
      <c r="AH47" s="14">
        <f>AH13*Inputs!$C$54</f>
        <v>549.71978297752446</v>
      </c>
    </row>
    <row r="48" spans="1:36" ht="15">
      <c r="A48" s="8" t="s">
        <v>348</v>
      </c>
      <c r="B48" s="34">
        <v>1</v>
      </c>
      <c r="C48" s="332">
        <f>C14*Inputs!$C$55</f>
        <v>0</v>
      </c>
      <c r="D48" s="332">
        <f>D14*Inputs!$C$55</f>
        <v>0</v>
      </c>
      <c r="E48" s="332">
        <f>E14*Inputs!$C$55</f>
        <v>2.3000000000000003E-2</v>
      </c>
      <c r="F48" s="332">
        <f>F14*Inputs!$C$55</f>
        <v>2.3000000000000003E-2</v>
      </c>
      <c r="G48" s="332">
        <f>G14*Inputs!$C$55</f>
        <v>2.3000000000000003E-2</v>
      </c>
      <c r="H48" s="14">
        <f>H14*Inputs!$C$55</f>
        <v>2.3000000000000003E-2</v>
      </c>
      <c r="I48" s="14">
        <f>I14*Inputs!$C$55</f>
        <v>2.3000000000000003E-2</v>
      </c>
      <c r="J48" s="14">
        <f>J14*Inputs!$C$55</f>
        <v>2.3000000000000003E-2</v>
      </c>
      <c r="K48" s="14">
        <f>K14*Inputs!$C$55</f>
        <v>2.3000000000000003E-2</v>
      </c>
      <c r="L48" s="14">
        <f>L14*Inputs!$C$55</f>
        <v>2.3000000000000003E-2</v>
      </c>
      <c r="M48" s="14">
        <f>M14*Inputs!$C$55</f>
        <v>2.3000000000000003E-2</v>
      </c>
      <c r="N48" s="191">
        <f>N14*Inputs!$C$55</f>
        <v>2.3000000000000003E-2</v>
      </c>
      <c r="O48" s="14">
        <f>O14*Inputs!$C$55</f>
        <v>2.3000000000000003E-2</v>
      </c>
      <c r="P48" s="14">
        <f>P14*Inputs!$C$55</f>
        <v>2.3000000000000003E-2</v>
      </c>
      <c r="Q48" s="14">
        <f>Q14*Inputs!$C$55</f>
        <v>2.3000000000000003E-2</v>
      </c>
      <c r="R48" s="14">
        <f>R14*Inputs!$C$55</f>
        <v>2.3000000000000003E-2</v>
      </c>
      <c r="S48" s="14">
        <f>S14*Inputs!$C$55</f>
        <v>2.3000000000000003E-2</v>
      </c>
      <c r="T48" s="14">
        <f>T14*Inputs!$C$55</f>
        <v>2.3000000000000003E-2</v>
      </c>
      <c r="U48" s="14">
        <f>U14*Inputs!$C$55</f>
        <v>2.3000000000000003E-2</v>
      </c>
      <c r="V48" s="14">
        <f>V14*Inputs!$C$55</f>
        <v>2.3000000000000003E-2</v>
      </c>
      <c r="W48" s="14">
        <f>W14*Inputs!$C$55</f>
        <v>2.3000000000000003E-2</v>
      </c>
      <c r="X48" s="188">
        <f>X14*Inputs!$C$55</f>
        <v>2.3000000000000003E-2</v>
      </c>
      <c r="Y48" s="14">
        <f>Y14*Inputs!$C$55</f>
        <v>2.3000000000000003E-2</v>
      </c>
      <c r="Z48" s="14">
        <f>Z14*Inputs!$C$55</f>
        <v>2.3000000000000003E-2</v>
      </c>
      <c r="AA48" s="14">
        <f>AA14*Inputs!$C$55</f>
        <v>2.3000000000000003E-2</v>
      </c>
      <c r="AB48" s="14">
        <f>AB14*Inputs!$C$55</f>
        <v>2.3000000000000003E-2</v>
      </c>
      <c r="AC48" s="14">
        <f>AC14*Inputs!$C$55</f>
        <v>2.3000000000000003E-2</v>
      </c>
      <c r="AD48" s="14">
        <f>AD14*Inputs!$C$55</f>
        <v>2.3000000000000003E-2</v>
      </c>
      <c r="AE48" s="14">
        <f>AE14*Inputs!$C$55</f>
        <v>2.3000000000000003E-2</v>
      </c>
      <c r="AF48" s="14">
        <f>AF14*Inputs!$C$55</f>
        <v>2.3000000000000003E-2</v>
      </c>
      <c r="AG48" s="14">
        <f>AG14*Inputs!$C$55</f>
        <v>2.3000000000000003E-2</v>
      </c>
      <c r="AH48" s="14">
        <f>AH14*Inputs!$C$55</f>
        <v>2.3000000000000003E-2</v>
      </c>
    </row>
    <row r="49" spans="1:34" ht="15">
      <c r="A49" s="8" t="s">
        <v>344</v>
      </c>
      <c r="B49" s="34">
        <v>1</v>
      </c>
      <c r="C49" s="332">
        <f>C15*Inputs!$C$51</f>
        <v>2.7000000000000001E-3</v>
      </c>
      <c r="D49" s="332">
        <f>D15*Inputs!$C$51</f>
        <v>2.7000000000000001E-3</v>
      </c>
      <c r="E49" s="332">
        <f>E15*Inputs!$C$51</f>
        <v>2.7000000000000001E-3</v>
      </c>
      <c r="F49" s="332">
        <f>F15*Inputs!$C$51</f>
        <v>2.7000000000000001E-3</v>
      </c>
      <c r="G49" s="332">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1">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8">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2">
        <f>C16*Inputs!$C$57</f>
        <v>50.830000000000005</v>
      </c>
      <c r="D50" s="332">
        <f>D16*Inputs!$C$57</f>
        <v>84.830000000000013</v>
      </c>
      <c r="E50" s="332">
        <f>E16*Inputs!$C$57</f>
        <v>99.265096220530509</v>
      </c>
      <c r="F50" s="332">
        <f>F16*Inputs!$C$57</f>
        <v>147.99137468419065</v>
      </c>
      <c r="G50" s="332">
        <f>G16*Inputs!$C$57</f>
        <v>245.79143741797728</v>
      </c>
      <c r="H50" s="14">
        <f>H16*Inputs!$C$57</f>
        <v>249.43472790385229</v>
      </c>
      <c r="I50" s="14">
        <f>I16*Inputs!$C$57</f>
        <v>616.59709274898933</v>
      </c>
      <c r="J50" s="14">
        <f>J16*Inputs!$C$57</f>
        <v>864.53036336718878</v>
      </c>
      <c r="K50" s="14">
        <f>K16*Inputs!$C$57</f>
        <v>864.51089939964663</v>
      </c>
      <c r="L50" s="14">
        <f>L16*Inputs!$C$57</f>
        <v>864.24398124826655</v>
      </c>
      <c r="M50" s="14">
        <f>M16*Inputs!$C$57</f>
        <v>864.28552714389718</v>
      </c>
      <c r="N50" s="191">
        <f>N16*Inputs!$C$57</f>
        <v>864.46628024598328</v>
      </c>
      <c r="O50" s="14">
        <f>O16*Inputs!$C$57</f>
        <v>864.37624516805499</v>
      </c>
      <c r="P50" s="14">
        <f>P16*Inputs!$C$57</f>
        <v>864.32058505034706</v>
      </c>
      <c r="Q50" s="14">
        <f>Q16*Inputs!$C$57</f>
        <v>864.60252801877721</v>
      </c>
      <c r="R50" s="14">
        <f>R16*Inputs!$C$57</f>
        <v>865.43754360876665</v>
      </c>
      <c r="S50" s="14">
        <f>S16*Inputs!$C$57</f>
        <v>864.90131699420294</v>
      </c>
      <c r="T50" s="14">
        <f>T16*Inputs!$C$57</f>
        <v>869.01174270108595</v>
      </c>
      <c r="U50" s="14">
        <f>U16*Inputs!$C$57</f>
        <v>872.08522838277804</v>
      </c>
      <c r="V50" s="14">
        <f>V16*Inputs!$C$57</f>
        <v>887.51139016697891</v>
      </c>
      <c r="W50" s="14">
        <f>W16*Inputs!$C$57</f>
        <v>904.51595451202775</v>
      </c>
      <c r="X50" s="188">
        <f>X16*Inputs!$C$57</f>
        <v>908.7976858981549</v>
      </c>
      <c r="Y50" s="14">
        <f>Y16*Inputs!$C$57</f>
        <v>909.36919806791195</v>
      </c>
      <c r="Z50" s="14">
        <f>Z16*Inputs!$C$57</f>
        <v>909.88311510564381</v>
      </c>
      <c r="AA50" s="14">
        <f>AA16*Inputs!$C$57</f>
        <v>923.25417786077446</v>
      </c>
      <c r="AB50" s="14">
        <f>AB16*Inputs!$C$57</f>
        <v>940.99438911941411</v>
      </c>
      <c r="AC50" s="14">
        <f>AC16*Inputs!$C$57</f>
        <v>947.40406713242942</v>
      </c>
      <c r="AD50" s="14">
        <f>AD16*Inputs!$C$57</f>
        <v>1001.9602022602218</v>
      </c>
      <c r="AE50" s="14">
        <f>AE16*Inputs!$C$57</f>
        <v>1042.8731205604101</v>
      </c>
      <c r="AF50" s="14">
        <f>AF16*Inputs!$C$57</f>
        <v>1047.8281231044964</v>
      </c>
      <c r="AG50" s="14">
        <f>AG16*Inputs!$C$57</f>
        <v>1058.5909003846261</v>
      </c>
      <c r="AH50" s="14">
        <f>AH16*Inputs!$C$57</f>
        <v>1074.218645130914</v>
      </c>
    </row>
    <row r="51" spans="1:34" s="20" customFormat="1" ht="15">
      <c r="A51" s="8" t="s">
        <v>128</v>
      </c>
      <c r="B51" s="38"/>
      <c r="C51" s="335">
        <f t="shared" ref="C51:AH51" si="21">SUMPRODUCT($B42:$B50,C42:C50)</f>
        <v>1180.1739999999998</v>
      </c>
      <c r="D51" s="335">
        <f t="shared" si="21"/>
        <v>1235.633</v>
      </c>
      <c r="E51" s="335">
        <f t="shared" si="21"/>
        <v>1274.5182117098348</v>
      </c>
      <c r="F51" s="335">
        <f t="shared" si="21"/>
        <v>1322.6596699181164</v>
      </c>
      <c r="G51" s="335">
        <f t="shared" si="21"/>
        <v>1297.661549389574</v>
      </c>
      <c r="H51" s="19">
        <f t="shared" si="21"/>
        <v>1335.6190147703182</v>
      </c>
      <c r="I51" s="19">
        <f t="shared" si="21"/>
        <v>1792.6088859759629</v>
      </c>
      <c r="J51" s="19">
        <f t="shared" si="21"/>
        <v>2278.42954533788</v>
      </c>
      <c r="K51" s="19">
        <f t="shared" si="21"/>
        <v>2306.0165806173854</v>
      </c>
      <c r="L51" s="19">
        <f t="shared" si="21"/>
        <v>2325.5687638532045</v>
      </c>
      <c r="M51" s="19">
        <f t="shared" si="21"/>
        <v>2351.6020195418332</v>
      </c>
      <c r="N51" s="191">
        <f t="shared" si="21"/>
        <v>2373.3683612298773</v>
      </c>
      <c r="O51" s="19">
        <f t="shared" si="21"/>
        <v>2450.204381792877</v>
      </c>
      <c r="P51" s="19">
        <f t="shared" si="21"/>
        <v>2448.1060302640508</v>
      </c>
      <c r="Q51" s="19">
        <f t="shared" si="21"/>
        <v>2450.1825388527272</v>
      </c>
      <c r="R51" s="19">
        <f t="shared" si="21"/>
        <v>2459.8989436091324</v>
      </c>
      <c r="S51" s="19">
        <f t="shared" si="21"/>
        <v>2463.4370905144769</v>
      </c>
      <c r="T51" s="19">
        <f t="shared" si="21"/>
        <v>2472.3524954650284</v>
      </c>
      <c r="U51" s="19">
        <f t="shared" si="21"/>
        <v>2510.2375945183608</v>
      </c>
      <c r="V51" s="19">
        <f t="shared" si="21"/>
        <v>2592.8547809416609</v>
      </c>
      <c r="W51" s="19">
        <f t="shared" si="21"/>
        <v>2591.2888673851903</v>
      </c>
      <c r="X51" s="183">
        <f t="shared" si="21"/>
        <v>2599.8779836341264</v>
      </c>
      <c r="Y51" s="19">
        <f t="shared" si="21"/>
        <v>2618.5822663857607</v>
      </c>
      <c r="Z51" s="19">
        <f t="shared" si="21"/>
        <v>2623.675309630843</v>
      </c>
      <c r="AA51" s="19">
        <f t="shared" si="21"/>
        <v>2656.1572122314337</v>
      </c>
      <c r="AB51" s="19">
        <f t="shared" si="21"/>
        <v>2687.3284457726218</v>
      </c>
      <c r="AC51" s="19">
        <f t="shared" si="21"/>
        <v>2698.1327703770216</v>
      </c>
      <c r="AD51" s="19">
        <f t="shared" si="21"/>
        <v>2768.9307796343446</v>
      </c>
      <c r="AE51" s="19">
        <f t="shared" si="21"/>
        <v>2842.5050087539753</v>
      </c>
      <c r="AF51" s="19">
        <f t="shared" si="21"/>
        <v>2830.1908918269105</v>
      </c>
      <c r="AG51" s="19">
        <f t="shared" si="21"/>
        <v>2848.7584796752985</v>
      </c>
      <c r="AH51" s="19">
        <f t="shared" si="21"/>
        <v>2869.8370824270269</v>
      </c>
    </row>
    <row r="52" spans="1:34" s="20" customFormat="1" ht="15">
      <c r="A52" s="27" t="s">
        <v>329</v>
      </c>
      <c r="B52" s="39"/>
      <c r="C52" s="335">
        <f>SUM(C40:C50)</f>
        <v>1811.9724999999999</v>
      </c>
      <c r="D52" s="335">
        <f t="shared" ref="D52:I52" si="22">SUM(D42:D50)</f>
        <v>1807.1314999999997</v>
      </c>
      <c r="E52" s="335">
        <f t="shared" si="22"/>
        <v>1909.5257179860605</v>
      </c>
      <c r="F52" s="335">
        <f t="shared" si="22"/>
        <v>1857.865202135366</v>
      </c>
      <c r="G52" s="335">
        <f t="shared" si="22"/>
        <v>1816.5649966151739</v>
      </c>
      <c r="H52" s="19">
        <f t="shared" si="22"/>
        <v>1863.2582927497438</v>
      </c>
      <c r="I52" s="19">
        <f t="shared" si="22"/>
        <v>2330.6696783704974</v>
      </c>
      <c r="J52" s="19">
        <f t="shared" ref="J52:AH52" si="23">SUM(J42:J50)</f>
        <v>2826.9612473422867</v>
      </c>
      <c r="K52" s="19">
        <f t="shared" si="23"/>
        <v>2860.1791169048101</v>
      </c>
      <c r="L52" s="19">
        <f t="shared" si="23"/>
        <v>2879.731518060606</v>
      </c>
      <c r="M52" s="19">
        <f t="shared" si="23"/>
        <v>2905.7648463892269</v>
      </c>
      <c r="N52" s="191">
        <f t="shared" si="23"/>
        <v>2927.5308975173025</v>
      </c>
      <c r="O52" s="19">
        <f t="shared" si="23"/>
        <v>3004.3669180803017</v>
      </c>
      <c r="P52" s="19">
        <f t="shared" si="23"/>
        <v>3002.2687118314607</v>
      </c>
      <c r="Q52" s="19">
        <f t="shared" si="23"/>
        <v>3031.7826530312154</v>
      </c>
      <c r="R52" s="19">
        <f t="shared" si="23"/>
        <v>3041.4989851476275</v>
      </c>
      <c r="S52" s="19">
        <f t="shared" si="23"/>
        <v>3045.0377858129032</v>
      </c>
      <c r="T52" s="19">
        <f t="shared" si="23"/>
        <v>3053.9544256433237</v>
      </c>
      <c r="U52" s="19">
        <f t="shared" si="23"/>
        <v>3095.8994465062224</v>
      </c>
      <c r="V52" s="19">
        <f t="shared" si="23"/>
        <v>3182.5694360198436</v>
      </c>
      <c r="W52" s="19">
        <f t="shared" si="23"/>
        <v>3181.0041762233036</v>
      </c>
      <c r="X52" s="183">
        <f t="shared" si="23"/>
        <v>3189.5932198322471</v>
      </c>
      <c r="Y52" s="19">
        <f t="shared" si="23"/>
        <v>3208.297575223874</v>
      </c>
      <c r="Z52" s="19">
        <f t="shared" si="23"/>
        <v>3213.390763748941</v>
      </c>
      <c r="AA52" s="19">
        <f t="shared" si="23"/>
        <v>3245.8717946696243</v>
      </c>
      <c r="AB52" s="19">
        <f t="shared" si="23"/>
        <v>3277.0430282108118</v>
      </c>
      <c r="AC52" s="19">
        <f t="shared" si="23"/>
        <v>3287.8473528152117</v>
      </c>
      <c r="AD52" s="19">
        <f t="shared" si="23"/>
        <v>3361.5839403209861</v>
      </c>
      <c r="AE52" s="19">
        <f t="shared" si="23"/>
        <v>3435.1581694406168</v>
      </c>
      <c r="AF52" s="19">
        <f t="shared" si="23"/>
        <v>3422.844052513552</v>
      </c>
      <c r="AG52" s="19">
        <f t="shared" si="23"/>
        <v>3441.41164036194</v>
      </c>
      <c r="AH52" s="19">
        <f t="shared" si="23"/>
        <v>3462.4909695135921</v>
      </c>
    </row>
    <row r="53" spans="1:34" s="20" customFormat="1" ht="15">
      <c r="A53" s="27" t="s">
        <v>330</v>
      </c>
      <c r="B53" s="39"/>
      <c r="C53" s="335">
        <f>C20*Inputs!$C$60</f>
        <v>7.92</v>
      </c>
      <c r="D53" s="335">
        <f>D20*Inputs!$C$60</f>
        <v>9.57</v>
      </c>
      <c r="E53" s="335">
        <f>E20*Inputs!$C$60</f>
        <v>9.6508072206726183</v>
      </c>
      <c r="F53" s="335">
        <f>F20*Inputs!$C$60</f>
        <v>5.0085044254594751</v>
      </c>
      <c r="G53" s="335">
        <f>G20*Inputs!$C$60</f>
        <v>5.4438325499867544</v>
      </c>
      <c r="H53" s="19">
        <f>H20*Inputs!$C$60</f>
        <v>5.415662863996773</v>
      </c>
      <c r="I53" s="19">
        <f>I20*Inputs!$C$60</f>
        <v>5.468757934241717</v>
      </c>
      <c r="J53" s="19">
        <f>J20*Inputs!$C$60</f>
        <v>0.74166595632732102</v>
      </c>
      <c r="K53" s="19">
        <f>K20*Inputs!$C$60</f>
        <v>2.8257567978390479</v>
      </c>
      <c r="L53" s="19">
        <f>L20*Inputs!$C$60</f>
        <v>5.3709243718331789</v>
      </c>
      <c r="M53" s="19">
        <f>M20*Inputs!$C$60</f>
        <v>6.4260856326869655</v>
      </c>
      <c r="N53" s="191">
        <f>N20*Inputs!$C$60</f>
        <v>6.6434095434911642</v>
      </c>
      <c r="O53" s="19">
        <f>O20*Inputs!$C$60</f>
        <v>6.8011440637491241</v>
      </c>
      <c r="P53" s="19">
        <f>P20*Inputs!$C$60</f>
        <v>6.9086405001798967</v>
      </c>
      <c r="Q53" s="19">
        <f>Q20*Inputs!$C$60</f>
        <v>6.9892764049771978</v>
      </c>
      <c r="R53" s="19">
        <f>R20*Inputs!$C$60</f>
        <v>7.0273290629925862</v>
      </c>
      <c r="S53" s="19">
        <f>S20*Inputs!$C$60</f>
        <v>7.0649886888594571</v>
      </c>
      <c r="T53" s="19">
        <f>T20*Inputs!$C$60</f>
        <v>7.0678856930959721</v>
      </c>
      <c r="U53" s="19">
        <f>U20*Inputs!$C$60</f>
        <v>10.941419035020148</v>
      </c>
      <c r="V53" s="19">
        <f>V20*Inputs!$C$60</f>
        <v>11.967818917849458</v>
      </c>
      <c r="W53" s="19">
        <f>W20*Inputs!$C$60</f>
        <v>12.147243095874236</v>
      </c>
      <c r="X53" s="183">
        <f>X20*Inputs!$C$60</f>
        <v>12.217267132661615</v>
      </c>
      <c r="Y53" s="19">
        <f>Y20*Inputs!$C$60</f>
        <v>12.151885162850162</v>
      </c>
      <c r="Z53" s="19">
        <f>Z20*Inputs!$C$60</f>
        <v>10.782003766374352</v>
      </c>
      <c r="AA53" s="19">
        <f>AA20*Inputs!$C$60</f>
        <v>10.595507868091918</v>
      </c>
      <c r="AB53" s="19">
        <f>AB20*Inputs!$C$60</f>
        <v>10.191975329775653</v>
      </c>
      <c r="AC53" s="19">
        <f>AC20*Inputs!$C$60</f>
        <v>9.9484197387756108</v>
      </c>
      <c r="AD53" s="19">
        <f>AD20*Inputs!$C$60</f>
        <v>11.320659328142511</v>
      </c>
      <c r="AE53" s="19">
        <f>AE20*Inputs!$C$60</f>
        <v>11.140436222950386</v>
      </c>
      <c r="AF53" s="19">
        <f>AF20*Inputs!$C$60</f>
        <v>11.376072573459792</v>
      </c>
      <c r="AG53" s="19">
        <f>AG20*Inputs!$C$60</f>
        <v>11.380571719654439</v>
      </c>
      <c r="AH53" s="19">
        <f>AH20*Inputs!$C$60</f>
        <v>11.376762880833368</v>
      </c>
    </row>
    <row r="54" spans="1:34" s="20" customFormat="1" ht="15">
      <c r="A54" s="27" t="s">
        <v>222</v>
      </c>
      <c r="B54" s="39"/>
      <c r="C54" s="335">
        <f>C21*Inputs!$C$61</f>
        <v>809.05</v>
      </c>
      <c r="D54" s="335">
        <f>D21*Inputs!$C$61</f>
        <v>921.14</v>
      </c>
      <c r="E54" s="335">
        <f>E21*Inputs!$C$61</f>
        <v>915.68831762426214</v>
      </c>
      <c r="F54" s="335">
        <f>F21*Inputs!$C$61</f>
        <v>900.70581162413509</v>
      </c>
      <c r="G54" s="335">
        <f>G21*Inputs!$C$61</f>
        <v>876.64196279510838</v>
      </c>
      <c r="H54" s="19">
        <f>H21*Inputs!$C$61</f>
        <v>910.88329124363258</v>
      </c>
      <c r="I54" s="19">
        <f>I21*Inputs!$C$61</f>
        <v>931.23098534744133</v>
      </c>
      <c r="J54" s="19">
        <f>J21*Inputs!$C$61</f>
        <v>955.57994123214826</v>
      </c>
      <c r="K54" s="19">
        <f>K21*Inputs!$C$61</f>
        <v>981.32377261091585</v>
      </c>
      <c r="L54" s="19">
        <f>L21*Inputs!$C$61</f>
        <v>985.69671383407967</v>
      </c>
      <c r="M54" s="19">
        <f>M21*Inputs!$C$61</f>
        <v>980.83642977953559</v>
      </c>
      <c r="N54" s="191">
        <f>N21*Inputs!$C$61</f>
        <v>960.18370661412575</v>
      </c>
      <c r="O54" s="19">
        <f>O21*Inputs!$C$61</f>
        <v>947.68995872673406</v>
      </c>
      <c r="P54" s="19">
        <f>P21*Inputs!$C$61</f>
        <v>920.36866392808156</v>
      </c>
      <c r="Q54" s="19">
        <f>Q21*Inputs!$C$61</f>
        <v>899.94979586886984</v>
      </c>
      <c r="R54" s="19">
        <f>R21*Inputs!$C$61</f>
        <v>891.93973301584185</v>
      </c>
      <c r="S54" s="19">
        <f>S21*Inputs!$C$61</f>
        <v>888.62302364786922</v>
      </c>
      <c r="T54" s="19">
        <f>T21*Inputs!$C$61</f>
        <v>861.39468297928886</v>
      </c>
      <c r="U54" s="19">
        <f>U21*Inputs!$C$61</f>
        <v>821.30268176445099</v>
      </c>
      <c r="V54" s="19">
        <f>V21*Inputs!$C$61</f>
        <v>821.52759633741061</v>
      </c>
      <c r="W54" s="19">
        <f>W21*Inputs!$C$61</f>
        <v>792.03656967679933</v>
      </c>
      <c r="X54" s="183">
        <f>X21*Inputs!$C$61</f>
        <v>805.13078022582613</v>
      </c>
      <c r="Y54" s="19">
        <f>Y21*Inputs!$C$61</f>
        <v>816.97774831090635</v>
      </c>
      <c r="Z54" s="19">
        <f>Z21*Inputs!$C$61</f>
        <v>842.84947348456421</v>
      </c>
      <c r="AA54" s="19">
        <f>AA21*Inputs!$C$61</f>
        <v>867.41478418127724</v>
      </c>
      <c r="AB54" s="19">
        <f>AB21*Inputs!$C$61</f>
        <v>882.33769170344726</v>
      </c>
      <c r="AC54" s="19">
        <f>AC21*Inputs!$C$61</f>
        <v>872.643320727527</v>
      </c>
      <c r="AD54" s="19">
        <f>AD21*Inputs!$C$61</f>
        <v>864.13747712929614</v>
      </c>
      <c r="AE54" s="19">
        <f>AE21*Inputs!$C$61</f>
        <v>858.13508945397894</v>
      </c>
      <c r="AF54" s="19">
        <f>AF21*Inputs!$C$61</f>
        <v>850.25924121576247</v>
      </c>
      <c r="AG54" s="19">
        <f>AG21*Inputs!$C$61</f>
        <v>838.98306601591537</v>
      </c>
      <c r="AH54" s="19">
        <f>AH21*Inputs!$C$61</f>
        <v>811.03654312624951</v>
      </c>
    </row>
    <row r="55" spans="1:34" s="20" customFormat="1" ht="15">
      <c r="A55" s="27" t="s">
        <v>58</v>
      </c>
      <c r="B55" s="39"/>
      <c r="C55" s="335">
        <f>SUM(C52:C54)</f>
        <v>2628.9425000000001</v>
      </c>
      <c r="D55" s="335">
        <f t="shared" ref="D55:AH55" si="24">SUM(D52:D54)</f>
        <v>2737.8414999999995</v>
      </c>
      <c r="E55" s="335">
        <f t="shared" si="24"/>
        <v>2834.8648428309953</v>
      </c>
      <c r="F55" s="335">
        <f t="shared" si="24"/>
        <v>2763.5795181849608</v>
      </c>
      <c r="G55" s="335">
        <f t="shared" si="24"/>
        <v>2698.6507919602691</v>
      </c>
      <c r="H55" s="19">
        <f t="shared" si="24"/>
        <v>2779.5572468573732</v>
      </c>
      <c r="I55" s="19">
        <f t="shared" si="24"/>
        <v>3267.3694216521803</v>
      </c>
      <c r="J55" s="19">
        <f t="shared" si="24"/>
        <v>3783.2828545307621</v>
      </c>
      <c r="K55" s="19">
        <f t="shared" si="24"/>
        <v>3844.3286463135651</v>
      </c>
      <c r="L55" s="19">
        <f t="shared" si="24"/>
        <v>3870.7991562665188</v>
      </c>
      <c r="M55" s="19">
        <f t="shared" si="24"/>
        <v>3893.0273618014494</v>
      </c>
      <c r="N55" s="191">
        <f t="shared" si="24"/>
        <v>3894.3580136749192</v>
      </c>
      <c r="O55" s="19">
        <f t="shared" si="24"/>
        <v>3958.8580208707849</v>
      </c>
      <c r="P55" s="19">
        <f t="shared" si="24"/>
        <v>3929.5460162597219</v>
      </c>
      <c r="Q55" s="19">
        <f t="shared" si="24"/>
        <v>3938.7217253050626</v>
      </c>
      <c r="R55" s="19">
        <f t="shared" si="24"/>
        <v>3940.4660472264618</v>
      </c>
      <c r="S55" s="19">
        <f t="shared" si="24"/>
        <v>3940.7257981496318</v>
      </c>
      <c r="T55" s="19">
        <f t="shared" si="24"/>
        <v>3922.4169943157085</v>
      </c>
      <c r="U55" s="19">
        <f t="shared" si="24"/>
        <v>3928.1435473056936</v>
      </c>
      <c r="V55" s="19">
        <f t="shared" si="24"/>
        <v>4016.0648512751036</v>
      </c>
      <c r="W55" s="19">
        <f t="shared" si="24"/>
        <v>3985.1879889959773</v>
      </c>
      <c r="X55" s="183">
        <f t="shared" si="24"/>
        <v>4006.9412671907348</v>
      </c>
      <c r="Y55" s="19">
        <f t="shared" si="24"/>
        <v>4037.4272086976307</v>
      </c>
      <c r="Z55" s="19">
        <f t="shared" si="24"/>
        <v>4067.0222409998796</v>
      </c>
      <c r="AA55" s="19">
        <f t="shared" si="24"/>
        <v>4123.8820867189934</v>
      </c>
      <c r="AB55" s="19">
        <f t="shared" si="24"/>
        <v>4169.5726952440345</v>
      </c>
      <c r="AC55" s="19">
        <f t="shared" si="24"/>
        <v>4170.439093281514</v>
      </c>
      <c r="AD55" s="19">
        <f t="shared" si="24"/>
        <v>4237.0420767784244</v>
      </c>
      <c r="AE55" s="19">
        <f t="shared" si="24"/>
        <v>4304.4336951175464</v>
      </c>
      <c r="AF55" s="19">
        <f t="shared" si="24"/>
        <v>4284.479366302774</v>
      </c>
      <c r="AG55" s="19">
        <f t="shared" si="24"/>
        <v>4291.7752780975097</v>
      </c>
      <c r="AH55" s="19">
        <f t="shared" si="24"/>
        <v>4284.9042755206747</v>
      </c>
    </row>
    <row r="57" spans="1:34">
      <c r="A57" s="1" t="s">
        <v>140</v>
      </c>
      <c r="B57" s="13"/>
      <c r="D57" s="334"/>
      <c r="E57" s="334"/>
      <c r="F57" s="334"/>
      <c r="G57" s="334"/>
      <c r="H57" s="16"/>
      <c r="I57" s="16"/>
      <c r="J57" s="16"/>
      <c r="K57" s="16"/>
      <c r="L57" s="16"/>
      <c r="M57" s="16"/>
      <c r="N57" s="390" t="s">
        <v>0</v>
      </c>
    </row>
    <row r="58" spans="1:34" ht="15">
      <c r="A58" s="8" t="s">
        <v>61</v>
      </c>
      <c r="B58" s="34">
        <v>0</v>
      </c>
      <c r="C58" s="332">
        <f>C40*Inputs!$H44</f>
        <v>0</v>
      </c>
      <c r="D58" s="332">
        <f>D40*Inputs!$H44</f>
        <v>0</v>
      </c>
      <c r="E58" s="332">
        <f>E40*Inputs!$H44</f>
        <v>0</v>
      </c>
      <c r="F58" s="332">
        <f>F40*Inputs!$H44</f>
        <v>0</v>
      </c>
      <c r="G58" s="332">
        <f>G40*Inputs!$H44</f>
        <v>0</v>
      </c>
      <c r="H58" s="14">
        <f>H40*Inputs!$H44</f>
        <v>0</v>
      </c>
      <c r="I58" s="14">
        <f>I40*Inputs!$H44</f>
        <v>0</v>
      </c>
      <c r="J58" s="14">
        <f>J40*Inputs!$H44</f>
        <v>0</v>
      </c>
      <c r="K58" s="14">
        <f>K40*Inputs!$H44</f>
        <v>0</v>
      </c>
      <c r="L58" s="14">
        <f>L40*Inputs!$H44</f>
        <v>0</v>
      </c>
      <c r="M58" s="14">
        <f>M40*Inputs!$H44</f>
        <v>0</v>
      </c>
      <c r="N58" s="191">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8">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2">
        <f>C41*Inputs!$H47</f>
        <v>0</v>
      </c>
      <c r="D59" s="332">
        <f>D41*Inputs!$H47</f>
        <v>0</v>
      </c>
      <c r="E59" s="332" t="s">
        <v>376</v>
      </c>
      <c r="F59" s="332">
        <f>F41*Inputs!$H47</f>
        <v>0</v>
      </c>
      <c r="G59" s="332">
        <f>G41*Inputs!$H47</f>
        <v>0</v>
      </c>
      <c r="H59" s="14">
        <f>H41*Inputs!$H47</f>
        <v>0</v>
      </c>
      <c r="I59" s="14">
        <f>I41*Inputs!$H47</f>
        <v>0</v>
      </c>
      <c r="J59" s="14">
        <f>J41*Inputs!$H47</f>
        <v>0</v>
      </c>
      <c r="K59" s="14">
        <f>K41*Inputs!$H47</f>
        <v>0</v>
      </c>
      <c r="L59" s="14">
        <f>L41*Inputs!$H47</f>
        <v>0</v>
      </c>
      <c r="M59" s="14">
        <f>M41*Inputs!$H47</f>
        <v>0</v>
      </c>
      <c r="N59" s="191">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8">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2">
        <f>C42*Inputs!$H48</f>
        <v>568.61865</v>
      </c>
      <c r="D60" s="332">
        <f>D42*Inputs!$H48</f>
        <v>514.34864999999991</v>
      </c>
      <c r="E60" s="332">
        <f>E42*Inputs!$H48</f>
        <v>571.50675564860342</v>
      </c>
      <c r="F60" s="332">
        <f>F42*Inputs!$H48</f>
        <v>481.68497899552494</v>
      </c>
      <c r="G60" s="332">
        <f>G42*Inputs!$H48</f>
        <v>467.0131025030401</v>
      </c>
      <c r="H60" s="14">
        <f>H42*Inputs!$H48</f>
        <v>474.8753501814831</v>
      </c>
      <c r="I60" s="14">
        <f>I42*Inputs!$H48</f>
        <v>484.25471315508122</v>
      </c>
      <c r="J60" s="14">
        <f>J42*Inputs!$H48</f>
        <v>493.67853180396617</v>
      </c>
      <c r="K60" s="14">
        <f>K42*Inputs!$H48</f>
        <v>498.74628265868222</v>
      </c>
      <c r="L60" s="14">
        <f>L42*Inputs!$H48</f>
        <v>498.74647878666144</v>
      </c>
      <c r="M60" s="14">
        <f>M42*Inputs!$H48</f>
        <v>498.74654416265457</v>
      </c>
      <c r="N60" s="191">
        <f>N42*Inputs!$H48</f>
        <v>498.74628265868222</v>
      </c>
      <c r="O60" s="14">
        <f>O42*Inputs!$H48</f>
        <v>498.74628265868222</v>
      </c>
      <c r="P60" s="14">
        <f>P42*Inputs!$H48</f>
        <v>498.74641341066842</v>
      </c>
      <c r="Q60" s="14">
        <f>Q42*Inputs!$H48</f>
        <v>523.44010276063887</v>
      </c>
      <c r="R60" s="14">
        <f>R42*Inputs!$H48</f>
        <v>523.44003738464573</v>
      </c>
      <c r="S60" s="14">
        <f>S42*Inputs!$H48</f>
        <v>523.44062576858335</v>
      </c>
      <c r="T60" s="14">
        <f>T42*Inputs!$H48</f>
        <v>523.44173716046555</v>
      </c>
      <c r="U60" s="14">
        <f>U42*Inputs!$H48</f>
        <v>527.09566678907527</v>
      </c>
      <c r="V60" s="14">
        <f>V42*Inputs!$H48</f>
        <v>530.74318957036417</v>
      </c>
      <c r="W60" s="14">
        <f>W42*Inputs!$H48</f>
        <v>530.74377795430189</v>
      </c>
      <c r="X60" s="188">
        <f>X42*Inputs!$H48</f>
        <v>530.74371257830876</v>
      </c>
      <c r="Y60" s="14">
        <f>Y42*Inputs!$H48</f>
        <v>530.74377795430189</v>
      </c>
      <c r="Z60" s="14">
        <f>Z42*Inputs!$H48</f>
        <v>530.74390870628804</v>
      </c>
      <c r="AA60" s="14">
        <f>AA42*Inputs!$H48</f>
        <v>530.74312419437115</v>
      </c>
      <c r="AB60" s="14">
        <f>AB42*Inputs!$H48</f>
        <v>530.74312419437115</v>
      </c>
      <c r="AC60" s="14">
        <f>AC42*Inputs!$H48</f>
        <v>530.74312419437115</v>
      </c>
      <c r="AD60" s="14">
        <f>AD42*Inputs!$H48</f>
        <v>533.38784461797729</v>
      </c>
      <c r="AE60" s="14">
        <f>AE42*Inputs!$H48</f>
        <v>533.38784461797729</v>
      </c>
      <c r="AF60" s="14">
        <f>AF42*Inputs!$H48</f>
        <v>533.38784461797729</v>
      </c>
      <c r="AG60" s="14">
        <f>AG42*Inputs!$H48</f>
        <v>533.38784461797729</v>
      </c>
      <c r="AH60" s="14">
        <f>AH42*Inputs!$H48</f>
        <v>533.38849837790815</v>
      </c>
    </row>
    <row r="61" spans="1:34" ht="15">
      <c r="A61" s="8" t="s">
        <v>59</v>
      </c>
      <c r="B61" s="34">
        <v>0</v>
      </c>
      <c r="C61" s="332">
        <f>C43*Inputs!$H53</f>
        <v>0</v>
      </c>
      <c r="D61" s="332">
        <f>D43*Inputs!$H53</f>
        <v>0</v>
      </c>
      <c r="E61" s="332">
        <f>E43*Inputs!$H53</f>
        <v>0</v>
      </c>
      <c r="F61" s="332">
        <f>F43*Inputs!$H53</f>
        <v>0</v>
      </c>
      <c r="G61" s="332">
        <f>G43*Inputs!$H53</f>
        <v>0</v>
      </c>
      <c r="H61" s="14">
        <f>H43*Inputs!$H53</f>
        <v>0</v>
      </c>
      <c r="I61" s="14">
        <f>I43*Inputs!$H53</f>
        <v>0</v>
      </c>
      <c r="J61" s="14">
        <f>J43*Inputs!$H53</f>
        <v>0</v>
      </c>
      <c r="K61" s="14">
        <f>K43*Inputs!$H53</f>
        <v>0</v>
      </c>
      <c r="L61" s="14">
        <f>L43*Inputs!$H53</f>
        <v>0</v>
      </c>
      <c r="M61" s="14">
        <f>M43*Inputs!$H53</f>
        <v>0</v>
      </c>
      <c r="N61" s="191">
        <f>N43*Inputs!$H53</f>
        <v>0</v>
      </c>
      <c r="O61" s="14">
        <f>O43*Inputs!$H53</f>
        <v>0</v>
      </c>
      <c r="P61" s="14">
        <f>P43*Inputs!$H53</f>
        <v>0</v>
      </c>
      <c r="Q61" s="14">
        <f>Q43*Inputs!$H53</f>
        <v>0</v>
      </c>
      <c r="R61" s="14">
        <f>R43*Inputs!$H53</f>
        <v>0</v>
      </c>
      <c r="S61" s="14">
        <f>S43*Inputs!$H53</f>
        <v>0</v>
      </c>
      <c r="T61" s="14">
        <f>T43*Inputs!$H53</f>
        <v>0</v>
      </c>
      <c r="U61" s="14">
        <f>U43*Inputs!$H53</f>
        <v>0</v>
      </c>
      <c r="V61" s="14">
        <f>V43*Inputs!$H53</f>
        <v>0</v>
      </c>
      <c r="W61" s="14">
        <f>W43*Inputs!$H53</f>
        <v>0</v>
      </c>
      <c r="X61" s="188">
        <f>X43*Inputs!$H53</f>
        <v>0</v>
      </c>
      <c r="Y61" s="14">
        <f>Y43*Inputs!$H53</f>
        <v>0</v>
      </c>
      <c r="Z61" s="14">
        <f>Z43*Inputs!$H53</f>
        <v>0</v>
      </c>
      <c r="AA61" s="14">
        <f>AA43*Inputs!$H53</f>
        <v>0</v>
      </c>
      <c r="AB61" s="14">
        <f>AB43*Inputs!$H53</f>
        <v>0</v>
      </c>
      <c r="AC61" s="14">
        <f>AC43*Inputs!$H53</f>
        <v>0</v>
      </c>
      <c r="AD61" s="14">
        <f>AD43*Inputs!$H53</f>
        <v>0</v>
      </c>
      <c r="AE61" s="14">
        <f>AE43*Inputs!$H53</f>
        <v>0</v>
      </c>
      <c r="AF61" s="14">
        <f>AF43*Inputs!$H53</f>
        <v>0</v>
      </c>
      <c r="AG61" s="14">
        <f>AG43*Inputs!$H53</f>
        <v>0</v>
      </c>
      <c r="AH61" s="14">
        <f>AH43*Inputs!$H53</f>
        <v>0</v>
      </c>
    </row>
    <row r="62" spans="1:34" ht="15">
      <c r="A62" s="8" t="s">
        <v>121</v>
      </c>
      <c r="B62" s="34">
        <v>1</v>
      </c>
      <c r="C62" s="332">
        <f>C44*Inputs!$H46</f>
        <v>636.36299999999994</v>
      </c>
      <c r="D62" s="332">
        <f>D44*Inputs!$H46</f>
        <v>640.71</v>
      </c>
      <c r="E62" s="332">
        <f>E44*Inputs!$H46</f>
        <v>657.73644830137107</v>
      </c>
      <c r="F62" s="332">
        <f>F44*Inputs!$H46</f>
        <v>666.54026722321237</v>
      </c>
      <c r="G62" s="332">
        <f>G44*Inputs!$H46</f>
        <v>553.77740943994525</v>
      </c>
      <c r="H62" s="14">
        <f>H44*Inputs!$H46</f>
        <v>573.32633617758154</v>
      </c>
      <c r="I62" s="14">
        <f>I44*Inputs!$H46</f>
        <v>609.72570417856355</v>
      </c>
      <c r="J62" s="14">
        <f>J44*Inputs!$H46</f>
        <v>780.23996124327846</v>
      </c>
      <c r="K62" s="14">
        <f>K44*Inputs!$H46</f>
        <v>798.09673339767767</v>
      </c>
      <c r="L62" s="14">
        <f>L44*Inputs!$H46</f>
        <v>813.30586655261743</v>
      </c>
      <c r="M62" s="14">
        <f>M44*Inputs!$H46</f>
        <v>835.5280567664754</v>
      </c>
      <c r="N62" s="191">
        <f>N44*Inputs!$H46</f>
        <v>857.06375249032897</v>
      </c>
      <c r="O62" s="14">
        <f>O44*Inputs!$H46</f>
        <v>923.31026953639685</v>
      </c>
      <c r="P62" s="14">
        <f>P44*Inputs!$H46</f>
        <v>926.36790016404746</v>
      </c>
      <c r="Q62" s="14">
        <f>Q44*Inputs!$H46</f>
        <v>927.50839061929992</v>
      </c>
      <c r="R62" s="14">
        <f>R44*Inputs!$H46</f>
        <v>935.88303309526975</v>
      </c>
      <c r="S62" s="14">
        <f>S44*Inputs!$H46</f>
        <v>939.22065473340285</v>
      </c>
      <c r="T62" s="14">
        <f>T44*Inputs!$H46</f>
        <v>947.21428404704852</v>
      </c>
      <c r="U62" s="14">
        <f>U44*Inputs!$H46</f>
        <v>981.45099987314916</v>
      </c>
      <c r="V62" s="14">
        <f>V44*Inputs!$H46</f>
        <v>1034.5266700231468</v>
      </c>
      <c r="W62" s="14">
        <f>W44*Inputs!$H46</f>
        <v>1022.3495430190956</v>
      </c>
      <c r="X62" s="188">
        <f>X44*Inputs!$H46</f>
        <v>1022.4372833740816</v>
      </c>
      <c r="Y62" s="14">
        <f>Y44*Inputs!$H46</f>
        <v>1034.440271263803</v>
      </c>
      <c r="Z62" s="14">
        <f>Z44*Inputs!$H46</f>
        <v>1033.0640624542534</v>
      </c>
      <c r="AA62" s="14">
        <f>AA44*Inputs!$H46</f>
        <v>1042.6932310150448</v>
      </c>
      <c r="AB62" s="14">
        <f>AB44*Inputs!$H46</f>
        <v>1049.1390614365312</v>
      </c>
      <c r="AC62" s="14">
        <f>AC44*Inputs!$H46</f>
        <v>1053.2609798869692</v>
      </c>
      <c r="AD62" s="14">
        <f>AD44*Inputs!$H46</f>
        <v>1062.1185967940542</v>
      </c>
      <c r="AE62" s="14">
        <f>AE44*Inputs!$H46</f>
        <v>1086.0884836507271</v>
      </c>
      <c r="AF62" s="14">
        <f>AF44*Inputs!$H46</f>
        <v>1071.6511704686225</v>
      </c>
      <c r="AG62" s="14">
        <f>AG44*Inputs!$H46</f>
        <v>1078.549789419279</v>
      </c>
      <c r="AH62" s="14">
        <f>AH44*Inputs!$H46</f>
        <v>1085.8581316789982</v>
      </c>
    </row>
    <row r="63" spans="1:34" ht="15">
      <c r="A63" s="8" t="s">
        <v>50</v>
      </c>
      <c r="B63" s="34">
        <v>1</v>
      </c>
      <c r="C63" s="332">
        <f>C45*Inputs!$H49</f>
        <v>0</v>
      </c>
      <c r="D63" s="332">
        <f>D45*Inputs!$H49</f>
        <v>0</v>
      </c>
      <c r="E63" s="332">
        <f>E45*Inputs!$H49</f>
        <v>2.2500000000000001E-6</v>
      </c>
      <c r="F63" s="332">
        <f>F45*Inputs!$H49</f>
        <v>2.2500000000000001E-6</v>
      </c>
      <c r="G63" s="332">
        <f>G45*Inputs!$H49</f>
        <v>2.2500000000000001E-6</v>
      </c>
      <c r="H63" s="14">
        <f>H45*Inputs!$H49</f>
        <v>2.2500000000000001E-6</v>
      </c>
      <c r="I63" s="14">
        <f>I45*Inputs!$H49</f>
        <v>2.2500000000000001E-6</v>
      </c>
      <c r="J63" s="14">
        <f>J45*Inputs!$H49</f>
        <v>2.2500000000000001E-6</v>
      </c>
      <c r="K63" s="14">
        <f>K45*Inputs!$H49</f>
        <v>2.2500000000000001E-6</v>
      </c>
      <c r="L63" s="14">
        <f>L45*Inputs!$H49</f>
        <v>2.2500000000000001E-6</v>
      </c>
      <c r="M63" s="14">
        <f>M45*Inputs!$H49</f>
        <v>2.2500000000000001E-6</v>
      </c>
      <c r="N63" s="191">
        <f>N45*Inputs!$H49</f>
        <v>2.2500000000000001E-6</v>
      </c>
      <c r="O63" s="14">
        <f>O45*Inputs!$H49</f>
        <v>2.2500000000000001E-6</v>
      </c>
      <c r="P63" s="14">
        <f>P45*Inputs!$H49</f>
        <v>2.2500000000000001E-6</v>
      </c>
      <c r="Q63" s="14">
        <f>Q45*Inputs!$H49</f>
        <v>2.2500000000000001E-6</v>
      </c>
      <c r="R63" s="14">
        <f>R45*Inputs!$H49</f>
        <v>2.2500000000000001E-6</v>
      </c>
      <c r="S63" s="14">
        <f>S45*Inputs!$H49</f>
        <v>2.2500000000000001E-6</v>
      </c>
      <c r="T63" s="14">
        <f>T45*Inputs!$H49</f>
        <v>2.2500000000000001E-6</v>
      </c>
      <c r="U63" s="14">
        <f>U45*Inputs!$H49</f>
        <v>2.2500000000000001E-6</v>
      </c>
      <c r="V63" s="14">
        <f>V45*Inputs!$H49</f>
        <v>2.2500000000000001E-6</v>
      </c>
      <c r="W63" s="14">
        <f>W45*Inputs!$H49</f>
        <v>2.2500000000000001E-6</v>
      </c>
      <c r="X63" s="188">
        <f>X45*Inputs!$H49</f>
        <v>2.2500000000000001E-6</v>
      </c>
      <c r="Y63" s="14">
        <f>Y45*Inputs!$H49</f>
        <v>2.2500000000000001E-6</v>
      </c>
      <c r="Z63" s="14">
        <f>Z45*Inputs!$H49</f>
        <v>2.2500000000000001E-6</v>
      </c>
      <c r="AA63" s="14">
        <f>AA45*Inputs!$H49</f>
        <v>2.2500000000000001E-6</v>
      </c>
      <c r="AB63" s="14">
        <f>AB45*Inputs!$H49</f>
        <v>2.2500000000000001E-6</v>
      </c>
      <c r="AC63" s="14">
        <f>AC45*Inputs!$H49</f>
        <v>2.2500000000000001E-6</v>
      </c>
      <c r="AD63" s="14">
        <f>AD45*Inputs!$H49</f>
        <v>2.2500000000000001E-6</v>
      </c>
      <c r="AE63" s="14">
        <f>AE45*Inputs!$H49</f>
        <v>2.2500000000000001E-6</v>
      </c>
      <c r="AF63" s="14">
        <f>AF45*Inputs!$H49</f>
        <v>2.2500000000000001E-6</v>
      </c>
      <c r="AG63" s="14">
        <f>AG45*Inputs!$H49</f>
        <v>2.2500000000000001E-6</v>
      </c>
      <c r="AH63" s="14">
        <f>AH45*Inputs!$H49</f>
        <v>2.2500000000000001E-6</v>
      </c>
    </row>
    <row r="64" spans="1:34" ht="15">
      <c r="A64" s="8" t="s">
        <v>51</v>
      </c>
      <c r="B64" s="34">
        <v>1</v>
      </c>
      <c r="C64" s="332">
        <f>C46*Inputs!$H52</f>
        <v>31.319999999999997</v>
      </c>
      <c r="D64" s="332">
        <f>D46*Inputs!$H52</f>
        <v>31.994999999999997</v>
      </c>
      <c r="E64" s="332">
        <f>E46*Inputs!$H52</f>
        <v>30.451057424911411</v>
      </c>
      <c r="F64" s="332">
        <f>F46*Inputs!$H52</f>
        <v>31.640728817628332</v>
      </c>
      <c r="G64" s="332">
        <f>G46*Inputs!$H52</f>
        <v>35.462657600935593</v>
      </c>
      <c r="H64" s="14">
        <f>H46*Inputs!$H52</f>
        <v>35.438768414204787</v>
      </c>
      <c r="I64" s="14">
        <f>I46*Inputs!$H52</f>
        <v>35.435269046291282</v>
      </c>
      <c r="J64" s="14">
        <f>J46*Inputs!$H52</f>
        <v>35.435812269469189</v>
      </c>
      <c r="K64" s="14">
        <f>K46*Inputs!$H52</f>
        <v>35.435913334246472</v>
      </c>
      <c r="L64" s="14">
        <f>L46*Inputs!$H52</f>
        <v>35.436519722910184</v>
      </c>
      <c r="M64" s="14">
        <f>M46*Inputs!$H52</f>
        <v>35.436582888395982</v>
      </c>
      <c r="N64" s="191">
        <f>N46*Inputs!$H52</f>
        <v>35.436254427869805</v>
      </c>
      <c r="O64" s="14">
        <f>O46*Inputs!$H52</f>
        <v>35.436014399023755</v>
      </c>
      <c r="P64" s="14">
        <f>P46*Inputs!$H52</f>
        <v>35.435850168760666</v>
      </c>
      <c r="Q64" s="14">
        <f>Q46*Inputs!$H52</f>
        <v>35.435635406108936</v>
      </c>
      <c r="R64" s="14">
        <f>R46*Inputs!$H52</f>
        <v>35.435408010360042</v>
      </c>
      <c r="S64" s="14">
        <f>S46*Inputs!$H52</f>
        <v>35.534906283597437</v>
      </c>
      <c r="T64" s="14">
        <f>T46*Inputs!$H52</f>
        <v>35.534552556876939</v>
      </c>
      <c r="U64" s="14">
        <f>U46*Inputs!$H52</f>
        <v>35.434422628781519</v>
      </c>
      <c r="V64" s="14">
        <f>V46*Inputs!$H52</f>
        <v>35.533895635824592</v>
      </c>
      <c r="W64" s="14">
        <f>W46*Inputs!$H52</f>
        <v>35.433588844368913</v>
      </c>
      <c r="X64" s="188">
        <f>X46*Inputs!$H52</f>
        <v>35.433260383842729</v>
      </c>
      <c r="Y64" s="14">
        <f>Y46*Inputs!$H52</f>
        <v>35.532720757788645</v>
      </c>
      <c r="Z64" s="14">
        <f>Z46*Inputs!$H52</f>
        <v>35.532316498679506</v>
      </c>
      <c r="AA64" s="14">
        <f>AA46*Inputs!$H52</f>
        <v>35.53191223957036</v>
      </c>
      <c r="AB64" s="14">
        <f>AB46*Inputs!$H52</f>
        <v>35.430897994673693</v>
      </c>
      <c r="AC64" s="14">
        <f>AC46*Inputs!$H52</f>
        <v>35.430316872204294</v>
      </c>
      <c r="AD64" s="14">
        <f>AD46*Inputs!$H52</f>
        <v>35.429280958237129</v>
      </c>
      <c r="AE64" s="14">
        <f>AE46*Inputs!$H52</f>
        <v>35.428800900545021</v>
      </c>
      <c r="AF64" s="14">
        <f>AF46*Inputs!$H52</f>
        <v>35.529979375704769</v>
      </c>
      <c r="AG64" s="14">
        <f>AG46*Inputs!$H52</f>
        <v>35.427853418257968</v>
      </c>
      <c r="AH64" s="14">
        <f>AH46*Inputs!$H52</f>
        <v>35.427524957731791</v>
      </c>
    </row>
    <row r="65" spans="1:34" ht="15">
      <c r="A65" s="8" t="s">
        <v>347</v>
      </c>
      <c r="B65" s="34">
        <v>1</v>
      </c>
      <c r="C65" s="332">
        <f>C47*Inputs!$H54</f>
        <v>348.72417000000002</v>
      </c>
      <c r="D65" s="332">
        <f>D47*Inputs!$H54</f>
        <v>363.0152700000001</v>
      </c>
      <c r="E65" s="332">
        <f>E47*Inputs!$H54</f>
        <v>369.5171659640913</v>
      </c>
      <c r="F65" s="332">
        <f>F47*Inputs!$H54</f>
        <v>358.99733741969237</v>
      </c>
      <c r="G65" s="332">
        <f>G47*Inputs!$H54</f>
        <v>357.41990148355626</v>
      </c>
      <c r="H65" s="14">
        <f>H47*Inputs!$H54</f>
        <v>368.77762133803321</v>
      </c>
      <c r="I65" s="14">
        <f>I47*Inputs!$H54</f>
        <v>413.22650842942147</v>
      </c>
      <c r="J65" s="14">
        <f>J47*Inputs!$H54</f>
        <v>456.81035801087444</v>
      </c>
      <c r="K65" s="14">
        <f>K47*Inputs!$H54</f>
        <v>463.79933411404096</v>
      </c>
      <c r="L65" s="14">
        <f>L47*Inputs!$H54</f>
        <v>466.42678581891676</v>
      </c>
      <c r="M65" s="14">
        <f>M47*Inputs!$H54</f>
        <v>467.597071253271</v>
      </c>
      <c r="N65" s="191">
        <f>N47*Inputs!$H54</f>
        <v>465.48873371730605</v>
      </c>
      <c r="O65" s="14">
        <f>O47*Inputs!$H54</f>
        <v>468.47590677691915</v>
      </c>
      <c r="P65" s="14">
        <f>P47*Inputs!$H54</f>
        <v>463.5800181095255</v>
      </c>
      <c r="Q65" s="14">
        <f>Q47*Inputs!$H54</f>
        <v>464.05485147514639</v>
      </c>
      <c r="R65" s="14">
        <f>R47*Inputs!$H54</f>
        <v>463.67368664469939</v>
      </c>
      <c r="S65" s="14">
        <f>S47*Inputs!$H54</f>
        <v>463.90350290124644</v>
      </c>
      <c r="T65" s="14">
        <f>T47*Inputs!$H54</f>
        <v>460.23470863362263</v>
      </c>
      <c r="U65" s="14">
        <f>U47*Inputs!$H54</f>
        <v>457.42857477009397</v>
      </c>
      <c r="V65" s="14">
        <f>V47*Inputs!$H54</f>
        <v>464.72535378824244</v>
      </c>
      <c r="W65" s="14">
        <f>W47*Inputs!$H54</f>
        <v>460.28935747238188</v>
      </c>
      <c r="X65" s="188">
        <f>X47*Inputs!$H54</f>
        <v>464.07859195445013</v>
      </c>
      <c r="Y65" s="14">
        <f>Y47*Inputs!$H54</f>
        <v>468.29563721447255</v>
      </c>
      <c r="Z65" s="14">
        <f>Z47*Inputs!$H54</f>
        <v>473.79346386974663</v>
      </c>
      <c r="AA65" s="14">
        <f>AA47*Inputs!$H54</f>
        <v>481.3644554289786</v>
      </c>
      <c r="AB65" s="14">
        <f>AB47*Inputs!$H54</f>
        <v>487.10755930668216</v>
      </c>
      <c r="AC65" s="14">
        <f>AC47*Inputs!$H54</f>
        <v>486.94140391095976</v>
      </c>
      <c r="AD65" s="14">
        <f>AD47*Inputs!$H54</f>
        <v>492.7025096344193</v>
      </c>
      <c r="AE65" s="14">
        <f>AE47*Inputs!$H54</f>
        <v>498.1282825729366</v>
      </c>
      <c r="AF65" s="14">
        <f>AF47*Inputs!$H54</f>
        <v>496.92220975584559</v>
      </c>
      <c r="AG65" s="14">
        <f>AG47*Inputs!$H54</f>
        <v>497.15004627406853</v>
      </c>
      <c r="AH65" s="14">
        <f>AH47*Inputs!$H54</f>
        <v>494.747804679772</v>
      </c>
    </row>
    <row r="66" spans="1:34" ht="15">
      <c r="A66" s="8" t="s">
        <v>348</v>
      </c>
      <c r="B66" s="34">
        <v>1</v>
      </c>
      <c r="C66" s="332">
        <f>C48*Inputs!$H55</f>
        <v>0</v>
      </c>
      <c r="D66" s="332">
        <f>D48*Inputs!$H55</f>
        <v>0</v>
      </c>
      <c r="E66" s="332">
        <f>E48*Inputs!$H55</f>
        <v>2.0700000000000003E-2</v>
      </c>
      <c r="F66" s="332">
        <f>F48*Inputs!$H55</f>
        <v>2.0700000000000003E-2</v>
      </c>
      <c r="G66" s="332">
        <f>G48*Inputs!$H55</f>
        <v>2.0700000000000003E-2</v>
      </c>
      <c r="H66" s="14">
        <f>H48*Inputs!$H55</f>
        <v>2.0700000000000003E-2</v>
      </c>
      <c r="I66" s="14">
        <f>I48*Inputs!$H55</f>
        <v>2.0700000000000003E-2</v>
      </c>
      <c r="J66" s="14">
        <f>J48*Inputs!$H55</f>
        <v>2.0700000000000003E-2</v>
      </c>
      <c r="K66" s="14">
        <f>K48*Inputs!$H55</f>
        <v>2.0700000000000003E-2</v>
      </c>
      <c r="L66" s="14">
        <f>L48*Inputs!$H55</f>
        <v>2.0700000000000003E-2</v>
      </c>
      <c r="M66" s="14">
        <f>M48*Inputs!$H55</f>
        <v>2.0700000000000003E-2</v>
      </c>
      <c r="N66" s="191">
        <f>N48*Inputs!$H55</f>
        <v>2.0700000000000003E-2</v>
      </c>
      <c r="O66" s="14">
        <f>O48*Inputs!$H55</f>
        <v>2.0700000000000003E-2</v>
      </c>
      <c r="P66" s="14">
        <f>P48*Inputs!$H55</f>
        <v>2.0700000000000003E-2</v>
      </c>
      <c r="Q66" s="14">
        <f>Q48*Inputs!$H55</f>
        <v>2.0700000000000003E-2</v>
      </c>
      <c r="R66" s="14">
        <f>R48*Inputs!$H55</f>
        <v>2.0700000000000003E-2</v>
      </c>
      <c r="S66" s="14">
        <f>S48*Inputs!$H55</f>
        <v>2.0700000000000003E-2</v>
      </c>
      <c r="T66" s="14">
        <f>T48*Inputs!$H55</f>
        <v>2.0700000000000003E-2</v>
      </c>
      <c r="U66" s="14">
        <f>U48*Inputs!$H55</f>
        <v>2.0700000000000003E-2</v>
      </c>
      <c r="V66" s="14">
        <f>V48*Inputs!$H55</f>
        <v>2.0700000000000003E-2</v>
      </c>
      <c r="W66" s="14">
        <f>W48*Inputs!$H55</f>
        <v>2.0700000000000003E-2</v>
      </c>
      <c r="X66" s="188">
        <f>X48*Inputs!$H55</f>
        <v>2.0700000000000003E-2</v>
      </c>
      <c r="Y66" s="14">
        <f>Y48*Inputs!$H55</f>
        <v>2.0700000000000003E-2</v>
      </c>
      <c r="Z66" s="14">
        <f>Z48*Inputs!$H55</f>
        <v>2.0700000000000003E-2</v>
      </c>
      <c r="AA66" s="14">
        <f>AA48*Inputs!$H55</f>
        <v>2.0700000000000003E-2</v>
      </c>
      <c r="AB66" s="14">
        <f>AB48*Inputs!$H55</f>
        <v>2.0700000000000003E-2</v>
      </c>
      <c r="AC66" s="14">
        <f>AC48*Inputs!$H55</f>
        <v>2.0700000000000003E-2</v>
      </c>
      <c r="AD66" s="14">
        <f>AD48*Inputs!$H55</f>
        <v>2.0700000000000003E-2</v>
      </c>
      <c r="AE66" s="14">
        <f>AE48*Inputs!$H55</f>
        <v>2.0700000000000003E-2</v>
      </c>
      <c r="AF66" s="14">
        <f>AF48*Inputs!$H55</f>
        <v>2.0700000000000003E-2</v>
      </c>
      <c r="AG66" s="14">
        <f>AG48*Inputs!$H55</f>
        <v>2.0700000000000003E-2</v>
      </c>
      <c r="AH66" s="14">
        <f>AH48*Inputs!$H55</f>
        <v>2.0700000000000003E-2</v>
      </c>
    </row>
    <row r="67" spans="1:34" ht="15">
      <c r="A67" s="8" t="s">
        <v>344</v>
      </c>
      <c r="B67" s="34">
        <v>1</v>
      </c>
      <c r="C67" s="332">
        <f>C49*Inputs!$H51</f>
        <v>2.4300000000000003E-3</v>
      </c>
      <c r="D67" s="332">
        <f>D49*Inputs!$H51</f>
        <v>2.4300000000000003E-3</v>
      </c>
      <c r="E67" s="332">
        <f>E49*Inputs!$H51</f>
        <v>2.4300000000000003E-3</v>
      </c>
      <c r="F67" s="332">
        <f>F49*Inputs!$H51</f>
        <v>2.4300000000000003E-3</v>
      </c>
      <c r="G67" s="332">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1">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8">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2">
        <f>C50*Inputs!$H57</f>
        <v>45.747000000000007</v>
      </c>
      <c r="D68" s="332">
        <f>D50*Inputs!$H57</f>
        <v>76.347000000000008</v>
      </c>
      <c r="E68" s="332">
        <f>E50*Inputs!$H57</f>
        <v>89.338586598477463</v>
      </c>
      <c r="F68" s="332">
        <f>F50*Inputs!$H57</f>
        <v>133.1922372157716</v>
      </c>
      <c r="G68" s="332">
        <f>G50*Inputs!$H57</f>
        <v>221.21229367617954</v>
      </c>
      <c r="H68" s="14">
        <f>H50*Inputs!$H57</f>
        <v>224.49125511346708</v>
      </c>
      <c r="I68" s="14">
        <f>I50*Inputs!$H57</f>
        <v>554.93738347409044</v>
      </c>
      <c r="J68" s="14">
        <f>J50*Inputs!$H57</f>
        <v>778.07732703046997</v>
      </c>
      <c r="K68" s="14">
        <f>K50*Inputs!$H57</f>
        <v>778.05980945968201</v>
      </c>
      <c r="L68" s="14">
        <f>L50*Inputs!$H57</f>
        <v>777.81958312343988</v>
      </c>
      <c r="M68" s="14">
        <f>M50*Inputs!$H57</f>
        <v>777.85697442950743</v>
      </c>
      <c r="N68" s="191">
        <f>N50*Inputs!$H57</f>
        <v>778.01965222138494</v>
      </c>
      <c r="O68" s="14">
        <f>O50*Inputs!$H57</f>
        <v>777.93862065124949</v>
      </c>
      <c r="P68" s="14">
        <f>P50*Inputs!$H57</f>
        <v>777.8885265453124</v>
      </c>
      <c r="Q68" s="14">
        <f>Q50*Inputs!$H57</f>
        <v>778.14227521689952</v>
      </c>
      <c r="R68" s="14">
        <f>R50*Inputs!$H57</f>
        <v>778.89378924789003</v>
      </c>
      <c r="S68" s="14">
        <f>S50*Inputs!$H57</f>
        <v>778.41118529478263</v>
      </c>
      <c r="T68" s="14">
        <f>T50*Inputs!$H57</f>
        <v>782.11056843097742</v>
      </c>
      <c r="U68" s="14">
        <f>U50*Inputs!$H57</f>
        <v>784.87670554450028</v>
      </c>
      <c r="V68" s="14">
        <f>V50*Inputs!$H57</f>
        <v>798.76025115028108</v>
      </c>
      <c r="W68" s="14">
        <f>W50*Inputs!$H57</f>
        <v>814.06435906082504</v>
      </c>
      <c r="X68" s="188">
        <f>X50*Inputs!$H57</f>
        <v>817.91791730833938</v>
      </c>
      <c r="Y68" s="14">
        <f>Y50*Inputs!$H57</f>
        <v>818.43227826112081</v>
      </c>
      <c r="Z68" s="14">
        <f>Z50*Inputs!$H57</f>
        <v>818.89480359507945</v>
      </c>
      <c r="AA68" s="14">
        <f>AA50*Inputs!$H57</f>
        <v>830.92876007469704</v>
      </c>
      <c r="AB68" s="14">
        <f>AB50*Inputs!$H57</f>
        <v>846.89495020747268</v>
      </c>
      <c r="AC68" s="14">
        <f>AC50*Inputs!$H57</f>
        <v>852.6636604191865</v>
      </c>
      <c r="AD68" s="14">
        <f>AD50*Inputs!$H57</f>
        <v>901.76418203419962</v>
      </c>
      <c r="AE68" s="14">
        <f>AE50*Inputs!$H57</f>
        <v>938.5858085043692</v>
      </c>
      <c r="AF68" s="14">
        <f>AF50*Inputs!$H57</f>
        <v>943.04531079404683</v>
      </c>
      <c r="AG68" s="14">
        <f>AG50*Inputs!$H57</f>
        <v>952.73181034616357</v>
      </c>
      <c r="AH68" s="14">
        <f>AH50*Inputs!$H57</f>
        <v>966.79678061782261</v>
      </c>
    </row>
    <row r="69" spans="1:34" s="20" customFormat="1" ht="15">
      <c r="A69" s="8" t="s">
        <v>128</v>
      </c>
      <c r="B69" s="38"/>
      <c r="C69" s="335">
        <f t="shared" ref="C69:AH69" si="25">SUMPRODUCT($B60:$B68,C60:C68)</f>
        <v>1062.1566</v>
      </c>
      <c r="D69" s="335">
        <f t="shared" si="25"/>
        <v>1112.0697000000002</v>
      </c>
      <c r="E69" s="335">
        <f t="shared" si="25"/>
        <v>1147.066390538851</v>
      </c>
      <c r="F69" s="335">
        <f t="shared" si="25"/>
        <v>1190.3937029263047</v>
      </c>
      <c r="G69" s="335">
        <f t="shared" si="25"/>
        <v>1167.8953944506165</v>
      </c>
      <c r="H69" s="19">
        <f t="shared" si="25"/>
        <v>1202.0571132932866</v>
      </c>
      <c r="I69" s="19">
        <f t="shared" si="25"/>
        <v>1613.3479973783667</v>
      </c>
      <c r="J69" s="19">
        <f t="shared" si="25"/>
        <v>2050.5865908040919</v>
      </c>
      <c r="K69" s="19">
        <f t="shared" si="25"/>
        <v>2075.4149225556471</v>
      </c>
      <c r="L69" s="19">
        <f t="shared" si="25"/>
        <v>2093.0118874678842</v>
      </c>
      <c r="M69" s="19">
        <f t="shared" si="25"/>
        <v>2116.4418175876499</v>
      </c>
      <c r="N69" s="191">
        <f t="shared" si="25"/>
        <v>2136.0315251068896</v>
      </c>
      <c r="O69" s="19">
        <f t="shared" si="25"/>
        <v>2205.1839436135892</v>
      </c>
      <c r="P69" s="19">
        <f t="shared" si="25"/>
        <v>2203.295427237646</v>
      </c>
      <c r="Q69" s="19">
        <f t="shared" si="25"/>
        <v>2205.1642849674549</v>
      </c>
      <c r="R69" s="19">
        <f t="shared" si="25"/>
        <v>2213.9090492482192</v>
      </c>
      <c r="S69" s="19">
        <f t="shared" si="25"/>
        <v>2217.0933814630293</v>
      </c>
      <c r="T69" s="19">
        <f t="shared" si="25"/>
        <v>2225.1172459185254</v>
      </c>
      <c r="U69" s="19">
        <f t="shared" si="25"/>
        <v>2259.2138350665246</v>
      </c>
      <c r="V69" s="19">
        <f t="shared" si="25"/>
        <v>2333.5693028474952</v>
      </c>
      <c r="W69" s="19">
        <f t="shared" si="25"/>
        <v>2332.1599806466716</v>
      </c>
      <c r="X69" s="183">
        <f t="shared" si="25"/>
        <v>2339.890185270714</v>
      </c>
      <c r="Y69" s="19">
        <f t="shared" si="25"/>
        <v>2356.7240397471851</v>
      </c>
      <c r="Z69" s="19">
        <f t="shared" si="25"/>
        <v>2361.3077786677591</v>
      </c>
      <c r="AA69" s="19">
        <f t="shared" si="25"/>
        <v>2390.5414910082909</v>
      </c>
      <c r="AB69" s="19">
        <f t="shared" si="25"/>
        <v>2418.5956011953594</v>
      </c>
      <c r="AC69" s="19">
        <f t="shared" si="25"/>
        <v>2428.3194933393197</v>
      </c>
      <c r="AD69" s="19">
        <f t="shared" si="25"/>
        <v>2492.0377016709103</v>
      </c>
      <c r="AE69" s="19">
        <f t="shared" si="25"/>
        <v>2558.2545078785779</v>
      </c>
      <c r="AF69" s="19">
        <f t="shared" si="25"/>
        <v>2547.1718026442195</v>
      </c>
      <c r="AG69" s="19">
        <f t="shared" si="25"/>
        <v>2563.8826317077692</v>
      </c>
      <c r="AH69" s="19">
        <f t="shared" si="25"/>
        <v>2582.8533741843248</v>
      </c>
    </row>
    <row r="70" spans="1:34" s="20" customFormat="1" ht="15">
      <c r="A70" s="27" t="s">
        <v>329</v>
      </c>
      <c r="B70" s="39"/>
      <c r="C70" s="335">
        <f>SUM(C58:C68)</f>
        <v>1630.7752499999999</v>
      </c>
      <c r="D70" s="335">
        <f t="shared" ref="D70:AH70" si="26">SUM(D58:D68)</f>
        <v>1626.4183499999999</v>
      </c>
      <c r="E70" s="335">
        <f t="shared" si="26"/>
        <v>1718.5731461874548</v>
      </c>
      <c r="F70" s="335">
        <f t="shared" si="26"/>
        <v>1672.0786819218299</v>
      </c>
      <c r="G70" s="335">
        <f t="shared" si="26"/>
        <v>1634.9084969536568</v>
      </c>
      <c r="H70" s="19">
        <f t="shared" si="26"/>
        <v>1676.93246347477</v>
      </c>
      <c r="I70" s="19">
        <f t="shared" si="26"/>
        <v>2097.6027105334479</v>
      </c>
      <c r="J70" s="19">
        <f t="shared" si="26"/>
        <v>2544.2651226080584</v>
      </c>
      <c r="K70" s="19">
        <f t="shared" si="26"/>
        <v>2574.1612052143291</v>
      </c>
      <c r="L70" s="19">
        <f t="shared" si="26"/>
        <v>2591.7583662545458</v>
      </c>
      <c r="M70" s="19">
        <f t="shared" si="26"/>
        <v>2615.1883617503045</v>
      </c>
      <c r="N70" s="183">
        <f t="shared" si="26"/>
        <v>2634.7778077655721</v>
      </c>
      <c r="O70" s="19">
        <f t="shared" si="26"/>
        <v>2703.9302262722717</v>
      </c>
      <c r="P70" s="19">
        <f t="shared" si="26"/>
        <v>2702.0418406483145</v>
      </c>
      <c r="Q70" s="19">
        <f t="shared" si="26"/>
        <v>2728.604387728094</v>
      </c>
      <c r="R70" s="19">
        <f t="shared" si="26"/>
        <v>2737.3490866328648</v>
      </c>
      <c r="S70" s="19">
        <f t="shared" si="26"/>
        <v>2740.534007231613</v>
      </c>
      <c r="T70" s="19">
        <f t="shared" si="26"/>
        <v>2748.5589830789913</v>
      </c>
      <c r="U70" s="19">
        <f t="shared" si="26"/>
        <v>2786.3095018556005</v>
      </c>
      <c r="V70" s="19">
        <f t="shared" si="26"/>
        <v>2864.3124924178592</v>
      </c>
      <c r="W70" s="19">
        <f t="shared" si="26"/>
        <v>2862.9037586009736</v>
      </c>
      <c r="X70" s="183">
        <f t="shared" si="26"/>
        <v>2870.6338978490226</v>
      </c>
      <c r="Y70" s="19">
        <f t="shared" si="26"/>
        <v>2887.4678177014871</v>
      </c>
      <c r="Z70" s="19">
        <f t="shared" si="26"/>
        <v>2892.0516873740471</v>
      </c>
      <c r="AA70" s="19">
        <f t="shared" si="26"/>
        <v>2921.2846152026623</v>
      </c>
      <c r="AB70" s="19">
        <f t="shared" si="26"/>
        <v>2949.3387253897308</v>
      </c>
      <c r="AC70" s="19">
        <f t="shared" si="26"/>
        <v>2959.0626175336911</v>
      </c>
      <c r="AD70" s="19">
        <f t="shared" si="26"/>
        <v>3025.4255462888877</v>
      </c>
      <c r="AE70" s="19">
        <f t="shared" si="26"/>
        <v>3091.6423524965553</v>
      </c>
      <c r="AF70" s="19">
        <f t="shared" si="26"/>
        <v>3080.5596472621964</v>
      </c>
      <c r="AG70" s="19">
        <f t="shared" si="26"/>
        <v>3097.2704763257466</v>
      </c>
      <c r="AH70" s="19">
        <f t="shared" si="26"/>
        <v>3116.2418725622329</v>
      </c>
    </row>
    <row r="71" spans="1:34" s="20" customFormat="1" ht="15">
      <c r="A71" s="27" t="s">
        <v>142</v>
      </c>
      <c r="B71" s="39"/>
      <c r="C71" s="335">
        <f>C53*Inputs!$H$60</f>
        <v>7.1280000000000001</v>
      </c>
      <c r="D71" s="335">
        <f>D53*Inputs!$H$60</f>
        <v>8.6130000000000013</v>
      </c>
      <c r="E71" s="335">
        <f>E53*Inputs!$H$60</f>
        <v>8.6857264986053568</v>
      </c>
      <c r="F71" s="335">
        <f>F53*Inputs!$H$60</f>
        <v>4.5076539829135278</v>
      </c>
      <c r="G71" s="335">
        <f>G53*Inputs!$H$60</f>
        <v>4.899449294988079</v>
      </c>
      <c r="H71" s="19">
        <f>H53*Inputs!$H$60</f>
        <v>4.8740965775970961</v>
      </c>
      <c r="I71" s="19">
        <f>I53*Inputs!$H$60</f>
        <v>4.9218821408175453</v>
      </c>
      <c r="J71" s="19">
        <f>J53*Inputs!$H$60</f>
        <v>0.66749936069458893</v>
      </c>
      <c r="K71" s="19">
        <f>K53*Inputs!$H$60</f>
        <v>2.5431811180551431</v>
      </c>
      <c r="L71" s="19">
        <f>L53*Inputs!$H$60</f>
        <v>4.8338319346498615</v>
      </c>
      <c r="M71" s="19">
        <f>M53*Inputs!$H$60</f>
        <v>5.7834770694182689</v>
      </c>
      <c r="N71" s="191">
        <f>N53*Inputs!$H$60</f>
        <v>5.9790685891420479</v>
      </c>
      <c r="O71" s="19">
        <f>O53*Inputs!$H$60</f>
        <v>6.121029657374212</v>
      </c>
      <c r="P71" s="19">
        <f>P53*Inputs!$H$60</f>
        <v>6.2177764501619075</v>
      </c>
      <c r="Q71" s="19">
        <f>Q53*Inputs!$H$60</f>
        <v>6.2903487644794778</v>
      </c>
      <c r="R71" s="19">
        <f>R53*Inputs!$H$60</f>
        <v>6.3245961566933273</v>
      </c>
      <c r="S71" s="19">
        <f>S53*Inputs!$H$60</f>
        <v>6.3584898199735118</v>
      </c>
      <c r="T71" s="19">
        <f>T53*Inputs!$H$60</f>
        <v>6.3610971237863749</v>
      </c>
      <c r="U71" s="19">
        <f>U53*Inputs!$H$60</f>
        <v>9.8472771315181333</v>
      </c>
      <c r="V71" s="19">
        <f>V53*Inputs!$H$60</f>
        <v>10.771037026064512</v>
      </c>
      <c r="W71" s="19">
        <f>W53*Inputs!$H$60</f>
        <v>10.932518786286813</v>
      </c>
      <c r="X71" s="183">
        <f>X53*Inputs!$H$60</f>
        <v>10.995540419395454</v>
      </c>
      <c r="Y71" s="19">
        <f>Y53*Inputs!$H$60</f>
        <v>10.936696646565146</v>
      </c>
      <c r="Z71" s="19">
        <f>Z53*Inputs!$H$60</f>
        <v>9.7038033897369171</v>
      </c>
      <c r="AA71" s="19">
        <f>AA53*Inputs!$H$60</f>
        <v>9.5359570812827261</v>
      </c>
      <c r="AB71" s="19">
        <f>AB53*Inputs!$H$60</f>
        <v>9.1727777967980888</v>
      </c>
      <c r="AC71" s="19">
        <f>AC53*Inputs!$H$60</f>
        <v>8.9535777648980499</v>
      </c>
      <c r="AD71" s="19">
        <f>AD53*Inputs!$H$60</f>
        <v>10.18859339532826</v>
      </c>
      <c r="AE71" s="19">
        <f>AE53*Inputs!$H$60</f>
        <v>10.026392600655347</v>
      </c>
      <c r="AF71" s="19">
        <f>AF53*Inputs!$H$60</f>
        <v>10.238465316113814</v>
      </c>
      <c r="AG71" s="19">
        <f>AG53*Inputs!$H$60</f>
        <v>10.242514547688994</v>
      </c>
      <c r="AH71" s="19">
        <f>AH53*Inputs!$H$60</f>
        <v>10.239086592750033</v>
      </c>
    </row>
    <row r="72" spans="1:34" s="20" customFormat="1" ht="15">
      <c r="A72" s="27" t="s">
        <v>222</v>
      </c>
      <c r="B72" s="39"/>
      <c r="C72" s="335">
        <f>C54*Inputs!$H$61</f>
        <v>728.14499999999998</v>
      </c>
      <c r="D72" s="335">
        <f>D54*Inputs!$H$61</f>
        <v>829.02599999999995</v>
      </c>
      <c r="E72" s="335">
        <f>E54*Inputs!$H$61</f>
        <v>824.11948586183598</v>
      </c>
      <c r="F72" s="335">
        <f>F54*Inputs!$H$61</f>
        <v>810.63523046172156</v>
      </c>
      <c r="G72" s="335">
        <f>G54*Inputs!$H$61</f>
        <v>788.97776651559752</v>
      </c>
      <c r="H72" s="19">
        <f>H54*Inputs!$H$61</f>
        <v>819.79496211926937</v>
      </c>
      <c r="I72" s="19">
        <f>I54*Inputs!$H$61</f>
        <v>838.10788681269719</v>
      </c>
      <c r="J72" s="19">
        <f>J54*Inputs!$H$61</f>
        <v>860.02194710893343</v>
      </c>
      <c r="K72" s="19">
        <f>K54*Inputs!$H$61</f>
        <v>883.19139534982423</v>
      </c>
      <c r="L72" s="19">
        <f>L54*Inputs!$H$61</f>
        <v>887.12704245067175</v>
      </c>
      <c r="M72" s="19">
        <f>M54*Inputs!$H$61</f>
        <v>882.75278680158203</v>
      </c>
      <c r="N72" s="191">
        <f>N54*Inputs!$H$61</f>
        <v>864.16533595271324</v>
      </c>
      <c r="O72" s="19">
        <f>O54*Inputs!$H$61</f>
        <v>852.92096285406069</v>
      </c>
      <c r="P72" s="19">
        <f>P54*Inputs!$H$61</f>
        <v>828.33179753527338</v>
      </c>
      <c r="Q72" s="19">
        <f>Q54*Inputs!$H$61</f>
        <v>809.95481628198286</v>
      </c>
      <c r="R72" s="19">
        <f>R54*Inputs!$H$61</f>
        <v>802.7457597142577</v>
      </c>
      <c r="S72" s="19">
        <f>S54*Inputs!$H$61</f>
        <v>799.76072128308226</v>
      </c>
      <c r="T72" s="19">
        <f>T54*Inputs!$H$61</f>
        <v>775.25521468136003</v>
      </c>
      <c r="U72" s="19">
        <f>U54*Inputs!$H$61</f>
        <v>739.17241358800595</v>
      </c>
      <c r="V72" s="19">
        <f>V54*Inputs!$H$61</f>
        <v>739.37483670366953</v>
      </c>
      <c r="W72" s="19">
        <f>W54*Inputs!$H$61</f>
        <v>712.83291270911946</v>
      </c>
      <c r="X72" s="183">
        <f>X54*Inputs!$H$61</f>
        <v>724.61770220324354</v>
      </c>
      <c r="Y72" s="19">
        <f>Y54*Inputs!$H$61</f>
        <v>735.27997347981568</v>
      </c>
      <c r="Z72" s="19">
        <f>Z54*Inputs!$H$61</f>
        <v>758.56452613610782</v>
      </c>
      <c r="AA72" s="19">
        <f>AA54*Inputs!$H$61</f>
        <v>780.67330576314953</v>
      </c>
      <c r="AB72" s="19">
        <f>AB54*Inputs!$H$61</f>
        <v>794.1039225331026</v>
      </c>
      <c r="AC72" s="19">
        <f>AC54*Inputs!$H$61</f>
        <v>785.37898865477428</v>
      </c>
      <c r="AD72" s="19">
        <f>AD54*Inputs!$H$61</f>
        <v>777.7237294163665</v>
      </c>
      <c r="AE72" s="19">
        <f>AE54*Inputs!$H$61</f>
        <v>772.32158050858106</v>
      </c>
      <c r="AF72" s="19">
        <f>AF54*Inputs!$H$61</f>
        <v>765.23331709418619</v>
      </c>
      <c r="AG72" s="19">
        <f>AG54*Inputs!$H$61</f>
        <v>755.0847594143238</v>
      </c>
      <c r="AH72" s="19">
        <f>AH54*Inputs!$H$61</f>
        <v>729.93288881362457</v>
      </c>
    </row>
    <row r="73" spans="1:34" ht="15">
      <c r="A73" s="27" t="s">
        <v>58</v>
      </c>
      <c r="C73" s="332">
        <f>SUM(C70:C72)</f>
        <v>2366.0482499999998</v>
      </c>
      <c r="D73" s="332">
        <f t="shared" ref="D73:AH73" si="27">SUM(D70:D72)</f>
        <v>2464.05735</v>
      </c>
      <c r="E73" s="332">
        <f t="shared" si="27"/>
        <v>2551.3783585478959</v>
      </c>
      <c r="F73" s="332">
        <f t="shared" si="27"/>
        <v>2487.2215663664651</v>
      </c>
      <c r="G73" s="332">
        <f t="shared" si="27"/>
        <v>2428.7857127642424</v>
      </c>
      <c r="H73" s="14">
        <f t="shared" si="27"/>
        <v>2501.6015221716366</v>
      </c>
      <c r="I73" s="14">
        <f t="shared" si="27"/>
        <v>2940.6324794869624</v>
      </c>
      <c r="J73" s="14">
        <f t="shared" si="27"/>
        <v>3404.9545690776863</v>
      </c>
      <c r="K73" s="14">
        <f t="shared" si="27"/>
        <v>3459.8957816822085</v>
      </c>
      <c r="L73" s="14">
        <f t="shared" si="27"/>
        <v>3483.7192406398672</v>
      </c>
      <c r="M73" s="14">
        <f t="shared" si="27"/>
        <v>3503.7246256213048</v>
      </c>
      <c r="N73" s="191">
        <f t="shared" si="27"/>
        <v>3504.9222123074273</v>
      </c>
      <c r="O73" s="14">
        <f t="shared" si="27"/>
        <v>3562.9722187837065</v>
      </c>
      <c r="P73" s="14">
        <f t="shared" si="27"/>
        <v>3536.59141463375</v>
      </c>
      <c r="Q73" s="14">
        <f t="shared" si="27"/>
        <v>3544.8495527745563</v>
      </c>
      <c r="R73" s="14">
        <f t="shared" si="27"/>
        <v>3546.4194425038158</v>
      </c>
      <c r="S73" s="14">
        <f t="shared" si="27"/>
        <v>3546.6532183346685</v>
      </c>
      <c r="T73" s="14">
        <f t="shared" si="27"/>
        <v>3530.1752948841377</v>
      </c>
      <c r="U73" s="14">
        <f t="shared" si="27"/>
        <v>3535.3291925751246</v>
      </c>
      <c r="V73" s="14">
        <f t="shared" si="27"/>
        <v>3614.4583661475936</v>
      </c>
      <c r="W73" s="14">
        <f t="shared" si="27"/>
        <v>3586.6691900963797</v>
      </c>
      <c r="X73" s="188">
        <f t="shared" si="27"/>
        <v>3606.2471404716616</v>
      </c>
      <c r="Y73" s="14">
        <f t="shared" si="27"/>
        <v>3633.684487827868</v>
      </c>
      <c r="Z73" s="14">
        <f t="shared" si="27"/>
        <v>3660.3200168998919</v>
      </c>
      <c r="AA73" s="14">
        <f t="shared" si="27"/>
        <v>3711.4938780470943</v>
      </c>
      <c r="AB73" s="14">
        <f t="shared" si="27"/>
        <v>3752.6154257196313</v>
      </c>
      <c r="AC73" s="14">
        <f t="shared" si="27"/>
        <v>3753.3951839533634</v>
      </c>
      <c r="AD73" s="14">
        <f t="shared" si="27"/>
        <v>3813.3378691005823</v>
      </c>
      <c r="AE73" s="14">
        <f t="shared" si="27"/>
        <v>3873.9903256057919</v>
      </c>
      <c r="AF73" s="14">
        <f t="shared" si="27"/>
        <v>3856.0314296724964</v>
      </c>
      <c r="AG73" s="14">
        <f t="shared" si="27"/>
        <v>3862.5977502877595</v>
      </c>
      <c r="AH73" s="14">
        <f t="shared" si="27"/>
        <v>3856.4138479686076</v>
      </c>
    </row>
    <row r="75" spans="1:34">
      <c r="B75" s="89"/>
      <c r="H75" s="89"/>
      <c r="I75" s="89"/>
      <c r="J75" s="89"/>
      <c r="K75" s="89"/>
      <c r="L75" s="89"/>
      <c r="M75" s="89"/>
      <c r="N75" s="191"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6">
        <f>'backup - EIA liq_fuelS_aeo2014'!E46</f>
        <v>273.77869168296451</v>
      </c>
      <c r="D78" s="336">
        <f>'backup - EIA liq_fuelS_aeo2014'!F46</f>
        <v>330.59007454663532</v>
      </c>
      <c r="E78" s="336">
        <f>'backup - EIA liq_fuelS_aeo2014'!G46</f>
        <v>346.41273999999999</v>
      </c>
      <c r="F78" s="336">
        <f>'backup - EIA liq_fuelS_aeo2014'!H46</f>
        <v>332.23648773503913</v>
      </c>
      <c r="G78" s="336">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1">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2">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1" t="e">
        <f>C78*Inputs!$C58</f>
        <v>#REF!</v>
      </c>
      <c r="D83" s="331" t="e">
        <f>D78*Inputs!$C58</f>
        <v>#REF!</v>
      </c>
      <c r="E83" s="331" t="e">
        <f>E78*Inputs!$C58</f>
        <v>#REF!</v>
      </c>
      <c r="F83" s="331" t="e">
        <f>F78*Inputs!$C58</f>
        <v>#REF!</v>
      </c>
      <c r="G83" s="331" t="e">
        <f>G78*Inputs!$C58</f>
        <v>#REF!</v>
      </c>
      <c r="H83" s="50" t="e">
        <f>H78*Inputs!$C58</f>
        <v>#REF!</v>
      </c>
      <c r="I83" s="50" t="e">
        <f>I78*Inputs!$C58</f>
        <v>#REF!</v>
      </c>
      <c r="J83" s="50" t="e">
        <f>J78*Inputs!$C58</f>
        <v>#REF!</v>
      </c>
      <c r="K83" s="50" t="e">
        <f>K78*Inputs!$C58</f>
        <v>#REF!</v>
      </c>
      <c r="L83" s="50" t="e">
        <f>L78*Inputs!$C58</f>
        <v>#REF!</v>
      </c>
      <c r="M83" s="50" t="e">
        <f>M78*Inputs!$C58</f>
        <v>#REF!</v>
      </c>
      <c r="N83" s="389"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5"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1"/>
  <sheetViews>
    <sheetView zoomScale="85" zoomScaleNormal="85" zoomScalePageLayoutView="85" workbookViewId="0">
      <selection activeCell="A12" sqref="A12:XFD12"/>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8" customWidth="1"/>
    <col min="6" max="6" width="9" style="418" customWidth="1"/>
    <col min="7" max="7" width="9.6640625" style="81" customWidth="1"/>
    <col min="8" max="8" width="10.83203125" style="418" customWidth="1"/>
    <col min="9" max="9" width="5.6640625" style="418" bestFit="1" customWidth="1"/>
    <col min="10" max="10" width="9.33203125" style="418" customWidth="1"/>
    <col min="11" max="11" width="6.5" style="418" customWidth="1"/>
    <col min="12" max="12" width="9.6640625" style="418" customWidth="1"/>
    <col min="13" max="13" width="5.6640625" style="418"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57"/>
      <c r="B1" s="557"/>
      <c r="C1" s="557"/>
      <c r="D1" s="557"/>
      <c r="E1" s="557"/>
      <c r="F1" s="557"/>
      <c r="G1" s="557"/>
      <c r="H1" s="557"/>
      <c r="I1" s="557"/>
      <c r="J1" s="557"/>
      <c r="K1" s="557"/>
      <c r="L1" s="557"/>
      <c r="M1" s="557"/>
      <c r="N1" s="557"/>
      <c r="O1" s="557"/>
      <c r="P1" s="557"/>
    </row>
    <row r="2" spans="1:16">
      <c r="A2" s="557"/>
      <c r="B2" s="557"/>
      <c r="C2" s="557"/>
      <c r="D2" s="557"/>
      <c r="E2" s="557"/>
      <c r="F2" s="557"/>
      <c r="G2" s="557"/>
      <c r="H2" s="557"/>
      <c r="I2" s="557"/>
      <c r="J2" s="557"/>
      <c r="K2" s="557"/>
      <c r="L2" s="557"/>
      <c r="M2" s="557"/>
      <c r="N2" s="557"/>
      <c r="O2" s="557"/>
      <c r="P2" s="557"/>
    </row>
    <row r="3" spans="1:16">
      <c r="A3" s="557"/>
      <c r="B3" s="557"/>
      <c r="C3" s="557"/>
      <c r="D3" s="557"/>
      <c r="E3" s="557"/>
      <c r="F3" s="557"/>
      <c r="G3" s="557"/>
      <c r="H3" s="557"/>
      <c r="I3" s="557"/>
      <c r="J3" s="557"/>
      <c r="K3" s="557"/>
      <c r="L3" s="557"/>
      <c r="M3" s="557"/>
      <c r="N3" s="557"/>
      <c r="O3" s="557"/>
      <c r="P3" s="557"/>
    </row>
    <row r="4" spans="1:16">
      <c r="A4" s="557"/>
      <c r="B4" s="557"/>
      <c r="C4" s="557"/>
      <c r="D4" s="557"/>
      <c r="E4" s="557"/>
      <c r="F4" s="557"/>
      <c r="G4" s="557"/>
      <c r="H4" s="557"/>
      <c r="I4" s="557"/>
      <c r="J4" s="557"/>
      <c r="K4" s="557"/>
      <c r="L4" s="557"/>
      <c r="M4" s="557"/>
      <c r="N4" s="557"/>
      <c r="O4" s="557"/>
      <c r="P4" s="557"/>
    </row>
    <row r="5" spans="1:16">
      <c r="A5" s="557"/>
      <c r="B5" s="557"/>
      <c r="C5" s="557"/>
      <c r="D5" s="557"/>
      <c r="E5" s="557"/>
      <c r="F5" s="557"/>
      <c r="G5" s="557"/>
      <c r="H5" s="557"/>
      <c r="I5" s="557"/>
      <c r="J5" s="557"/>
      <c r="K5" s="557"/>
      <c r="L5" s="557"/>
      <c r="M5" s="557"/>
      <c r="N5" s="557"/>
      <c r="O5" s="557"/>
      <c r="P5" s="557"/>
    </row>
    <row r="6" spans="1:16">
      <c r="A6" s="557"/>
      <c r="B6" s="557"/>
      <c r="C6" s="557"/>
      <c r="D6" s="557"/>
      <c r="E6" s="557"/>
      <c r="F6" s="557"/>
      <c r="G6" s="557"/>
      <c r="H6" s="557"/>
      <c r="I6" s="557"/>
      <c r="J6" s="557"/>
      <c r="K6" s="557"/>
      <c r="L6" s="557"/>
      <c r="M6" s="557"/>
      <c r="N6" s="557"/>
      <c r="O6" s="557"/>
      <c r="P6" s="557"/>
    </row>
    <row r="7" spans="1:16">
      <c r="A7" s="557"/>
      <c r="B7" s="557"/>
      <c r="C7" s="557"/>
      <c r="D7" s="557"/>
      <c r="E7" s="557"/>
      <c r="F7" s="557"/>
      <c r="G7" s="557"/>
      <c r="H7" s="557"/>
      <c r="I7" s="557"/>
      <c r="J7" s="557"/>
      <c r="K7" s="557"/>
      <c r="L7" s="557"/>
      <c r="M7" s="557"/>
      <c r="N7" s="557"/>
      <c r="O7" s="557"/>
      <c r="P7" s="557"/>
    </row>
    <row r="8" spans="1:16">
      <c r="A8" s="557"/>
      <c r="B8" s="557"/>
      <c r="C8" s="557"/>
      <c r="D8" s="557"/>
      <c r="E8" s="557"/>
      <c r="F8" s="557"/>
      <c r="G8" s="557"/>
      <c r="H8" s="557"/>
      <c r="I8" s="557"/>
      <c r="J8" s="557"/>
      <c r="K8" s="557"/>
      <c r="L8" s="557"/>
      <c r="M8" s="557"/>
      <c r="N8" s="557"/>
      <c r="O8" s="557"/>
      <c r="P8" s="557"/>
    </row>
    <row r="9" spans="1:16" ht="2.25" customHeight="1">
      <c r="A9" s="557"/>
      <c r="B9" s="557"/>
      <c r="C9" s="557"/>
      <c r="D9" s="557"/>
      <c r="E9" s="557"/>
      <c r="F9" s="557"/>
      <c r="G9" s="557"/>
      <c r="H9" s="557"/>
      <c r="I9" s="557"/>
      <c r="J9" s="557"/>
      <c r="K9" s="557"/>
      <c r="L9" s="557"/>
      <c r="M9" s="557"/>
      <c r="N9" s="557"/>
      <c r="O9" s="557"/>
      <c r="P9" s="557"/>
    </row>
    <row r="10" spans="1:16" ht="12" hidden="1" customHeight="1">
      <c r="A10" s="558" t="s">
        <v>212</v>
      </c>
      <c r="B10" s="560">
        <v>2000</v>
      </c>
      <c r="C10" s="562" t="s">
        <v>219</v>
      </c>
      <c r="D10" s="562" t="s">
        <v>555</v>
      </c>
      <c r="E10" s="565" t="s">
        <v>213</v>
      </c>
      <c r="F10" s="566"/>
      <c r="G10" s="560"/>
      <c r="H10" s="569" t="s">
        <v>556</v>
      </c>
      <c r="I10" s="570"/>
      <c r="J10" s="570"/>
      <c r="K10" s="570"/>
      <c r="L10" s="570"/>
      <c r="M10" s="570"/>
      <c r="N10" s="570"/>
      <c r="O10" s="571"/>
      <c r="P10" s="539"/>
    </row>
    <row r="11" spans="1:16">
      <c r="A11" s="559"/>
      <c r="B11" s="561"/>
      <c r="C11" s="563"/>
      <c r="D11" s="563"/>
      <c r="E11" s="567"/>
      <c r="F11" s="568"/>
      <c r="G11" s="561"/>
      <c r="H11" s="568" t="s">
        <v>214</v>
      </c>
      <c r="I11" s="561"/>
      <c r="J11" s="567" t="s">
        <v>215</v>
      </c>
      <c r="K11" s="561"/>
      <c r="L11" s="567" t="s">
        <v>216</v>
      </c>
      <c r="M11" s="568"/>
      <c r="N11" s="568"/>
      <c r="O11" s="561"/>
      <c r="P11" s="539"/>
    </row>
    <row r="12" spans="1:16" ht="102" customHeight="1" thickBot="1">
      <c r="A12" s="212" t="s">
        <v>217</v>
      </c>
      <c r="B12" s="212" t="s">
        <v>218</v>
      </c>
      <c r="C12" s="564"/>
      <c r="D12" s="564"/>
      <c r="E12" s="412" t="s">
        <v>557</v>
      </c>
      <c r="F12" s="436" t="s">
        <v>558</v>
      </c>
      <c r="G12" s="213" t="s">
        <v>308</v>
      </c>
      <c r="H12" s="424" t="s">
        <v>359</v>
      </c>
      <c r="I12" s="436" t="s">
        <v>559</v>
      </c>
      <c r="J12" s="412" t="s">
        <v>359</v>
      </c>
      <c r="K12" s="436" t="s">
        <v>559</v>
      </c>
      <c r="L12" s="412" t="s">
        <v>359</v>
      </c>
      <c r="M12" s="436" t="s">
        <v>559</v>
      </c>
      <c r="N12" s="213" t="s">
        <v>58</v>
      </c>
      <c r="O12" s="213" t="s">
        <v>560</v>
      </c>
      <c r="P12" s="572"/>
    </row>
    <row r="13" spans="1:16" ht="13" thickTop="1">
      <c r="A13" s="444" t="s">
        <v>561</v>
      </c>
      <c r="B13" s="444" t="s">
        <v>562</v>
      </c>
      <c r="C13" s="445">
        <v>0.85</v>
      </c>
      <c r="D13" s="446">
        <v>40</v>
      </c>
      <c r="E13" s="434">
        <v>4.29</v>
      </c>
      <c r="F13" s="447">
        <v>1.53</v>
      </c>
      <c r="G13" s="435">
        <v>0</v>
      </c>
      <c r="H13" s="448">
        <f t="shared" ref="H13:H31" si="0">E13/D13</f>
        <v>0.10725</v>
      </c>
      <c r="I13" s="435">
        <f t="shared" ref="I13:I31" si="1">F13+G13*8760/1000*C13</f>
        <v>1.53</v>
      </c>
      <c r="J13" s="449">
        <f t="shared" ref="J13:J31" si="2">H13/C13</f>
        <v>0.12617647058823531</v>
      </c>
      <c r="K13" s="435">
        <f t="shared" ref="K13:K31" si="3">I13/C13</f>
        <v>1.8</v>
      </c>
      <c r="L13" s="449">
        <f t="shared" ref="L13:M30" si="4">J13/8760*1000</f>
        <v>1.4403706688154716E-2</v>
      </c>
      <c r="M13" s="435">
        <f t="shared" si="4"/>
        <v>0.20547945205479454</v>
      </c>
      <c r="N13" s="450">
        <f t="shared" ref="N13:N31" si="5">SUM(L13:M13)</f>
        <v>0.21988315874294925</v>
      </c>
      <c r="O13" s="573">
        <f>AVERAGE(N13:N14)</f>
        <v>0.20532702121944668</v>
      </c>
      <c r="P13" s="572"/>
    </row>
    <row r="14" spans="1:16" ht="13" thickBot="1">
      <c r="A14" s="224" t="s">
        <v>563</v>
      </c>
      <c r="B14" s="224" t="s">
        <v>564</v>
      </c>
      <c r="C14" s="225">
        <v>0.85</v>
      </c>
      <c r="D14" s="226">
        <v>40</v>
      </c>
      <c r="E14" s="227">
        <v>8.5</v>
      </c>
      <c r="F14" s="433">
        <v>0.24</v>
      </c>
      <c r="G14" s="535">
        <v>0.13</v>
      </c>
      <c r="H14" s="415">
        <f t="shared" si="0"/>
        <v>0.21249999999999999</v>
      </c>
      <c r="I14" s="535">
        <f t="shared" si="1"/>
        <v>1.2079800000000001</v>
      </c>
      <c r="J14" s="428">
        <f t="shared" si="2"/>
        <v>0.25</v>
      </c>
      <c r="K14" s="535">
        <f t="shared" si="3"/>
        <v>1.4211529411764707</v>
      </c>
      <c r="L14" s="428">
        <f t="shared" si="4"/>
        <v>2.8538812785388126E-2</v>
      </c>
      <c r="M14" s="535">
        <f t="shared" si="4"/>
        <v>0.16223207091055603</v>
      </c>
      <c r="N14" s="420">
        <f t="shared" si="5"/>
        <v>0.19077088369594414</v>
      </c>
      <c r="O14" s="551"/>
      <c r="P14" s="572"/>
    </row>
    <row r="15" spans="1:16">
      <c r="A15" s="228" t="s">
        <v>565</v>
      </c>
      <c r="B15" s="228" t="s">
        <v>566</v>
      </c>
      <c r="C15" s="229">
        <v>0.9</v>
      </c>
      <c r="D15" s="230">
        <v>40</v>
      </c>
      <c r="E15" s="231">
        <f>36000/5600</f>
        <v>6.4285714285714288</v>
      </c>
      <c r="F15" s="465">
        <f>10000/5600</f>
        <v>1.7857142857142858</v>
      </c>
      <c r="G15" s="231">
        <v>0</v>
      </c>
      <c r="H15" s="413">
        <f t="shared" si="0"/>
        <v>0.16071428571428573</v>
      </c>
      <c r="I15" s="536">
        <f t="shared" si="1"/>
        <v>1.7857142857142858</v>
      </c>
      <c r="J15" s="429">
        <f t="shared" si="2"/>
        <v>0.17857142857142858</v>
      </c>
      <c r="K15" s="536">
        <f t="shared" si="3"/>
        <v>1.9841269841269842</v>
      </c>
      <c r="L15" s="429">
        <f t="shared" si="4"/>
        <v>2.0384866275277233E-2</v>
      </c>
      <c r="M15" s="536">
        <f t="shared" si="4"/>
        <v>0.22649851416974706</v>
      </c>
      <c r="N15" s="422">
        <f t="shared" si="5"/>
        <v>0.24688338044502428</v>
      </c>
      <c r="O15" s="549">
        <f>AVERAGE(N15:N17)</f>
        <v>0.24750247638375492</v>
      </c>
      <c r="P15" s="572"/>
    </row>
    <row r="16" spans="1:16">
      <c r="A16" s="218" t="s">
        <v>567</v>
      </c>
      <c r="B16" s="218" t="s">
        <v>312</v>
      </c>
      <c r="C16" s="219">
        <v>0.9</v>
      </c>
      <c r="D16" s="220">
        <v>40</v>
      </c>
      <c r="E16" s="217">
        <v>17.5</v>
      </c>
      <c r="F16" s="534">
        <v>1.7</v>
      </c>
      <c r="G16" s="217">
        <v>0</v>
      </c>
      <c r="H16" s="533">
        <f>E16/D16</f>
        <v>0.4375</v>
      </c>
      <c r="I16" s="537">
        <f>F16+G16*8760/1000*C16</f>
        <v>1.7</v>
      </c>
      <c r="J16" s="430">
        <f>H16/C16</f>
        <v>0.4861111111111111</v>
      </c>
      <c r="K16" s="537">
        <f>I16/C16</f>
        <v>1.8888888888888888</v>
      </c>
      <c r="L16" s="430">
        <f t="shared" si="4"/>
        <v>5.5492135971588023E-2</v>
      </c>
      <c r="M16" s="537">
        <f t="shared" si="4"/>
        <v>0.21562658548959918</v>
      </c>
      <c r="N16" s="421">
        <f>SUM(L16:M16)</f>
        <v>0.27111872146118721</v>
      </c>
      <c r="O16" s="550"/>
      <c r="P16" s="572"/>
    </row>
    <row r="17" spans="1:16" ht="13" thickBot="1">
      <c r="A17" s="452" t="s">
        <v>568</v>
      </c>
      <c r="B17" s="452" t="s">
        <v>562</v>
      </c>
      <c r="C17" s="453">
        <v>0.9</v>
      </c>
      <c r="D17" s="454">
        <v>40</v>
      </c>
      <c r="E17" s="439">
        <v>4</v>
      </c>
      <c r="F17" s="451">
        <v>1.67</v>
      </c>
      <c r="G17" s="439">
        <v>0</v>
      </c>
      <c r="H17" s="455">
        <f>E17/D17</f>
        <v>0.1</v>
      </c>
      <c r="I17" s="440">
        <f>F17+G17*8760/1000*C17</f>
        <v>1.67</v>
      </c>
      <c r="J17" s="442">
        <f>H17/C17</f>
        <v>0.11111111111111112</v>
      </c>
      <c r="K17" s="440">
        <f>I17/C17</f>
        <v>1.8555555555555554</v>
      </c>
      <c r="L17" s="442">
        <f t="shared" si="4"/>
        <v>1.2683916793505836E-2</v>
      </c>
      <c r="M17" s="440">
        <f t="shared" si="4"/>
        <v>0.21182141045154743</v>
      </c>
      <c r="N17" s="443">
        <f>SUM(L17:M17)</f>
        <v>0.22450532724505326</v>
      </c>
      <c r="O17" s="551"/>
      <c r="P17" s="572"/>
    </row>
    <row r="18" spans="1:16">
      <c r="A18" s="228" t="s">
        <v>569</v>
      </c>
      <c r="B18" s="228" t="s">
        <v>312</v>
      </c>
      <c r="C18" s="229">
        <v>0.85</v>
      </c>
      <c r="D18" s="230">
        <v>40</v>
      </c>
      <c r="E18" s="231">
        <v>21.3</v>
      </c>
      <c r="F18" s="465">
        <v>7.8</v>
      </c>
      <c r="G18" s="231">
        <v>0</v>
      </c>
      <c r="H18" s="413">
        <f>E18/D18</f>
        <v>0.53249999999999997</v>
      </c>
      <c r="I18" s="536">
        <f>F18+G18*8760/1000*C18</f>
        <v>7.8</v>
      </c>
      <c r="J18" s="429">
        <f>H18/C18</f>
        <v>0.62647058823529411</v>
      </c>
      <c r="K18" s="536">
        <f>I18/C18</f>
        <v>9.1764705882352935</v>
      </c>
      <c r="L18" s="429">
        <f t="shared" si="4"/>
        <v>7.1514907332796127E-2</v>
      </c>
      <c r="M18" s="536">
        <f t="shared" si="4"/>
        <v>1.0475423045930701</v>
      </c>
      <c r="N18" s="422">
        <f>SUM(L18:M18)</f>
        <v>1.1190572119258662</v>
      </c>
      <c r="O18" s="549">
        <f>AVERAGE(N18:N19)</f>
        <v>0.71885911899006172</v>
      </c>
      <c r="P18" s="572"/>
    </row>
    <row r="19" spans="1:16" ht="13" thickBot="1">
      <c r="A19" s="452" t="s">
        <v>570</v>
      </c>
      <c r="B19" s="452" t="s">
        <v>562</v>
      </c>
      <c r="C19" s="453">
        <v>0.85</v>
      </c>
      <c r="D19" s="454">
        <v>40</v>
      </c>
      <c r="E19" s="439">
        <v>3.71</v>
      </c>
      <c r="F19" s="451">
        <v>2.2799999999999998</v>
      </c>
      <c r="G19" s="439">
        <v>0</v>
      </c>
      <c r="H19" s="455">
        <f t="shared" si="0"/>
        <v>9.2749999999999999E-2</v>
      </c>
      <c r="I19" s="440">
        <f t="shared" si="1"/>
        <v>2.2799999999999998</v>
      </c>
      <c r="J19" s="442">
        <f t="shared" si="2"/>
        <v>0.10911764705882353</v>
      </c>
      <c r="K19" s="440">
        <f t="shared" si="3"/>
        <v>2.6823529411764704</v>
      </c>
      <c r="L19" s="442">
        <f t="shared" si="4"/>
        <v>1.2456352403975288E-2</v>
      </c>
      <c r="M19" s="440">
        <f t="shared" si="4"/>
        <v>0.30620467365028203</v>
      </c>
      <c r="N19" s="443">
        <f t="shared" si="5"/>
        <v>0.31866102605425733</v>
      </c>
      <c r="O19" s="551"/>
      <c r="P19" s="572"/>
    </row>
    <row r="20" spans="1:16" ht="13" thickBot="1">
      <c r="A20" s="232" t="s">
        <v>571</v>
      </c>
      <c r="B20" s="232" t="s">
        <v>562</v>
      </c>
      <c r="C20" s="233">
        <v>0.55000000000000004</v>
      </c>
      <c r="D20" s="234">
        <v>40</v>
      </c>
      <c r="E20" s="235">
        <v>5.71</v>
      </c>
      <c r="F20" s="463">
        <v>1.1399999999999999</v>
      </c>
      <c r="G20" s="235">
        <v>0</v>
      </c>
      <c r="H20" s="414">
        <f t="shared" si="0"/>
        <v>0.14274999999999999</v>
      </c>
      <c r="I20" s="236">
        <f t="shared" si="1"/>
        <v>1.1399999999999999</v>
      </c>
      <c r="J20" s="431">
        <f t="shared" si="2"/>
        <v>0.25954545454545452</v>
      </c>
      <c r="K20" s="236">
        <f t="shared" si="3"/>
        <v>2.0727272727272723</v>
      </c>
      <c r="L20" s="431">
        <f t="shared" si="4"/>
        <v>2.9628476546284761E-2</v>
      </c>
      <c r="M20" s="236">
        <f t="shared" si="4"/>
        <v>0.236612702366127</v>
      </c>
      <c r="N20" s="423">
        <f t="shared" si="5"/>
        <v>0.26624117891241178</v>
      </c>
      <c r="O20" s="236">
        <f>N20</f>
        <v>0.26624117891241178</v>
      </c>
      <c r="P20" s="539"/>
    </row>
    <row r="21" spans="1:16">
      <c r="A21" s="237" t="s">
        <v>309</v>
      </c>
      <c r="B21" s="237" t="s">
        <v>572</v>
      </c>
      <c r="C21" s="238">
        <v>0.2</v>
      </c>
      <c r="D21" s="239">
        <v>25</v>
      </c>
      <c r="E21" s="240">
        <v>37</v>
      </c>
      <c r="F21" s="469">
        <v>1</v>
      </c>
      <c r="G21" s="240">
        <v>0</v>
      </c>
      <c r="H21" s="425">
        <f>E21/D21</f>
        <v>1.48</v>
      </c>
      <c r="I21" s="538">
        <f>F21+G21*8760/1000*C21</f>
        <v>1</v>
      </c>
      <c r="J21" s="432">
        <f>H21/C21</f>
        <v>7.3999999999999995</v>
      </c>
      <c r="K21" s="538">
        <f>I21/C21</f>
        <v>5</v>
      </c>
      <c r="L21" s="432">
        <f>J21/8760*1000</f>
        <v>0.84474885844748848</v>
      </c>
      <c r="M21" s="538">
        <f>K21/8760*1000</f>
        <v>0.57077625570776247</v>
      </c>
      <c r="N21" s="427">
        <f>SUM(L21:M21)</f>
        <v>1.415525114155251</v>
      </c>
      <c r="O21" s="546">
        <f>N38</f>
        <v>0.79313246811604099</v>
      </c>
      <c r="P21" s="539"/>
    </row>
    <row r="22" spans="1:16">
      <c r="A22" s="456" t="s">
        <v>310</v>
      </c>
      <c r="B22" s="456" t="s">
        <v>221</v>
      </c>
      <c r="C22" s="457">
        <v>0.2</v>
      </c>
      <c r="D22" s="458">
        <v>25</v>
      </c>
      <c r="E22" s="459">
        <v>32.340000000000003</v>
      </c>
      <c r="F22" s="468">
        <v>0.37</v>
      </c>
      <c r="G22" s="459">
        <v>0</v>
      </c>
      <c r="H22" s="460">
        <f t="shared" si="0"/>
        <v>1.2936000000000001</v>
      </c>
      <c r="I22" s="532">
        <f t="shared" si="1"/>
        <v>0.37</v>
      </c>
      <c r="J22" s="461">
        <f t="shared" si="2"/>
        <v>6.468</v>
      </c>
      <c r="K22" s="532">
        <f t="shared" si="3"/>
        <v>1.8499999999999999</v>
      </c>
      <c r="L22" s="461">
        <f t="shared" si="4"/>
        <v>0.73835616438356166</v>
      </c>
      <c r="M22" s="532">
        <f t="shared" si="4"/>
        <v>0.21118721461187212</v>
      </c>
      <c r="N22" s="462">
        <f t="shared" si="5"/>
        <v>0.94954337899543373</v>
      </c>
      <c r="O22" s="547"/>
      <c r="P22" s="539"/>
    </row>
    <row r="23" spans="1:16" ht="13" thickBot="1">
      <c r="A23" s="452" t="s">
        <v>311</v>
      </c>
      <c r="B23" s="452" t="s">
        <v>562</v>
      </c>
      <c r="C23" s="453">
        <v>0.2</v>
      </c>
      <c r="D23" s="452">
        <v>25</v>
      </c>
      <c r="E23" s="439">
        <v>7.14</v>
      </c>
      <c r="F23" s="451">
        <v>0.12</v>
      </c>
      <c r="G23" s="466">
        <v>0</v>
      </c>
      <c r="H23" s="455">
        <f t="shared" si="0"/>
        <v>0.28559999999999997</v>
      </c>
      <c r="I23" s="439">
        <f t="shared" si="1"/>
        <v>0.12</v>
      </c>
      <c r="J23" s="451">
        <f t="shared" si="2"/>
        <v>1.4279999999999997</v>
      </c>
      <c r="K23" s="439">
        <f t="shared" si="3"/>
        <v>0.6</v>
      </c>
      <c r="L23" s="451">
        <f t="shared" si="4"/>
        <v>0.16301369863013696</v>
      </c>
      <c r="M23" s="439">
        <f t="shared" si="4"/>
        <v>6.8493150684931503E-2</v>
      </c>
      <c r="N23" s="467">
        <f t="shared" si="5"/>
        <v>0.23150684931506846</v>
      </c>
      <c r="O23" s="548"/>
      <c r="P23" s="539"/>
    </row>
    <row r="24" spans="1:16">
      <c r="A24" s="228" t="s">
        <v>433</v>
      </c>
      <c r="B24" s="228" t="s">
        <v>437</v>
      </c>
      <c r="C24" s="241">
        <v>0.4</v>
      </c>
      <c r="D24" s="230">
        <v>25</v>
      </c>
      <c r="E24" s="231">
        <f>10310/1000</f>
        <v>10.31</v>
      </c>
      <c r="F24" s="465">
        <v>1</v>
      </c>
      <c r="G24" s="231">
        <v>0</v>
      </c>
      <c r="H24" s="425">
        <f t="shared" si="0"/>
        <v>0.41240000000000004</v>
      </c>
      <c r="I24" s="538">
        <f t="shared" si="1"/>
        <v>1</v>
      </c>
      <c r="J24" s="432">
        <f t="shared" si="2"/>
        <v>1.0310000000000001</v>
      </c>
      <c r="K24" s="538">
        <f t="shared" si="3"/>
        <v>2.5</v>
      </c>
      <c r="L24" s="432">
        <f t="shared" si="4"/>
        <v>0.11769406392694066</v>
      </c>
      <c r="M24" s="538">
        <f t="shared" si="4"/>
        <v>0.28538812785388123</v>
      </c>
      <c r="N24" s="427">
        <f t="shared" si="5"/>
        <v>0.40308219178082189</v>
      </c>
      <c r="O24" s="549">
        <f>AVERAGE(N24:N25,N26)</f>
        <v>0.23028919330289191</v>
      </c>
      <c r="P24" s="539"/>
    </row>
    <row r="25" spans="1:16">
      <c r="A25" s="215" t="s">
        <v>434</v>
      </c>
      <c r="B25" s="215" t="s">
        <v>436</v>
      </c>
      <c r="C25" s="221">
        <v>0.4</v>
      </c>
      <c r="D25" s="216">
        <v>25</v>
      </c>
      <c r="E25" s="217">
        <v>4.5</v>
      </c>
      <c r="F25" s="534">
        <v>0.38</v>
      </c>
      <c r="G25" s="537">
        <v>0</v>
      </c>
      <c r="H25" s="416">
        <f t="shared" si="0"/>
        <v>0.18</v>
      </c>
      <c r="I25" s="537">
        <f t="shared" si="1"/>
        <v>0.38</v>
      </c>
      <c r="J25" s="430">
        <f t="shared" si="2"/>
        <v>0.44999999999999996</v>
      </c>
      <c r="K25" s="537">
        <f t="shared" si="3"/>
        <v>0.95</v>
      </c>
      <c r="L25" s="430">
        <f t="shared" si="4"/>
        <v>5.1369863013698627E-2</v>
      </c>
      <c r="M25" s="537">
        <f t="shared" si="4"/>
        <v>0.10844748858447488</v>
      </c>
      <c r="N25" s="421">
        <f t="shared" si="5"/>
        <v>0.15981735159817351</v>
      </c>
      <c r="O25" s="550"/>
      <c r="P25" s="539"/>
    </row>
    <row r="26" spans="1:16" ht="13" thickBot="1">
      <c r="A26" s="437" t="s">
        <v>435</v>
      </c>
      <c r="B26" s="437" t="s">
        <v>562</v>
      </c>
      <c r="C26" s="464">
        <v>0.4</v>
      </c>
      <c r="D26" s="437">
        <v>25</v>
      </c>
      <c r="E26" s="440">
        <v>5.71</v>
      </c>
      <c r="F26" s="442">
        <v>0.22</v>
      </c>
      <c r="G26" s="466">
        <v>0</v>
      </c>
      <c r="H26" s="441">
        <f t="shared" si="0"/>
        <v>0.22839999999999999</v>
      </c>
      <c r="I26" s="440">
        <f t="shared" si="1"/>
        <v>0.22</v>
      </c>
      <c r="J26" s="442">
        <f t="shared" si="2"/>
        <v>0.57099999999999995</v>
      </c>
      <c r="K26" s="440">
        <f t="shared" si="3"/>
        <v>0.54999999999999993</v>
      </c>
      <c r="L26" s="442">
        <f t="shared" si="4"/>
        <v>6.5182648401826485E-2</v>
      </c>
      <c r="M26" s="440">
        <f t="shared" si="4"/>
        <v>6.2785388127853878E-2</v>
      </c>
      <c r="N26" s="443">
        <f t="shared" si="5"/>
        <v>0.12796803652968036</v>
      </c>
      <c r="O26" s="551"/>
      <c r="P26" s="539"/>
    </row>
    <row r="27" spans="1:16">
      <c r="A27" s="242" t="s">
        <v>573</v>
      </c>
      <c r="B27" s="242" t="s">
        <v>361</v>
      </c>
      <c r="C27" s="241">
        <v>0.35</v>
      </c>
      <c r="D27" s="230">
        <v>25</v>
      </c>
      <c r="E27" s="231">
        <v>10.1</v>
      </c>
      <c r="F27" s="465">
        <v>0.4</v>
      </c>
      <c r="G27" s="536">
        <v>0</v>
      </c>
      <c r="H27" s="426">
        <f t="shared" si="0"/>
        <v>0.40399999999999997</v>
      </c>
      <c r="I27" s="536">
        <f t="shared" si="1"/>
        <v>0.4</v>
      </c>
      <c r="J27" s="429">
        <f t="shared" si="2"/>
        <v>1.1542857142857144</v>
      </c>
      <c r="K27" s="536">
        <f t="shared" si="3"/>
        <v>1.142857142857143</v>
      </c>
      <c r="L27" s="429">
        <f t="shared" si="4"/>
        <v>0.13176777560339206</v>
      </c>
      <c r="M27" s="536">
        <f t="shared" si="4"/>
        <v>0.13046314416177432</v>
      </c>
      <c r="N27" s="422">
        <f t="shared" si="5"/>
        <v>0.26223091976516638</v>
      </c>
      <c r="O27" s="549">
        <f>AVERAGE(N27,N28,N29:N31)</f>
        <v>0.16974559686888452</v>
      </c>
      <c r="P27" s="539"/>
    </row>
    <row r="28" spans="1:16">
      <c r="A28" s="215" t="s">
        <v>220</v>
      </c>
      <c r="B28" s="215" t="s">
        <v>221</v>
      </c>
      <c r="C28" s="221">
        <v>0.35</v>
      </c>
      <c r="D28" s="220">
        <v>25</v>
      </c>
      <c r="E28" s="217">
        <v>3.8</v>
      </c>
      <c r="F28" s="534">
        <v>0.14399999999999999</v>
      </c>
      <c r="G28" s="537">
        <v>0</v>
      </c>
      <c r="H28" s="416">
        <f t="shared" si="0"/>
        <v>0.152</v>
      </c>
      <c r="I28" s="537">
        <f t="shared" si="1"/>
        <v>0.14399999999999999</v>
      </c>
      <c r="J28" s="430">
        <f t="shared" si="2"/>
        <v>0.43428571428571427</v>
      </c>
      <c r="K28" s="537">
        <f t="shared" si="3"/>
        <v>0.41142857142857142</v>
      </c>
      <c r="L28" s="430">
        <f t="shared" si="4"/>
        <v>4.9575994781474238E-2</v>
      </c>
      <c r="M28" s="537">
        <f t="shared" si="4"/>
        <v>4.6966731898238752E-2</v>
      </c>
      <c r="N28" s="421">
        <f t="shared" si="5"/>
        <v>9.654272667971299E-2</v>
      </c>
      <c r="O28" s="550"/>
      <c r="P28" s="539"/>
    </row>
    <row r="29" spans="1:16">
      <c r="A29" s="215" t="s">
        <v>360</v>
      </c>
      <c r="B29" s="215" t="s">
        <v>574</v>
      </c>
      <c r="C29" s="221">
        <v>0.35</v>
      </c>
      <c r="D29" s="216">
        <v>25</v>
      </c>
      <c r="E29" s="537">
        <v>10.96</v>
      </c>
      <c r="F29" s="430">
        <v>0.17499999999999999</v>
      </c>
      <c r="G29" s="537">
        <v>0</v>
      </c>
      <c r="H29" s="416">
        <f t="shared" si="0"/>
        <v>0.43840000000000001</v>
      </c>
      <c r="I29" s="537">
        <f t="shared" si="1"/>
        <v>0.17499999999999999</v>
      </c>
      <c r="J29" s="430">
        <f t="shared" si="2"/>
        <v>1.2525714285714287</v>
      </c>
      <c r="K29" s="537">
        <f t="shared" si="3"/>
        <v>0.5</v>
      </c>
      <c r="L29" s="430">
        <f t="shared" si="4"/>
        <v>0.14298760600130464</v>
      </c>
      <c r="M29" s="537">
        <f t="shared" si="4"/>
        <v>5.7077625570776253E-2</v>
      </c>
      <c r="N29" s="421">
        <f t="shared" si="5"/>
        <v>0.20006523157208089</v>
      </c>
      <c r="O29" s="550"/>
      <c r="P29" s="539"/>
    </row>
    <row r="30" spans="1:16">
      <c r="A30" s="215" t="s">
        <v>575</v>
      </c>
      <c r="B30" s="215" t="s">
        <v>312</v>
      </c>
      <c r="C30" s="221">
        <v>0.35</v>
      </c>
      <c r="D30" s="216">
        <v>25</v>
      </c>
      <c r="E30" s="537">
        <v>7.4</v>
      </c>
      <c r="F30" s="430">
        <v>0.2</v>
      </c>
      <c r="G30" s="537">
        <v>0</v>
      </c>
      <c r="H30" s="416">
        <f t="shared" si="0"/>
        <v>0.29600000000000004</v>
      </c>
      <c r="I30" s="537">
        <f t="shared" si="1"/>
        <v>0.2</v>
      </c>
      <c r="J30" s="430">
        <f t="shared" si="2"/>
        <v>0.84571428571428586</v>
      </c>
      <c r="K30" s="537">
        <f t="shared" si="3"/>
        <v>0.57142857142857151</v>
      </c>
      <c r="L30" s="430">
        <f t="shared" si="4"/>
        <v>9.6542726679713003E-2</v>
      </c>
      <c r="M30" s="537">
        <f t="shared" si="4"/>
        <v>6.523157208088716E-2</v>
      </c>
      <c r="N30" s="421">
        <f t="shared" si="5"/>
        <v>0.16177429876060018</v>
      </c>
      <c r="O30" s="550"/>
      <c r="P30" s="539"/>
    </row>
    <row r="31" spans="1:16" ht="13" thickBot="1">
      <c r="A31" s="437" t="s">
        <v>576</v>
      </c>
      <c r="B31" s="437" t="s">
        <v>562</v>
      </c>
      <c r="C31" s="464">
        <v>0.35</v>
      </c>
      <c r="D31" s="438">
        <v>25</v>
      </c>
      <c r="E31" s="440">
        <v>2.57</v>
      </c>
      <c r="F31" s="442">
        <v>0.28999999999999998</v>
      </c>
      <c r="G31" s="440">
        <v>0</v>
      </c>
      <c r="H31" s="441">
        <f t="shared" si="0"/>
        <v>0.10279999999999999</v>
      </c>
      <c r="I31" s="440">
        <f t="shared" si="1"/>
        <v>0.28999999999999998</v>
      </c>
      <c r="J31" s="442">
        <f t="shared" si="2"/>
        <v>0.29371428571428571</v>
      </c>
      <c r="K31" s="440">
        <f t="shared" si="3"/>
        <v>0.82857142857142851</v>
      </c>
      <c r="L31" s="442">
        <f>J31/8760*1000</f>
        <v>3.3529028049575992E-2</v>
      </c>
      <c r="M31" s="440">
        <f>K31/8760*1000</f>
        <v>9.4585779517286361E-2</v>
      </c>
      <c r="N31" s="443">
        <f t="shared" si="5"/>
        <v>0.12811480756686236</v>
      </c>
      <c r="O31" s="551"/>
      <c r="P31" s="539"/>
    </row>
    <row r="32" spans="1:16" ht="23" thickBot="1">
      <c r="A32" s="232" t="s">
        <v>430</v>
      </c>
      <c r="B32" s="232" t="s">
        <v>431</v>
      </c>
      <c r="C32" s="233">
        <v>0.8</v>
      </c>
      <c r="D32" s="234">
        <v>40</v>
      </c>
      <c r="E32" s="235">
        <v>20.48</v>
      </c>
      <c r="F32" s="463">
        <v>0.31</v>
      </c>
      <c r="G32" s="235">
        <v>0.06</v>
      </c>
      <c r="H32" s="414">
        <v>0.51200000000000001</v>
      </c>
      <c r="I32" s="236">
        <v>0.73048000000000002</v>
      </c>
      <c r="J32" s="431">
        <v>0.64</v>
      </c>
      <c r="K32" s="236">
        <v>0.91310000000000002</v>
      </c>
      <c r="L32" s="431">
        <v>7.3059360730593603E-2</v>
      </c>
      <c r="M32" s="236">
        <v>0.10423515981735161</v>
      </c>
      <c r="N32" s="423">
        <v>0.1772945205479452</v>
      </c>
      <c r="O32" s="236">
        <f>N32</f>
        <v>0.1772945205479452</v>
      </c>
      <c r="P32" s="539"/>
    </row>
    <row r="33" spans="1:16" ht="13" thickBot="1">
      <c r="A33" s="232" t="s">
        <v>225</v>
      </c>
      <c r="B33" s="232" t="s">
        <v>432</v>
      </c>
      <c r="C33" s="233">
        <v>0.9</v>
      </c>
      <c r="D33" s="234">
        <v>40</v>
      </c>
      <c r="E33" s="235">
        <v>15.2</v>
      </c>
      <c r="F33" s="463">
        <v>0.7</v>
      </c>
      <c r="G33" s="235">
        <v>0</v>
      </c>
      <c r="H33" s="417">
        <f>E33/D33</f>
        <v>0.38</v>
      </c>
      <c r="I33" s="236">
        <f>F33+G33*8760/1000*C33</f>
        <v>0.7</v>
      </c>
      <c r="J33" s="431">
        <f>H33/C33</f>
        <v>0.42222222222222222</v>
      </c>
      <c r="K33" s="236">
        <f>I33/C33</f>
        <v>0.77777777777777768</v>
      </c>
      <c r="L33" s="431">
        <f t="shared" ref="L33:M35" si="6">J33/8760*1000</f>
        <v>4.8198883815322169E-2</v>
      </c>
      <c r="M33" s="236">
        <f t="shared" si="6"/>
        <v>8.8787417554540837E-2</v>
      </c>
      <c r="N33" s="423">
        <f>SUM(L33:M33)</f>
        <v>0.13698630136986301</v>
      </c>
      <c r="O33" s="236">
        <f>N33</f>
        <v>0.13698630136986301</v>
      </c>
      <c r="P33" s="539"/>
    </row>
    <row r="34" spans="1:16" ht="13" thickBot="1">
      <c r="A34" s="243" t="s">
        <v>142</v>
      </c>
      <c r="B34" s="243" t="s">
        <v>223</v>
      </c>
      <c r="C34" s="244">
        <v>0.8</v>
      </c>
      <c r="D34" s="245">
        <v>40</v>
      </c>
      <c r="E34" s="236">
        <v>8.5</v>
      </c>
      <c r="F34" s="431">
        <v>0.18</v>
      </c>
      <c r="G34" s="236">
        <v>5.8999999999999997E-2</v>
      </c>
      <c r="H34" s="417">
        <f>E34/D34</f>
        <v>0.21249999999999999</v>
      </c>
      <c r="I34" s="236">
        <v>0.59</v>
      </c>
      <c r="J34" s="431">
        <f>H34/C34</f>
        <v>0.265625</v>
      </c>
      <c r="K34" s="236">
        <f>I34/C34</f>
        <v>0.73749999999999993</v>
      </c>
      <c r="L34" s="431">
        <f t="shared" si="6"/>
        <v>3.0322488584474887E-2</v>
      </c>
      <c r="M34" s="236">
        <f t="shared" si="6"/>
        <v>8.4189497716894962E-2</v>
      </c>
      <c r="N34" s="423">
        <f>SUM(L34:M34)</f>
        <v>0.11451198630136986</v>
      </c>
      <c r="O34" s="236">
        <f>N34</f>
        <v>0.11451198630136986</v>
      </c>
      <c r="P34" s="539"/>
    </row>
    <row r="35" spans="1:16" ht="13" thickBot="1">
      <c r="A35" s="243" t="s">
        <v>222</v>
      </c>
      <c r="B35" s="243" t="s">
        <v>312</v>
      </c>
      <c r="C35" s="244">
        <v>0.85</v>
      </c>
      <c r="D35" s="245">
        <v>40</v>
      </c>
      <c r="E35" s="236">
        <v>1.02</v>
      </c>
      <c r="F35" s="431">
        <v>0.1</v>
      </c>
      <c r="G35" s="236">
        <v>0.09</v>
      </c>
      <c r="H35" s="417">
        <f>E35/D35</f>
        <v>2.5500000000000002E-2</v>
      </c>
      <c r="I35" s="236">
        <f>F35+G35*8760/1000*C35</f>
        <v>0.77013999999999994</v>
      </c>
      <c r="J35" s="431">
        <f>H35/C35</f>
        <v>3.0000000000000002E-2</v>
      </c>
      <c r="K35" s="236">
        <f>I35/C35</f>
        <v>0.90604705882352932</v>
      </c>
      <c r="L35" s="431">
        <f t="shared" si="6"/>
        <v>3.4246575342465756E-3</v>
      </c>
      <c r="M35" s="236">
        <f t="shared" si="6"/>
        <v>0.10343002954606499</v>
      </c>
      <c r="N35" s="423">
        <f>SUM(L35:M35)</f>
        <v>0.10685468708031157</v>
      </c>
      <c r="O35" s="236">
        <f>N35</f>
        <v>0.10685468708031157</v>
      </c>
      <c r="P35" s="539"/>
    </row>
    <row r="36" spans="1:16">
      <c r="A36" s="214" t="s">
        <v>426</v>
      </c>
      <c r="B36" s="214" t="s">
        <v>428</v>
      </c>
      <c r="C36" s="246">
        <v>1</v>
      </c>
      <c r="D36" s="223">
        <v>20</v>
      </c>
      <c r="E36" s="552" t="s">
        <v>0</v>
      </c>
      <c r="F36" s="553"/>
      <c r="G36" s="553"/>
      <c r="H36" s="553"/>
      <c r="I36" s="553"/>
      <c r="J36" s="553"/>
      <c r="K36" s="553"/>
      <c r="L36" s="553"/>
      <c r="M36" s="554"/>
      <c r="N36" s="419">
        <v>0.17</v>
      </c>
      <c r="O36" s="555">
        <f>AVERAGE(N36,N37)</f>
        <v>0.38</v>
      </c>
      <c r="P36" s="539"/>
    </row>
    <row r="37" spans="1:16">
      <c r="A37" s="215" t="s">
        <v>427</v>
      </c>
      <c r="B37" s="215" t="s">
        <v>429</v>
      </c>
      <c r="C37" s="222">
        <v>1</v>
      </c>
      <c r="D37" s="216">
        <v>20</v>
      </c>
      <c r="E37" s="543" t="s">
        <v>0</v>
      </c>
      <c r="F37" s="544"/>
      <c r="G37" s="544"/>
      <c r="H37" s="544"/>
      <c r="I37" s="544"/>
      <c r="J37" s="544"/>
      <c r="K37" s="544"/>
      <c r="L37" s="544"/>
      <c r="M37" s="545"/>
      <c r="N37" s="421">
        <v>0.59</v>
      </c>
      <c r="O37" s="556"/>
      <c r="P37" s="539"/>
    </row>
    <row r="38" spans="1:16">
      <c r="A38" s="81" t="s">
        <v>752</v>
      </c>
      <c r="B38" s="81" t="s">
        <v>753</v>
      </c>
      <c r="C38" s="540">
        <v>0.2</v>
      </c>
      <c r="D38" s="81">
        <v>25</v>
      </c>
      <c r="E38" s="418">
        <f>(97031+32490+15112+20185)/B39</f>
        <v>14.698366579021558</v>
      </c>
      <c r="F38" s="418">
        <f>(8989)/B39</f>
        <v>0.80163342097844159</v>
      </c>
      <c r="G38" s="81">
        <v>0</v>
      </c>
      <c r="H38" s="418">
        <f>E38/D38</f>
        <v>0.58793466316086229</v>
      </c>
      <c r="I38" s="418">
        <f>F38</f>
        <v>0.80163342097844159</v>
      </c>
      <c r="J38" s="418">
        <f>H38/C38</f>
        <v>2.9396733158043111</v>
      </c>
      <c r="K38" s="418">
        <f>I38/C38</f>
        <v>4.0081671048922081</v>
      </c>
      <c r="L38" s="418">
        <f>J38/8760*1000</f>
        <v>0.33557914563976154</v>
      </c>
      <c r="M38" s="418">
        <f>K38/8760*1000</f>
        <v>0.4575533224762795</v>
      </c>
      <c r="N38" s="81">
        <f>L38+M38</f>
        <v>0.79313246811604099</v>
      </c>
      <c r="P38" s="539"/>
    </row>
    <row r="39" spans="1:16">
      <c r="B39" s="81">
        <f>173807/15.5</f>
        <v>11213.354838709678</v>
      </c>
      <c r="P39" s="539"/>
    </row>
    <row r="40" spans="1:16" ht="14">
      <c r="A40"/>
      <c r="B40"/>
      <c r="C40"/>
      <c r="D40"/>
      <c r="E40"/>
      <c r="F40"/>
      <c r="G40"/>
      <c r="H40"/>
      <c r="I40"/>
      <c r="J40"/>
      <c r="K40"/>
      <c r="L40"/>
      <c r="M40"/>
      <c r="N40"/>
      <c r="O40"/>
      <c r="P40" s="539"/>
    </row>
    <row r="41" spans="1:16" ht="14">
      <c r="A41"/>
      <c r="B41"/>
      <c r="C41"/>
      <c r="D41"/>
      <c r="E41"/>
      <c r="F41"/>
      <c r="G41"/>
      <c r="H41"/>
      <c r="I41"/>
      <c r="J41"/>
      <c r="K41"/>
      <c r="L41"/>
      <c r="M41"/>
      <c r="N41"/>
      <c r="O41"/>
      <c r="P41" s="539"/>
    </row>
    <row r="42" spans="1:16" ht="14">
      <c r="A42"/>
      <c r="B42"/>
      <c r="C42"/>
      <c r="D42"/>
      <c r="E42"/>
      <c r="F42"/>
      <c r="G42"/>
      <c r="H42"/>
      <c r="I42"/>
      <c r="J42"/>
      <c r="K42"/>
      <c r="L42"/>
      <c r="M42"/>
      <c r="N42"/>
      <c r="O42"/>
      <c r="P42" s="539"/>
    </row>
    <row r="43" spans="1:16" ht="14">
      <c r="A43"/>
      <c r="B43"/>
      <c r="C43"/>
      <c r="D43"/>
      <c r="E43"/>
      <c r="F43"/>
      <c r="G43"/>
      <c r="H43"/>
      <c r="I43"/>
      <c r="J43"/>
      <c r="K43"/>
      <c r="L43"/>
      <c r="M43"/>
      <c r="N43"/>
      <c r="O43"/>
      <c r="P43" s="539"/>
    </row>
    <row r="44" spans="1:16" ht="14">
      <c r="A44"/>
      <c r="B44"/>
      <c r="C44"/>
      <c r="D44"/>
      <c r="E44"/>
      <c r="F44"/>
      <c r="G44"/>
      <c r="H44"/>
      <c r="I44"/>
      <c r="J44"/>
      <c r="K44"/>
      <c r="L44"/>
      <c r="M44"/>
      <c r="N44"/>
      <c r="O44"/>
      <c r="P44" s="539"/>
    </row>
    <row r="45" spans="1:16" ht="14">
      <c r="A45"/>
      <c r="B45"/>
      <c r="C45"/>
      <c r="D45"/>
      <c r="E45"/>
      <c r="F45"/>
      <c r="G45"/>
      <c r="H45"/>
      <c r="I45"/>
      <c r="J45"/>
      <c r="K45"/>
      <c r="L45"/>
      <c r="M45"/>
      <c r="N45"/>
      <c r="O45"/>
      <c r="P45" s="539"/>
    </row>
    <row r="46" spans="1:16">
      <c r="A46" s="539"/>
      <c r="B46" s="539"/>
      <c r="C46" s="539"/>
      <c r="D46" s="539"/>
      <c r="E46" s="539"/>
      <c r="F46" s="539"/>
      <c r="G46" s="539"/>
      <c r="H46" s="539"/>
      <c r="I46" s="539"/>
      <c r="J46" s="539"/>
      <c r="K46" s="539"/>
      <c r="L46" s="539"/>
      <c r="M46" s="539"/>
      <c r="N46" s="539"/>
      <c r="O46" s="539"/>
      <c r="P46" s="539"/>
    </row>
    <row r="47" spans="1:16">
      <c r="A47" s="539"/>
      <c r="B47" s="539"/>
      <c r="C47" s="539"/>
      <c r="D47" s="539"/>
      <c r="E47" s="539"/>
      <c r="F47" s="539"/>
      <c r="G47" s="539"/>
      <c r="H47" s="539"/>
      <c r="I47" s="539"/>
      <c r="J47" s="539"/>
      <c r="K47" s="539"/>
      <c r="L47" s="539"/>
      <c r="M47" s="539"/>
      <c r="N47" s="541"/>
      <c r="O47" s="539"/>
      <c r="P47" s="539"/>
    </row>
    <row r="49" s="81" customFormat="1"/>
    <row r="50" s="81" customFormat="1"/>
    <row r="51" s="81" customFormat="1"/>
    <row r="52" s="81" customFormat="1"/>
    <row r="53" s="81" customFormat="1"/>
    <row r="54" s="81" customFormat="1"/>
    <row r="55" s="81" customFormat="1"/>
    <row r="56" s="81" customFormat="1"/>
    <row r="57" s="81" customFormat="1"/>
    <row r="58" s="81" customFormat="1"/>
    <row r="59" s="81" customFormat="1"/>
    <row r="60" s="81" customFormat="1"/>
    <row r="61" s="81" customFormat="1"/>
    <row r="62" s="81" customFormat="1"/>
    <row r="63" s="81" customFormat="1"/>
    <row r="64" s="81" customFormat="1"/>
    <row r="65" s="81" customFormat="1"/>
    <row r="66" s="81" customFormat="1"/>
    <row r="67" s="81" customFormat="1"/>
    <row r="68" s="81" customFormat="1"/>
    <row r="69" s="81" customFormat="1"/>
    <row r="70" s="81" customFormat="1"/>
    <row r="71" s="81" customFormat="1"/>
  </sheetData>
  <mergeCells count="20">
    <mergeCell ref="A1:P9"/>
    <mergeCell ref="A10:A11"/>
    <mergeCell ref="B10:B11"/>
    <mergeCell ref="C10:C12"/>
    <mergeCell ref="D10:D12"/>
    <mergeCell ref="E10:G11"/>
    <mergeCell ref="H10:O10"/>
    <mergeCell ref="H11:I11"/>
    <mergeCell ref="J11:K11"/>
    <mergeCell ref="L11:O11"/>
    <mergeCell ref="P12:P19"/>
    <mergeCell ref="O13:O14"/>
    <mergeCell ref="O15:O17"/>
    <mergeCell ref="O18:O19"/>
    <mergeCell ref="E37:M37"/>
    <mergeCell ref="O21:O23"/>
    <mergeCell ref="O24:O26"/>
    <mergeCell ref="O27:O31"/>
    <mergeCell ref="E36:M36"/>
    <mergeCell ref="O36:O37"/>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7" hidden="1" customWidth="1"/>
    <col min="2" max="2" width="6.83203125" style="158" customWidth="1"/>
    <col min="3" max="3" width="5.1640625" style="155" bestFit="1" customWidth="1"/>
    <col min="4" max="5" width="21.5" style="155" hidden="1" customWidth="1"/>
    <col min="6" max="6" width="28.83203125" style="155" customWidth="1"/>
    <col min="7" max="7" width="31.6640625" style="155" customWidth="1"/>
    <col min="8" max="8" width="40.83203125" style="157" customWidth="1"/>
    <col min="9" max="9" width="60.83203125" style="155" customWidth="1"/>
    <col min="10" max="10" width="86" style="155" customWidth="1"/>
    <col min="11" max="16384" width="8.83203125" style="155"/>
  </cols>
  <sheetData>
    <row r="1" spans="1:12">
      <c r="B1" s="574"/>
      <c r="C1" s="574"/>
      <c r="D1" s="574"/>
      <c r="E1" s="574"/>
      <c r="F1" s="574"/>
      <c r="G1" s="574"/>
      <c r="H1" s="574"/>
      <c r="I1" s="574"/>
      <c r="J1" s="574"/>
      <c r="K1" s="574"/>
      <c r="L1" s="574"/>
    </row>
    <row r="2" spans="1:12">
      <c r="B2" s="574"/>
      <c r="C2" s="574"/>
      <c r="D2" s="574"/>
      <c r="E2" s="574"/>
      <c r="F2" s="574"/>
      <c r="G2" s="574"/>
      <c r="H2" s="574"/>
      <c r="I2" s="574"/>
      <c r="J2" s="574"/>
      <c r="K2" s="574"/>
      <c r="L2" s="574"/>
    </row>
    <row r="3" spans="1:12">
      <c r="B3" s="574"/>
      <c r="C3" s="574"/>
      <c r="D3" s="574"/>
      <c r="E3" s="574"/>
      <c r="F3" s="574"/>
      <c r="G3" s="574"/>
      <c r="H3" s="574"/>
      <c r="I3" s="574"/>
      <c r="J3" s="574"/>
      <c r="K3" s="574"/>
      <c r="L3" s="574"/>
    </row>
    <row r="4" spans="1:12">
      <c r="B4" s="574"/>
      <c r="C4" s="574"/>
      <c r="D4" s="574"/>
      <c r="E4" s="574"/>
      <c r="F4" s="574"/>
      <c r="G4" s="574"/>
      <c r="H4" s="574"/>
      <c r="I4" s="574"/>
      <c r="J4" s="574"/>
      <c r="K4" s="574"/>
      <c r="L4" s="574"/>
    </row>
    <row r="5" spans="1:12">
      <c r="B5" s="574"/>
      <c r="C5" s="574"/>
      <c r="D5" s="574"/>
      <c r="E5" s="574"/>
      <c r="F5" s="574"/>
      <c r="G5" s="574"/>
      <c r="H5" s="574"/>
      <c r="I5" s="574"/>
      <c r="J5" s="574"/>
      <c r="K5" s="574"/>
      <c r="L5" s="574"/>
    </row>
    <row r="6" spans="1:12">
      <c r="B6" s="574"/>
      <c r="C6" s="574"/>
      <c r="D6" s="574"/>
      <c r="E6" s="574"/>
      <c r="F6" s="574"/>
      <c r="G6" s="574"/>
      <c r="H6" s="574"/>
      <c r="I6" s="574"/>
      <c r="J6" s="574"/>
      <c r="K6" s="574"/>
      <c r="L6" s="574"/>
    </row>
    <row r="7" spans="1:12">
      <c r="B7" s="574"/>
      <c r="C7" s="574"/>
      <c r="D7" s="574"/>
      <c r="E7" s="574"/>
      <c r="F7" s="574"/>
      <c r="G7" s="574"/>
      <c r="H7" s="574"/>
      <c r="I7" s="574"/>
      <c r="J7" s="574"/>
      <c r="K7" s="574"/>
      <c r="L7" s="574"/>
    </row>
    <row r="8" spans="1:12">
      <c r="B8" s="574"/>
      <c r="C8" s="574"/>
      <c r="D8" s="574"/>
      <c r="E8" s="574"/>
      <c r="F8" s="574"/>
      <c r="G8" s="574"/>
      <c r="H8" s="574"/>
      <c r="I8" s="574"/>
      <c r="J8" s="574"/>
      <c r="K8" s="574"/>
      <c r="L8" s="574"/>
    </row>
    <row r="9" spans="1:12" ht="48" customHeight="1">
      <c r="B9" s="574"/>
      <c r="C9" s="574"/>
      <c r="D9" s="574"/>
      <c r="E9" s="574"/>
      <c r="F9" s="574"/>
      <c r="G9" s="574"/>
      <c r="H9" s="574"/>
      <c r="I9" s="574"/>
      <c r="J9" s="574"/>
      <c r="K9" s="574"/>
      <c r="L9" s="574"/>
    </row>
    <row r="10" spans="1:12" s="145" customFormat="1" ht="15" thickBot="1">
      <c r="A10" s="140" t="s">
        <v>149</v>
      </c>
      <c r="B10" s="141" t="s">
        <v>459</v>
      </c>
      <c r="C10" s="142" t="s">
        <v>144</v>
      </c>
      <c r="D10" s="142" t="s">
        <v>460</v>
      </c>
      <c r="E10" s="142" t="s">
        <v>265</v>
      </c>
      <c r="F10" s="142" t="s">
        <v>460</v>
      </c>
      <c r="G10" s="142" t="s">
        <v>145</v>
      </c>
      <c r="H10" s="143" t="s">
        <v>146</v>
      </c>
      <c r="I10" s="142" t="s">
        <v>147</v>
      </c>
      <c r="J10" s="144" t="s">
        <v>263</v>
      </c>
    </row>
    <row r="11" spans="1:12" s="146" customFormat="1" ht="84">
      <c r="A11" s="146" t="s">
        <v>143</v>
      </c>
      <c r="B11" s="147">
        <v>1</v>
      </c>
      <c r="C11" s="148">
        <v>2009</v>
      </c>
      <c r="D11" s="148" t="s">
        <v>277</v>
      </c>
      <c r="E11" s="148" t="s">
        <v>275</v>
      </c>
      <c r="F11" s="148" t="str">
        <f>D11 &amp; " - " &amp; E11</f>
        <v>Isabel Blanco and Christian Kjaer - European Wind Energy Association</v>
      </c>
      <c r="G11" s="148" t="s">
        <v>276</v>
      </c>
      <c r="H11" s="148" t="s">
        <v>552</v>
      </c>
      <c r="I11" s="148" t="s">
        <v>461</v>
      </c>
      <c r="J11" s="146" t="s">
        <v>462</v>
      </c>
    </row>
    <row r="12" spans="1:12" s="146" customFormat="1" ht="28">
      <c r="B12" s="149">
        <f>B11+1</f>
        <v>2</v>
      </c>
      <c r="C12" s="150">
        <v>2009</v>
      </c>
      <c r="D12" s="150" t="s">
        <v>463</v>
      </c>
      <c r="E12" s="150" t="s">
        <v>464</v>
      </c>
      <c r="F12" s="148" t="str">
        <f t="shared" ref="F12:F26" si="0">D12 &amp; " - " &amp; E12</f>
        <v>Julio Friedmann - Lawrence Livermore National Laboratory</v>
      </c>
      <c r="G12" s="150" t="s">
        <v>465</v>
      </c>
      <c r="H12" s="150" t="s">
        <v>466</v>
      </c>
      <c r="I12" s="150" t="s">
        <v>467</v>
      </c>
    </row>
    <row r="13" spans="1:12" s="146" customFormat="1" ht="28">
      <c r="B13" s="149">
        <f>B12+1</f>
        <v>3</v>
      </c>
      <c r="C13" s="150">
        <v>2009</v>
      </c>
      <c r="D13" s="150" t="s">
        <v>468</v>
      </c>
      <c r="E13" s="150" t="s">
        <v>469</v>
      </c>
      <c r="F13" s="148" t="str">
        <f t="shared" si="0"/>
        <v>José Goldemberg  - State of São Paulo, Brazil</v>
      </c>
      <c r="G13" s="150" t="s">
        <v>470</v>
      </c>
      <c r="H13" s="150"/>
      <c r="I13" s="150"/>
    </row>
    <row r="14" spans="1:12" s="146" customFormat="1" ht="42">
      <c r="B14" s="151">
        <f>B13+1</f>
        <v>4</v>
      </c>
      <c r="C14" s="152">
        <v>2009</v>
      </c>
      <c r="D14" s="152" t="s">
        <v>471</v>
      </c>
      <c r="E14" s="152" t="s">
        <v>472</v>
      </c>
      <c r="F14" s="148" t="str">
        <f t="shared" si="0"/>
        <v xml:space="preserve">SkyFuels - National Renewable Energy Laboratory </v>
      </c>
      <c r="G14" s="152" t="s">
        <v>473</v>
      </c>
      <c r="H14" s="152" t="s">
        <v>474</v>
      </c>
      <c r="I14" s="152" t="s">
        <v>475</v>
      </c>
    </row>
    <row r="15" spans="1:12" s="153" customFormat="1" ht="93.75" customHeight="1">
      <c r="A15" s="150" t="s">
        <v>224</v>
      </c>
      <c r="B15" s="149">
        <f>B14+1</f>
        <v>5</v>
      </c>
      <c r="C15" s="150">
        <v>2008</v>
      </c>
      <c r="D15" s="150" t="s">
        <v>274</v>
      </c>
      <c r="E15" s="150" t="s">
        <v>272</v>
      </c>
      <c r="F15" s="148" t="str">
        <f t="shared" si="0"/>
        <v>John A. "Skip" Laitner and Vanessa McKinney - American Council for an Energy Efficient Economy</v>
      </c>
      <c r="G15" s="150" t="s">
        <v>273</v>
      </c>
      <c r="H15" s="150" t="s">
        <v>148</v>
      </c>
      <c r="I15" s="150" t="s">
        <v>476</v>
      </c>
      <c r="J15" s="146" t="s">
        <v>477</v>
      </c>
    </row>
    <row r="16" spans="1:12" s="153" customFormat="1" ht="42">
      <c r="A16" s="150"/>
      <c r="B16" s="149">
        <f>B15+1</f>
        <v>6</v>
      </c>
      <c r="C16" s="150">
        <v>2008</v>
      </c>
      <c r="D16" s="150" t="s">
        <v>478</v>
      </c>
      <c r="E16" s="150" t="s">
        <v>479</v>
      </c>
      <c r="F16" s="148" t="str">
        <f t="shared" si="0"/>
        <v>David Roland-Holst - University of California, Berkeley</v>
      </c>
      <c r="G16" s="150" t="s">
        <v>480</v>
      </c>
      <c r="H16" s="150" t="s">
        <v>481</v>
      </c>
      <c r="I16" s="150" t="s">
        <v>482</v>
      </c>
      <c r="J16" s="146"/>
    </row>
    <row r="17" spans="1:10" s="153" customFormat="1" ht="28">
      <c r="A17" s="150"/>
      <c r="B17" s="149">
        <v>7</v>
      </c>
      <c r="C17" s="150">
        <v>2007</v>
      </c>
      <c r="D17" s="150" t="s">
        <v>496</v>
      </c>
      <c r="E17" s="150" t="s">
        <v>0</v>
      </c>
      <c r="F17" s="148" t="str">
        <f>D17</f>
        <v>Vestas</v>
      </c>
      <c r="G17" s="150" t="s">
        <v>497</v>
      </c>
      <c r="H17" s="150" t="s">
        <v>498</v>
      </c>
      <c r="I17" s="150" t="s">
        <v>499</v>
      </c>
      <c r="J17" s="146"/>
    </row>
    <row r="18" spans="1:10" s="153" customFormat="1" ht="42">
      <c r="A18" s="150"/>
      <c r="B18" s="149">
        <v>8</v>
      </c>
      <c r="C18" s="150">
        <v>2006</v>
      </c>
      <c r="D18" s="150" t="s">
        <v>483</v>
      </c>
      <c r="E18" s="150" t="s">
        <v>484</v>
      </c>
      <c r="F18" s="148" t="str">
        <f t="shared" si="0"/>
        <v>Winfried Hoffman, Sven Teske - European Photovoltaic Industry Association (EPIA) and Greenpeace</v>
      </c>
      <c r="G18" s="150" t="s">
        <v>485</v>
      </c>
      <c r="H18" s="150" t="s">
        <v>486</v>
      </c>
      <c r="I18" s="150" t="s">
        <v>487</v>
      </c>
      <c r="J18" s="146"/>
    </row>
    <row r="19" spans="1:10" s="153" customFormat="1" ht="84" customHeight="1">
      <c r="A19" s="150" t="s">
        <v>262</v>
      </c>
      <c r="B19" s="149">
        <v>9</v>
      </c>
      <c r="C19" s="150">
        <v>2006</v>
      </c>
      <c r="D19" s="150" t="s">
        <v>278</v>
      </c>
      <c r="E19" s="150" t="s">
        <v>279</v>
      </c>
      <c r="F19" s="148" t="str">
        <f t="shared" si="0"/>
        <v>Frithjof Staiss, et al. - Forschungsvorhaben im Auftrag des Bundesministeriums für Umwelt, Naturschutz und Reaktorsicherheit, Federal Republic of Germany.</v>
      </c>
      <c r="G19" s="150" t="s">
        <v>532</v>
      </c>
      <c r="H19" s="150" t="s">
        <v>533</v>
      </c>
      <c r="I19" s="150"/>
      <c r="J19" s="146" t="s">
        <v>488</v>
      </c>
    </row>
    <row r="20" spans="1:10" s="153" customFormat="1" ht="42">
      <c r="A20" s="150" t="s">
        <v>314</v>
      </c>
      <c r="B20" s="149">
        <v>10</v>
      </c>
      <c r="C20" s="150">
        <v>2006</v>
      </c>
      <c r="D20" s="150" t="s">
        <v>323</v>
      </c>
      <c r="E20" s="150" t="s">
        <v>320</v>
      </c>
      <c r="F20" s="148" t="str">
        <f t="shared" si="0"/>
        <v>George Sterzinger - Renewable Energy Policy Project (REPP)</v>
      </c>
      <c r="G20" s="150" t="s">
        <v>324</v>
      </c>
      <c r="H20" s="150" t="s">
        <v>489</v>
      </c>
      <c r="I20" s="150" t="s">
        <v>0</v>
      </c>
      <c r="J20" s="146" t="s">
        <v>325</v>
      </c>
    </row>
    <row r="21" spans="1:10" s="153" customFormat="1" ht="70">
      <c r="A21" s="150" t="s">
        <v>490</v>
      </c>
      <c r="B21" s="149">
        <v>11</v>
      </c>
      <c r="C21" s="150">
        <v>2006</v>
      </c>
      <c r="D21" s="150" t="s">
        <v>491</v>
      </c>
      <c r="E21" s="150" t="s">
        <v>492</v>
      </c>
      <c r="F21" s="148" t="str">
        <f t="shared" si="0"/>
        <v>L. Stoddard, J. Abiecunas, R. O'Connell - National Renewable Energy Laboratory</v>
      </c>
      <c r="G21" s="150" t="s">
        <v>493</v>
      </c>
      <c r="H21" s="150" t="s">
        <v>553</v>
      </c>
      <c r="I21" s="150" t="s">
        <v>494</v>
      </c>
      <c r="J21" s="146" t="s">
        <v>495</v>
      </c>
    </row>
    <row r="22" spans="1:10" s="153" customFormat="1" ht="42">
      <c r="A22" s="150" t="s">
        <v>500</v>
      </c>
      <c r="B22" s="149">
        <v>12</v>
      </c>
      <c r="C22" s="150">
        <v>2005</v>
      </c>
      <c r="D22" s="150" t="s">
        <v>501</v>
      </c>
      <c r="E22" s="150" t="s">
        <v>502</v>
      </c>
      <c r="F22" s="148" t="str">
        <f t="shared" si="0"/>
        <v>Doug Arent, John Tschirhart, Dick Watsson - Western Governors' Association: Geothermal Task Force</v>
      </c>
      <c r="G22" s="150" t="s">
        <v>503</v>
      </c>
      <c r="H22" s="150" t="s">
        <v>504</v>
      </c>
      <c r="I22" s="150"/>
      <c r="J22" s="146" t="s">
        <v>505</v>
      </c>
    </row>
    <row r="23" spans="1:10" s="153" customFormat="1" ht="70">
      <c r="A23" s="154"/>
      <c r="B23" s="149">
        <v>13</v>
      </c>
      <c r="C23" s="150">
        <v>2005</v>
      </c>
      <c r="D23" s="150" t="s">
        <v>506</v>
      </c>
      <c r="E23" s="150" t="s">
        <v>507</v>
      </c>
      <c r="F23" s="148" t="str">
        <f t="shared" si="0"/>
        <v>Jose Gil and Hugo Lucas - Institute for Diversification and Saving of Energy (Instituto para la Diversificacion y Ahorro de la Energia, IDAE)</v>
      </c>
      <c r="G23" s="150" t="s">
        <v>508</v>
      </c>
      <c r="H23" s="150" t="s">
        <v>531</v>
      </c>
      <c r="I23" s="150" t="s">
        <v>529</v>
      </c>
      <c r="J23" s="146" t="s">
        <v>530</v>
      </c>
    </row>
    <row r="24" spans="1:10" s="153" customFormat="1" ht="56">
      <c r="A24" s="150" t="s">
        <v>269</v>
      </c>
      <c r="B24" s="149">
        <v>14</v>
      </c>
      <c r="C24" s="150">
        <v>2004</v>
      </c>
      <c r="D24" s="150" t="s">
        <v>266</v>
      </c>
      <c r="E24" s="150" t="s">
        <v>267</v>
      </c>
      <c r="F24" s="148" t="str">
        <f t="shared" si="0"/>
        <v xml:space="preserve">Daniel M. Kammen, Kamal Kapadia, and Matthias Fripp - Energy and Resources Group, Universtiy of California, Berkeley.  </v>
      </c>
      <c r="G24" s="150" t="s">
        <v>264</v>
      </c>
      <c r="H24" s="150" t="s">
        <v>270</v>
      </c>
      <c r="I24" s="150" t="s">
        <v>271</v>
      </c>
      <c r="J24" s="146" t="s">
        <v>509</v>
      </c>
    </row>
    <row r="25" spans="1:10" s="153" customFormat="1" ht="70.5" customHeight="1">
      <c r="A25" s="150" t="s">
        <v>225</v>
      </c>
      <c r="B25" s="149">
        <v>15</v>
      </c>
      <c r="C25" s="150">
        <v>2004</v>
      </c>
      <c r="D25" s="150" t="s">
        <v>268</v>
      </c>
      <c r="E25" s="150" t="s">
        <v>313</v>
      </c>
      <c r="F25" s="148" t="str">
        <f t="shared" si="0"/>
        <v>C.R. Kenley, et al.  - Idaho National Engineering and Environmental Laboratory (INEEL) and Bechtel BWXT Idaho, LLC</v>
      </c>
      <c r="G25" s="150" t="s">
        <v>510</v>
      </c>
      <c r="H25" s="150" t="s">
        <v>511</v>
      </c>
      <c r="I25" s="150" t="s">
        <v>512</v>
      </c>
      <c r="J25" s="146" t="s">
        <v>513</v>
      </c>
    </row>
    <row r="26" spans="1:10" s="153" customFormat="1" ht="70">
      <c r="A26" s="150" t="s">
        <v>314</v>
      </c>
      <c r="B26" s="149">
        <v>16</v>
      </c>
      <c r="C26" s="150">
        <v>2002</v>
      </c>
      <c r="D26" s="150" t="s">
        <v>315</v>
      </c>
      <c r="E26" s="150" t="s">
        <v>316</v>
      </c>
      <c r="F26" s="148" t="str">
        <f t="shared" si="0"/>
        <v>Heavner and Churchill - CALPIRG (California Public Interest Research Group) Charitable Trust</v>
      </c>
      <c r="G26" s="150" t="s">
        <v>317</v>
      </c>
      <c r="H26" s="150" t="s">
        <v>514</v>
      </c>
      <c r="I26" s="150" t="s">
        <v>515</v>
      </c>
      <c r="J26" s="146" t="s">
        <v>318</v>
      </c>
    </row>
    <row r="27" spans="1:10" s="153" customFormat="1" ht="112">
      <c r="A27" s="150" t="s">
        <v>314</v>
      </c>
      <c r="B27" s="149">
        <f>B26+1</f>
        <v>17</v>
      </c>
      <c r="C27" s="150">
        <v>2001</v>
      </c>
      <c r="D27" s="150" t="s">
        <v>319</v>
      </c>
      <c r="E27" s="150" t="s">
        <v>320</v>
      </c>
      <c r="F27" s="150" t="s">
        <v>535</v>
      </c>
      <c r="G27" s="150" t="s">
        <v>321</v>
      </c>
      <c r="H27" s="150" t="s">
        <v>516</v>
      </c>
      <c r="I27" s="150" t="s">
        <v>517</v>
      </c>
      <c r="J27" s="146" t="s">
        <v>322</v>
      </c>
    </row>
    <row r="28" spans="1:10">
      <c r="A28" s="150"/>
      <c r="B28" s="149"/>
      <c r="C28" s="150"/>
      <c r="D28" s="150"/>
      <c r="E28" s="150"/>
      <c r="F28" s="150"/>
      <c r="G28" s="150"/>
      <c r="H28" s="150"/>
      <c r="I28" s="150"/>
      <c r="J28" s="146"/>
    </row>
    <row r="29" spans="1:10">
      <c r="A29" s="150"/>
      <c r="B29" s="149"/>
      <c r="C29" s="150"/>
      <c r="D29" s="150"/>
      <c r="E29" s="150"/>
      <c r="F29" s="150"/>
      <c r="G29" s="150"/>
      <c r="H29" s="150"/>
      <c r="I29" s="150"/>
      <c r="J29" s="146"/>
    </row>
    <row r="30" spans="1:10">
      <c r="A30" s="150"/>
      <c r="B30" s="149"/>
      <c r="C30" s="150"/>
      <c r="D30" s="150"/>
      <c r="E30" s="150"/>
      <c r="F30" s="150"/>
      <c r="G30" s="150"/>
      <c r="H30" s="150"/>
      <c r="I30" s="150"/>
      <c r="J30" s="146"/>
    </row>
    <row r="31" spans="1:10" s="153" customFormat="1">
      <c r="A31" s="146"/>
      <c r="B31" s="156"/>
      <c r="C31" s="146"/>
      <c r="D31" s="146"/>
      <c r="E31" s="146"/>
      <c r="F31" s="146"/>
      <c r="G31" s="146"/>
      <c r="H31" s="146"/>
      <c r="I31" s="146"/>
      <c r="J31" s="146"/>
    </row>
    <row r="32" spans="1:10">
      <c r="A32" s="155"/>
      <c r="B32" s="156"/>
      <c r="C32" s="146"/>
      <c r="D32" s="146"/>
      <c r="E32" s="146"/>
      <c r="F32" s="146"/>
      <c r="G32" s="146"/>
      <c r="H32" s="146"/>
      <c r="I32" s="146"/>
      <c r="J32" s="146"/>
    </row>
    <row r="33" spans="1:10">
      <c r="A33" s="155"/>
      <c r="B33" s="156"/>
      <c r="C33" s="146"/>
      <c r="D33" s="146"/>
      <c r="E33" s="146"/>
      <c r="F33" s="146"/>
      <c r="G33" s="146"/>
      <c r="H33" s="146"/>
      <c r="I33" s="146"/>
      <c r="J33" s="146"/>
    </row>
    <row r="34" spans="1:10">
      <c r="A34" s="155"/>
      <c r="B34" s="156"/>
      <c r="C34" s="146"/>
      <c r="D34" s="146"/>
      <c r="E34" s="146"/>
      <c r="F34" s="146"/>
      <c r="G34" s="146"/>
      <c r="H34" s="146"/>
      <c r="I34" s="146"/>
      <c r="J34" s="146"/>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2" zoomScale="125" zoomScaleNormal="125" zoomScalePageLayoutView="125" workbookViewId="0">
      <pane xSplit="1" topLeftCell="AH1" activePane="topRight" state="frozen"/>
      <selection activeCell="A33" sqref="A33"/>
      <selection pane="topRight" activeCell="AM45" sqref="AM45"/>
    </sheetView>
  </sheetViews>
  <sheetFormatPr baseColWidth="10" defaultColWidth="12.5" defaultRowHeight="16" x14ac:dyDescent="0"/>
  <cols>
    <col min="1" max="1" width="47.33203125" style="5" customWidth="1"/>
    <col min="2" max="2" width="13.6640625" style="345" bestFit="1" customWidth="1"/>
    <col min="3" max="6" width="13.1640625" style="345" bestFit="1" customWidth="1"/>
    <col min="7" max="7" width="13.1640625" style="300" bestFit="1" customWidth="1"/>
    <col min="8" max="19" width="14.5" style="300" bestFit="1" customWidth="1"/>
    <col min="20" max="21" width="16.5" style="300" bestFit="1" customWidth="1"/>
    <col min="22" max="37" width="12.5" style="300"/>
    <col min="38" max="16384" width="12.5" style="5"/>
  </cols>
  <sheetData>
    <row r="1" spans="1:37">
      <c r="A1" s="269" t="s">
        <v>63</v>
      </c>
    </row>
    <row r="2" spans="1:37">
      <c r="A2" s="273" t="s">
        <v>703</v>
      </c>
    </row>
    <row r="3" spans="1:37">
      <c r="A3" s="273" t="s">
        <v>655</v>
      </c>
    </row>
    <row r="4" spans="1:37">
      <c r="A4" s="273" t="s">
        <v>591</v>
      </c>
    </row>
    <row r="6" spans="1:37">
      <c r="A6" s="6" t="s">
        <v>64</v>
      </c>
    </row>
    <row r="7" spans="1:37">
      <c r="A7" s="6" t="s">
        <v>65</v>
      </c>
    </row>
    <row r="8" spans="1:37">
      <c r="A8" s="78" t="s">
        <v>280</v>
      </c>
    </row>
    <row r="10" spans="1:37">
      <c r="AK10" s="301"/>
    </row>
    <row r="11" spans="1:37">
      <c r="B11" s="365" t="s">
        <v>7</v>
      </c>
      <c r="C11" s="365" t="s">
        <v>8</v>
      </c>
      <c r="D11" s="365" t="s">
        <v>9</v>
      </c>
      <c r="E11" s="365" t="s">
        <v>10</v>
      </c>
      <c r="F11" s="365" t="s">
        <v>11</v>
      </c>
      <c r="G11" s="320" t="s">
        <v>12</v>
      </c>
      <c r="H11" s="320" t="s">
        <v>13</v>
      </c>
      <c r="I11" s="320" t="s">
        <v>14</v>
      </c>
      <c r="J11" s="320" t="s">
        <v>15</v>
      </c>
      <c r="K11" s="320" t="s">
        <v>16</v>
      </c>
      <c r="L11" s="320" t="s">
        <v>17</v>
      </c>
      <c r="M11" s="320" t="s">
        <v>18</v>
      </c>
      <c r="N11" s="320" t="s">
        <v>19</v>
      </c>
      <c r="O11" s="320" t="s">
        <v>20</v>
      </c>
      <c r="P11" s="320" t="s">
        <v>21</v>
      </c>
      <c r="Q11" s="320" t="s">
        <v>22</v>
      </c>
      <c r="R11" s="320" t="s">
        <v>23</v>
      </c>
      <c r="S11" s="320" t="s">
        <v>24</v>
      </c>
      <c r="T11" s="320" t="s">
        <v>25</v>
      </c>
      <c r="U11" s="320" t="s">
        <v>26</v>
      </c>
      <c r="V11" s="320" t="s">
        <v>27</v>
      </c>
      <c r="W11" s="320" t="s">
        <v>28</v>
      </c>
      <c r="X11" s="320" t="s">
        <v>29</v>
      </c>
      <c r="Y11" s="320" t="s">
        <v>30</v>
      </c>
      <c r="Z11" s="320" t="s">
        <v>31</v>
      </c>
      <c r="AA11" s="320" t="s">
        <v>581</v>
      </c>
      <c r="AB11" s="320" t="s">
        <v>582</v>
      </c>
      <c r="AC11" s="320" t="s">
        <v>583</v>
      </c>
      <c r="AD11" s="320" t="s">
        <v>584</v>
      </c>
      <c r="AE11" s="320" t="s">
        <v>585</v>
      </c>
      <c r="AF11" s="320" t="s">
        <v>586</v>
      </c>
      <c r="AG11" s="320" t="s">
        <v>587</v>
      </c>
      <c r="AH11" s="320" t="s">
        <v>588</v>
      </c>
      <c r="AI11" s="320" t="s">
        <v>589</v>
      </c>
      <c r="AJ11" s="320" t="s">
        <v>590</v>
      </c>
      <c r="AK11" s="320" t="s">
        <v>593</v>
      </c>
    </row>
    <row r="14" spans="1:37">
      <c r="A14" s="6" t="s">
        <v>66</v>
      </c>
    </row>
    <row r="16" spans="1:37">
      <c r="A16" s="6" t="s">
        <v>32</v>
      </c>
    </row>
    <row r="17" spans="1:38" s="252" customFormat="1">
      <c r="A17" s="251" t="s">
        <v>67</v>
      </c>
      <c r="B17" s="345"/>
      <c r="C17" s="345"/>
      <c r="D17" s="345"/>
      <c r="E17" s="345"/>
      <c r="F17" s="345"/>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row>
    <row r="18" spans="1:38" s="252" customFormat="1">
      <c r="A18" s="251"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2" customFormat="1">
      <c r="A19" s="251"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2" customFormat="1">
      <c r="A20" s="251"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2" customFormat="1">
      <c r="A21" s="251"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2" customFormat="1">
      <c r="A22" s="251"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2" customFormat="1">
      <c r="A23" s="251"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2" customFormat="1">
      <c r="A24" s="251"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2" customFormat="1">
      <c r="A25" s="251"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2" customFormat="1">
      <c r="A26" s="251"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2" customFormat="1">
      <c r="A27" s="251"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2" customFormat="1">
      <c r="A28" s="251"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2" customFormat="1">
      <c r="A29" s="251"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2" customFormat="1">
      <c r="A30" s="251"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2" customFormat="1">
      <c r="A31" s="251"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2" customFormat="1">
      <c r="A32" s="251"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2" customFormat="1">
      <c r="A33" s="251"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2"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4" t="s">
        <v>747</v>
      </c>
    </row>
    <row r="35" spans="1:44" s="252" customFormat="1">
      <c r="A35" s="251" t="s">
        <v>740</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6"/>
    </row>
    <row r="36" spans="1:44" s="252" customFormat="1">
      <c r="A36" s="501" t="s">
        <v>718</v>
      </c>
      <c r="G36" s="499">
        <v>6.7525570000000004</v>
      </c>
      <c r="H36" s="499">
        <v>3.5043920000000002</v>
      </c>
      <c r="I36" s="499">
        <v>3.808986</v>
      </c>
      <c r="J36" s="499">
        <v>3.7892760000000001</v>
      </c>
      <c r="K36" s="499">
        <v>3.8264260000000001</v>
      </c>
      <c r="L36" s="499">
        <v>0.51893500000000004</v>
      </c>
      <c r="M36" s="499">
        <v>1.977149</v>
      </c>
      <c r="N36" s="499">
        <v>3.7579729999999998</v>
      </c>
      <c r="O36" s="499">
        <v>4.4962569999999999</v>
      </c>
      <c r="P36" s="499">
        <v>4.6483160000000003</v>
      </c>
      <c r="Q36" s="499">
        <v>4.7586810000000002</v>
      </c>
      <c r="R36" s="499">
        <v>4.8338950000000001</v>
      </c>
      <c r="S36" s="499">
        <v>4.8903150000000002</v>
      </c>
      <c r="T36" s="499">
        <v>4.9169400000000003</v>
      </c>
      <c r="U36" s="499">
        <v>4.9432900000000002</v>
      </c>
      <c r="V36" s="499">
        <v>4.9453170000000002</v>
      </c>
      <c r="W36" s="499">
        <v>7.655583</v>
      </c>
      <c r="X36" s="499">
        <v>8.3737429999999993</v>
      </c>
      <c r="Y36" s="499">
        <v>8.4992839999999994</v>
      </c>
      <c r="Z36" s="499">
        <v>8.5482790000000008</v>
      </c>
      <c r="AA36" s="499">
        <v>8.5025320000000004</v>
      </c>
      <c r="AB36" s="499">
        <v>7.5440420000000001</v>
      </c>
      <c r="AC36" s="499">
        <v>7.4135530000000003</v>
      </c>
      <c r="AD36" s="499">
        <v>7.1312059999999997</v>
      </c>
      <c r="AE36" s="499">
        <v>6.9607929999999998</v>
      </c>
      <c r="AF36" s="499">
        <v>7.9209329999999998</v>
      </c>
      <c r="AG36" s="499">
        <v>7.7948329999999997</v>
      </c>
      <c r="AH36" s="499">
        <v>7.9597049999999996</v>
      </c>
      <c r="AI36" s="499">
        <v>7.962853</v>
      </c>
      <c r="AJ36" s="499">
        <v>7.9601879999999996</v>
      </c>
      <c r="AK36" s="503">
        <v>0.03</v>
      </c>
      <c r="AL36" s="515" t="s">
        <v>68</v>
      </c>
      <c r="AM36" s="518">
        <v>1.2992798298040845E-2</v>
      </c>
    </row>
    <row r="37" spans="1:44" s="252" customFormat="1">
      <c r="A37" s="501" t="s">
        <v>719</v>
      </c>
      <c r="G37" s="499">
        <v>0.49390099999999998</v>
      </c>
      <c r="H37" s="499">
        <v>0.31614900000000001</v>
      </c>
      <c r="I37" s="499">
        <v>0.31676500000000002</v>
      </c>
      <c r="J37" s="499">
        <v>0.316133</v>
      </c>
      <c r="K37" s="499">
        <v>0.32009199999999999</v>
      </c>
      <c r="L37" s="499">
        <v>0.30642799999999998</v>
      </c>
      <c r="M37" s="499">
        <v>0.12645100000000001</v>
      </c>
      <c r="N37" s="499">
        <v>0.135523</v>
      </c>
      <c r="O37" s="499">
        <v>0.15127199999999999</v>
      </c>
      <c r="P37" s="499">
        <v>0.15249099999999999</v>
      </c>
      <c r="Q37" s="499">
        <v>0.14000399999999999</v>
      </c>
      <c r="R37" s="499">
        <v>0.126309</v>
      </c>
      <c r="S37" s="499">
        <v>0.12589600000000001</v>
      </c>
      <c r="T37" s="499">
        <v>0.111445</v>
      </c>
      <c r="U37" s="499">
        <v>0.11146300000000001</v>
      </c>
      <c r="V37" s="499">
        <v>0.107456</v>
      </c>
      <c r="W37" s="499">
        <v>0.116605</v>
      </c>
      <c r="X37" s="499">
        <v>0.11634700000000001</v>
      </c>
      <c r="Y37" s="499">
        <v>0.11666799999999999</v>
      </c>
      <c r="Z37" s="499">
        <v>0.116315</v>
      </c>
      <c r="AA37" s="499">
        <v>0.11608499999999999</v>
      </c>
      <c r="AB37" s="499">
        <v>0.111232</v>
      </c>
      <c r="AC37" s="499">
        <v>0.109651</v>
      </c>
      <c r="AD37" s="499">
        <v>0.108601</v>
      </c>
      <c r="AE37" s="499">
        <v>0.10445500000000001</v>
      </c>
      <c r="AF37" s="499">
        <v>0.108044</v>
      </c>
      <c r="AG37" s="499">
        <v>0.106026</v>
      </c>
      <c r="AH37" s="499">
        <v>0.10667500000000001</v>
      </c>
      <c r="AI37" s="499">
        <v>0.106752</v>
      </c>
      <c r="AJ37" s="499">
        <v>0.10688499999999999</v>
      </c>
      <c r="AK37" s="503">
        <v>-3.7999999999999999E-2</v>
      </c>
      <c r="AL37" s="516" t="s">
        <v>69</v>
      </c>
      <c r="AM37" s="518">
        <v>0.18502174857352294</v>
      </c>
    </row>
    <row r="38" spans="1:44" s="252" customFormat="1">
      <c r="A38" s="501" t="s">
        <v>720</v>
      </c>
      <c r="G38" s="499">
        <v>60.120468000000002</v>
      </c>
      <c r="H38" s="499">
        <v>59.136775999999998</v>
      </c>
      <c r="I38" s="499">
        <v>57.556838999999997</v>
      </c>
      <c r="J38" s="499">
        <v>59.804988999999999</v>
      </c>
      <c r="K38" s="499">
        <v>61.140937999999998</v>
      </c>
      <c r="L38" s="499">
        <v>62.739593999999997</v>
      </c>
      <c r="M38" s="499">
        <v>64.429832000000005</v>
      </c>
      <c r="N38" s="499">
        <v>64.716942000000003</v>
      </c>
      <c r="O38" s="499">
        <v>64.397835000000001</v>
      </c>
      <c r="P38" s="499">
        <v>63.041859000000002</v>
      </c>
      <c r="Q38" s="499">
        <v>62.221569000000002</v>
      </c>
      <c r="R38" s="499">
        <v>60.427760999999997</v>
      </c>
      <c r="S38" s="499">
        <v>59.087139000000001</v>
      </c>
      <c r="T38" s="499">
        <v>58.561230000000002</v>
      </c>
      <c r="U38" s="499">
        <v>58.343468000000001</v>
      </c>
      <c r="V38" s="499">
        <v>56.555762999999999</v>
      </c>
      <c r="W38" s="499">
        <v>53.923481000000002</v>
      </c>
      <c r="X38" s="499">
        <v>53.938248000000002</v>
      </c>
      <c r="Y38" s="499">
        <v>52.001984</v>
      </c>
      <c r="Z38" s="499">
        <v>52.861697999999997</v>
      </c>
      <c r="AA38" s="499">
        <v>53.639522999999997</v>
      </c>
      <c r="AB38" s="499">
        <v>55.338158</v>
      </c>
      <c r="AC38" s="499">
        <v>56.951019000000002</v>
      </c>
      <c r="AD38" s="499">
        <v>57.930798000000003</v>
      </c>
      <c r="AE38" s="499">
        <v>57.294303999999997</v>
      </c>
      <c r="AF38" s="499">
        <v>56.735844</v>
      </c>
      <c r="AG38" s="499">
        <v>56.341751000000002</v>
      </c>
      <c r="AH38" s="499">
        <v>55.824654000000002</v>
      </c>
      <c r="AI38" s="499">
        <v>55.084305000000001</v>
      </c>
      <c r="AJ38" s="499">
        <v>53.249447000000004</v>
      </c>
      <c r="AK38" s="503">
        <v>-4.0000000000000001E-3</v>
      </c>
      <c r="AL38" s="516" t="s">
        <v>76</v>
      </c>
      <c r="AM38" s="518">
        <v>0.13846264887907483</v>
      </c>
    </row>
    <row r="39" spans="1:44" s="252" customFormat="1">
      <c r="A39" s="501" t="s">
        <v>721</v>
      </c>
      <c r="G39" s="499">
        <v>34.283000999999999</v>
      </c>
      <c r="H39" s="499">
        <v>36.116000999999997</v>
      </c>
      <c r="I39" s="499">
        <v>34.966087000000002</v>
      </c>
      <c r="J39" s="499">
        <v>35.118301000000002</v>
      </c>
      <c r="K39" s="499">
        <v>31.215707999999999</v>
      </c>
      <c r="L39" s="499">
        <v>31.559362</v>
      </c>
      <c r="M39" s="499">
        <v>31.635732999999998</v>
      </c>
      <c r="N39" s="499">
        <v>31.712149</v>
      </c>
      <c r="O39" s="499">
        <v>31.788599000000001</v>
      </c>
      <c r="P39" s="499">
        <v>31.810466999999999</v>
      </c>
      <c r="Q39" s="499">
        <v>31.810469000000001</v>
      </c>
      <c r="R39" s="499">
        <v>31.810469000000001</v>
      </c>
      <c r="S39" s="499">
        <v>31.810466999999999</v>
      </c>
      <c r="T39" s="499">
        <v>31.810466999999999</v>
      </c>
      <c r="U39" s="499">
        <v>31.810466999999999</v>
      </c>
      <c r="V39" s="499">
        <v>31.810466999999999</v>
      </c>
      <c r="W39" s="499">
        <v>31.810469000000001</v>
      </c>
      <c r="X39" s="499">
        <v>31.810466999999999</v>
      </c>
      <c r="Y39" s="499">
        <v>31.810466999999999</v>
      </c>
      <c r="Z39" s="499">
        <v>31.810466999999999</v>
      </c>
      <c r="AA39" s="499">
        <v>31.810466999999999</v>
      </c>
      <c r="AB39" s="499">
        <v>31.810466999999999</v>
      </c>
      <c r="AC39" s="499">
        <v>31.810466999999999</v>
      </c>
      <c r="AD39" s="499">
        <v>31.810466999999999</v>
      </c>
      <c r="AE39" s="499">
        <v>31.810466999999999</v>
      </c>
      <c r="AF39" s="499">
        <v>31.810466999999999</v>
      </c>
      <c r="AG39" s="499">
        <v>31.810469000000001</v>
      </c>
      <c r="AH39" s="499">
        <v>31.810469000000001</v>
      </c>
      <c r="AI39" s="499">
        <v>31.810466999999999</v>
      </c>
      <c r="AJ39" s="499">
        <v>31.810466999999999</v>
      </c>
      <c r="AK39" s="503">
        <v>-5.0000000000000001E-3</v>
      </c>
      <c r="AL39" s="516" t="s">
        <v>741</v>
      </c>
      <c r="AM39" s="518">
        <v>0</v>
      </c>
    </row>
    <row r="40" spans="1:44" s="252" customFormat="1">
      <c r="A40" s="501" t="s">
        <v>722</v>
      </c>
      <c r="G40" s="499">
        <v>1.3623000000000001</v>
      </c>
      <c r="H40" s="499">
        <v>1.4923</v>
      </c>
      <c r="I40" s="499">
        <v>1.5477749999999999</v>
      </c>
      <c r="J40" s="499">
        <v>1.5477749999999999</v>
      </c>
      <c r="K40" s="499">
        <v>1.5477749999999999</v>
      </c>
      <c r="L40" s="499">
        <v>1.547776</v>
      </c>
      <c r="M40" s="499">
        <v>1.547776</v>
      </c>
      <c r="N40" s="499">
        <v>1.547776</v>
      </c>
      <c r="O40" s="499">
        <v>1.547776</v>
      </c>
      <c r="P40" s="499">
        <v>1.547776</v>
      </c>
      <c r="Q40" s="499">
        <v>1.547776</v>
      </c>
      <c r="R40" s="499">
        <v>1.5477749999999999</v>
      </c>
      <c r="S40" s="499">
        <v>1.547776</v>
      </c>
      <c r="T40" s="499">
        <v>1.547776</v>
      </c>
      <c r="U40" s="499">
        <v>1.5483530000000001</v>
      </c>
      <c r="V40" s="499">
        <v>1.548573</v>
      </c>
      <c r="W40" s="499">
        <v>1.548573</v>
      </c>
      <c r="X40" s="499">
        <v>1.54914</v>
      </c>
      <c r="Y40" s="499">
        <v>1.549266</v>
      </c>
      <c r="Z40" s="499">
        <v>1.549266</v>
      </c>
      <c r="AA40" s="499">
        <v>1.549266</v>
      </c>
      <c r="AB40" s="499">
        <v>1.549266</v>
      </c>
      <c r="AC40" s="499">
        <v>1.5496559999999999</v>
      </c>
      <c r="AD40" s="499">
        <v>1.5499160000000001</v>
      </c>
      <c r="AE40" s="499">
        <v>1.5502659999999999</v>
      </c>
      <c r="AF40" s="499">
        <v>1.550602</v>
      </c>
      <c r="AG40" s="499">
        <v>1.5508949999999999</v>
      </c>
      <c r="AH40" s="499">
        <v>1.551134</v>
      </c>
      <c r="AI40" s="499">
        <v>1.5512170000000001</v>
      </c>
      <c r="AJ40" s="499">
        <v>1.551247</v>
      </c>
      <c r="AK40" s="503">
        <v>1E-3</v>
      </c>
      <c r="AL40" s="517" t="s">
        <v>225</v>
      </c>
      <c r="AM40" s="518">
        <v>0</v>
      </c>
    </row>
    <row r="41" spans="1:44" s="252" customFormat="1">
      <c r="A41" s="501" t="s">
        <v>723</v>
      </c>
      <c r="G41" s="499">
        <v>14.253413</v>
      </c>
      <c r="H41" s="499">
        <v>13.395419</v>
      </c>
      <c r="I41" s="499">
        <v>13.504559</v>
      </c>
      <c r="J41" s="499">
        <v>13.761609999999999</v>
      </c>
      <c r="K41" s="499">
        <v>17.261755000000001</v>
      </c>
      <c r="L41" s="499">
        <v>20.711266999999999</v>
      </c>
      <c r="M41" s="499">
        <v>20.864622000000001</v>
      </c>
      <c r="N41" s="499">
        <v>20.936495000000001</v>
      </c>
      <c r="O41" s="499">
        <v>21.051438999999998</v>
      </c>
      <c r="P41" s="499">
        <v>21.151378999999999</v>
      </c>
      <c r="Q41" s="499">
        <v>21.574871000000002</v>
      </c>
      <c r="R41" s="499">
        <v>21.533821</v>
      </c>
      <c r="S41" s="499">
        <v>21.861111000000001</v>
      </c>
      <c r="T41" s="499">
        <v>21.878026999999999</v>
      </c>
      <c r="U41" s="499">
        <v>21.853370999999999</v>
      </c>
      <c r="V41" s="499">
        <v>21.884357000000001</v>
      </c>
      <c r="W41" s="499">
        <v>22.159044000000002</v>
      </c>
      <c r="X41" s="499">
        <v>22.700935000000001</v>
      </c>
      <c r="Y41" s="499">
        <v>22.697831999999998</v>
      </c>
      <c r="Z41" s="499">
        <v>22.681452</v>
      </c>
      <c r="AA41" s="499">
        <v>22.725404999999999</v>
      </c>
      <c r="AB41" s="499">
        <v>22.671658000000001</v>
      </c>
      <c r="AC41" s="499">
        <v>22.804096000000001</v>
      </c>
      <c r="AD41" s="499">
        <v>22.934550999999999</v>
      </c>
      <c r="AE41" s="499">
        <v>22.962858000000001</v>
      </c>
      <c r="AF41" s="499">
        <v>23.487137000000001</v>
      </c>
      <c r="AG41" s="499">
        <v>23.953323000000001</v>
      </c>
      <c r="AH41" s="499">
        <v>23.816199999999998</v>
      </c>
      <c r="AI41" s="499">
        <v>23.864515000000001</v>
      </c>
      <c r="AJ41" s="499">
        <v>23.964524999999998</v>
      </c>
      <c r="AK41" s="503">
        <v>2.1000000000000001E-2</v>
      </c>
      <c r="AL41" s="517" t="s">
        <v>378</v>
      </c>
      <c r="AM41" s="518">
        <v>0.50224194283883095</v>
      </c>
    </row>
    <row r="42" spans="1:44" s="252" customFormat="1">
      <c r="A42" s="501" t="s">
        <v>724</v>
      </c>
      <c r="G42" s="499">
        <v>0</v>
      </c>
      <c r="H42" s="499">
        <v>0</v>
      </c>
      <c r="I42" s="499">
        <v>0</v>
      </c>
      <c r="J42" s="499">
        <v>0</v>
      </c>
      <c r="K42" s="499">
        <v>0</v>
      </c>
      <c r="L42" s="499">
        <v>0</v>
      </c>
      <c r="M42" s="499">
        <v>0</v>
      </c>
      <c r="N42" s="499">
        <v>0</v>
      </c>
      <c r="O42" s="499">
        <v>0</v>
      </c>
      <c r="P42" s="499">
        <v>0</v>
      </c>
      <c r="Q42" s="499">
        <v>0</v>
      </c>
      <c r="R42" s="499">
        <v>0</v>
      </c>
      <c r="S42" s="499">
        <v>0</v>
      </c>
      <c r="T42" s="499">
        <v>0</v>
      </c>
      <c r="U42" s="499">
        <v>0</v>
      </c>
      <c r="V42" s="499">
        <v>0</v>
      </c>
      <c r="W42" s="499">
        <v>0</v>
      </c>
      <c r="X42" s="499">
        <v>0</v>
      </c>
      <c r="Y42" s="499">
        <v>0</v>
      </c>
      <c r="Z42" s="499">
        <v>0</v>
      </c>
      <c r="AA42" s="499">
        <v>0</v>
      </c>
      <c r="AB42" s="499">
        <v>0</v>
      </c>
      <c r="AC42" s="499">
        <v>0</v>
      </c>
      <c r="AD42" s="499">
        <v>0</v>
      </c>
      <c r="AE42" s="499">
        <v>0</v>
      </c>
      <c r="AF42" s="499">
        <v>0</v>
      </c>
      <c r="AG42" s="499">
        <v>0</v>
      </c>
      <c r="AH42" s="499">
        <v>0</v>
      </c>
      <c r="AI42" s="499">
        <v>0</v>
      </c>
      <c r="AJ42" s="499">
        <v>0</v>
      </c>
      <c r="AK42" s="499" t="s">
        <v>41</v>
      </c>
      <c r="AL42" s="517" t="s">
        <v>742</v>
      </c>
      <c r="AM42" s="518">
        <v>0</v>
      </c>
    </row>
    <row r="43" spans="1:44" s="252" customFormat="1">
      <c r="A43" s="502" t="s">
        <v>725</v>
      </c>
      <c r="G43" s="500">
        <v>117.26564</v>
      </c>
      <c r="H43" s="500">
        <v>113.961037</v>
      </c>
      <c r="I43" s="500">
        <v>111.701019</v>
      </c>
      <c r="J43" s="500">
        <v>114.338089</v>
      </c>
      <c r="K43" s="500">
        <v>115.312698</v>
      </c>
      <c r="L43" s="500">
        <v>117.38336200000001</v>
      </c>
      <c r="M43" s="500">
        <v>120.581566</v>
      </c>
      <c r="N43" s="500">
        <v>122.806854</v>
      </c>
      <c r="O43" s="500">
        <v>123.43317399999999</v>
      </c>
      <c r="P43" s="500">
        <v>122.352295</v>
      </c>
      <c r="Q43" s="500">
        <v>122.053375</v>
      </c>
      <c r="R43" s="500">
        <v>120.280029</v>
      </c>
      <c r="S43" s="500">
        <v>119.32270800000001</v>
      </c>
      <c r="T43" s="500">
        <v>118.82589</v>
      </c>
      <c r="U43" s="500">
        <v>118.61041299999999</v>
      </c>
      <c r="V43" s="500">
        <v>116.851944</v>
      </c>
      <c r="W43" s="500">
        <v>117.21375999999999</v>
      </c>
      <c r="X43" s="500">
        <v>118.488876</v>
      </c>
      <c r="Y43" s="500">
        <v>116.675499</v>
      </c>
      <c r="Z43" s="500">
        <v>117.567474</v>
      </c>
      <c r="AA43" s="500">
        <v>118.34326900000001</v>
      </c>
      <c r="AB43" s="500">
        <v>119.024811</v>
      </c>
      <c r="AC43" s="500">
        <v>120.638428</v>
      </c>
      <c r="AD43" s="500">
        <v>121.46553</v>
      </c>
      <c r="AE43" s="500">
        <v>120.683136</v>
      </c>
      <c r="AF43" s="500">
        <v>121.613022</v>
      </c>
      <c r="AG43" s="500">
        <v>121.55729700000001</v>
      </c>
      <c r="AH43" s="500">
        <v>121.068832</v>
      </c>
      <c r="AI43" s="500">
        <v>120.380112</v>
      </c>
      <c r="AJ43" s="500">
        <v>118.642754</v>
      </c>
      <c r="AK43" s="504">
        <v>1E-3</v>
      </c>
      <c r="AL43" s="517" t="s">
        <v>743</v>
      </c>
      <c r="AM43" s="518">
        <v>0.1756314814791135</v>
      </c>
    </row>
    <row r="44" spans="1:44" s="252" customFormat="1">
      <c r="A44" s="251"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0.12979482586371291</v>
      </c>
    </row>
    <row r="45" spans="1:44" s="252" customFormat="1">
      <c r="A45" s="251"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2" customFormat="1">
      <c r="A46" s="251"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4" customFormat="1">
      <c r="B47" s="365" t="s">
        <v>7</v>
      </c>
      <c r="C47" s="365" t="s">
        <v>8</v>
      </c>
      <c r="D47" s="365" t="s">
        <v>9</v>
      </c>
      <c r="E47" s="365" t="s">
        <v>10</v>
      </c>
      <c r="F47" s="365" t="s">
        <v>11</v>
      </c>
      <c r="G47" s="324" t="s">
        <v>12</v>
      </c>
      <c r="H47" s="324" t="s">
        <v>13</v>
      </c>
      <c r="I47" s="324" t="s">
        <v>14</v>
      </c>
      <c r="J47" s="324" t="s">
        <v>15</v>
      </c>
      <c r="K47" s="324" t="s">
        <v>16</v>
      </c>
      <c r="L47" s="324" t="s">
        <v>17</v>
      </c>
      <c r="M47" s="324" t="s">
        <v>18</v>
      </c>
      <c r="N47" s="324" t="s">
        <v>19</v>
      </c>
      <c r="O47" s="324" t="s">
        <v>20</v>
      </c>
      <c r="P47" s="324" t="s">
        <v>21</v>
      </c>
      <c r="Q47" s="324" t="s">
        <v>22</v>
      </c>
      <c r="R47" s="324" t="s">
        <v>23</v>
      </c>
      <c r="S47" s="324" t="s">
        <v>24</v>
      </c>
      <c r="T47" s="324" t="s">
        <v>25</v>
      </c>
      <c r="U47" s="324" t="s">
        <v>26</v>
      </c>
      <c r="V47" s="324" t="s">
        <v>27</v>
      </c>
      <c r="W47" s="324" t="s">
        <v>28</v>
      </c>
      <c r="X47" s="324" t="s">
        <v>29</v>
      </c>
      <c r="Y47" s="324" t="s">
        <v>30</v>
      </c>
      <c r="Z47" s="324" t="s">
        <v>31</v>
      </c>
      <c r="AA47" s="324" t="s">
        <v>581</v>
      </c>
      <c r="AB47" s="324" t="s">
        <v>582</v>
      </c>
      <c r="AC47" s="324" t="s">
        <v>583</v>
      </c>
      <c r="AD47" s="324" t="s">
        <v>584</v>
      </c>
      <c r="AE47" s="324" t="s">
        <v>585</v>
      </c>
      <c r="AF47" s="324" t="s">
        <v>586</v>
      </c>
      <c r="AG47" s="324" t="s">
        <v>587</v>
      </c>
      <c r="AH47" s="324" t="s">
        <v>588</v>
      </c>
      <c r="AI47" s="324" t="s">
        <v>589</v>
      </c>
      <c r="AJ47" s="324" t="s">
        <v>590</v>
      </c>
      <c r="AK47" s="324" t="s">
        <v>593</v>
      </c>
    </row>
    <row r="48" spans="1:44" s="256" customFormat="1">
      <c r="A48" s="255" t="s">
        <v>746</v>
      </c>
      <c r="B48" s="366"/>
      <c r="C48" s="366"/>
      <c r="D48" s="366"/>
      <c r="E48" s="366"/>
      <c r="F48" s="366"/>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M48" s="256" t="s">
        <v>745</v>
      </c>
      <c r="AN48" s="256">
        <v>2006</v>
      </c>
      <c r="AO48" s="256">
        <v>2007</v>
      </c>
      <c r="AP48" s="256">
        <v>2008</v>
      </c>
      <c r="AQ48" s="256">
        <v>2009</v>
      </c>
      <c r="AR48" s="256">
        <v>2010</v>
      </c>
    </row>
    <row r="49" spans="1:44" s="256" customFormat="1">
      <c r="A49" s="255" t="s">
        <v>68</v>
      </c>
      <c r="B49" s="505">
        <f>AN51</f>
        <v>0.32100000000000001</v>
      </c>
      <c r="C49" s="505">
        <f t="shared" ref="C49:F49" si="0">AO51</f>
        <v>0.376</v>
      </c>
      <c r="D49" s="505">
        <f t="shared" si="0"/>
        <v>0.35199999999999998</v>
      </c>
      <c r="E49" s="505">
        <f t="shared" si="0"/>
        <v>7.1999999999999995E-2</v>
      </c>
      <c r="F49" s="505">
        <f t="shared" si="0"/>
        <v>8.6999999999999994E-2</v>
      </c>
      <c r="G49" s="485">
        <f t="shared" ref="G49:AJ49" si="1">G36*$AM36</f>
        <v>8.7734611097023796E-2</v>
      </c>
      <c r="H49" s="485">
        <f t="shared" si="1"/>
        <v>4.5531858413267956E-2</v>
      </c>
      <c r="I49" s="485">
        <f t="shared" si="1"/>
        <v>4.9489386818061407E-2</v>
      </c>
      <c r="J49" s="485">
        <f t="shared" si="1"/>
        <v>4.9233298763607027E-2</v>
      </c>
      <c r="K49" s="485">
        <f t="shared" si="1"/>
        <v>4.9715981220379242E-2</v>
      </c>
      <c r="L49" s="485">
        <f t="shared" si="1"/>
        <v>6.7424177847938268E-3</v>
      </c>
      <c r="M49" s="485">
        <f t="shared" si="1"/>
        <v>2.568869816217316E-2</v>
      </c>
      <c r="N49" s="485">
        <f t="shared" si="1"/>
        <v>4.8826585198483444E-2</v>
      </c>
      <c r="O49" s="485">
        <f t="shared" si="1"/>
        <v>5.8418960297154238E-2</v>
      </c>
      <c r="P49" s="485">
        <f t="shared" si="1"/>
        <v>6.0394632213556038E-2</v>
      </c>
      <c r="Q49" s="485">
        <f t="shared" si="1"/>
        <v>6.1828582397719309E-2</v>
      </c>
      <c r="R49" s="485">
        <f t="shared" si="1"/>
        <v>6.2805822728908153E-2</v>
      </c>
      <c r="S49" s="485">
        <f t="shared" si="1"/>
        <v>6.3538876408883616E-2</v>
      </c>
      <c r="T49" s="485">
        <f t="shared" si="1"/>
        <v>6.3884809663568964E-2</v>
      </c>
      <c r="U49" s="485">
        <f t="shared" si="1"/>
        <v>6.4227169898722333E-2</v>
      </c>
      <c r="V49" s="485">
        <f t="shared" si="1"/>
        <v>6.4253506300872468E-2</v>
      </c>
      <c r="W49" s="485">
        <f t="shared" si="1"/>
        <v>9.9467445772910432E-2</v>
      </c>
      <c r="X49" s="485">
        <f t="shared" si="1"/>
        <v>0.10879835379863144</v>
      </c>
      <c r="Y49" s="485">
        <f t="shared" si="1"/>
        <v>0.11042948268976578</v>
      </c>
      <c r="Z49" s="485">
        <f t="shared" si="1"/>
        <v>0.11106606484237831</v>
      </c>
      <c r="AA49" s="485">
        <f t="shared" si="1"/>
        <v>0.11047168329863782</v>
      </c>
      <c r="AB49" s="485">
        <f t="shared" si="1"/>
        <v>9.8018216057948651E-2</v>
      </c>
      <c r="AC49" s="485">
        <f t="shared" si="1"/>
        <v>9.6322798800835607E-2</v>
      </c>
      <c r="AD49" s="485">
        <f t="shared" si="1"/>
        <v>9.2654321179778662E-2</v>
      </c>
      <c r="AE49" s="485">
        <f t="shared" si="1"/>
        <v>9.0440179443414634E-2</v>
      </c>
      <c r="AF49" s="485">
        <f t="shared" si="1"/>
        <v>0.10291508480129556</v>
      </c>
      <c r="AG49" s="485">
        <f t="shared" si="1"/>
        <v>0.10127669293591261</v>
      </c>
      <c r="AH49" s="485">
        <f t="shared" si="1"/>
        <v>0.1034188415769072</v>
      </c>
      <c r="AI49" s="485">
        <f t="shared" si="1"/>
        <v>0.10345974290594943</v>
      </c>
      <c r="AJ49" s="485">
        <f t="shared" si="1"/>
        <v>0.10342511709848516</v>
      </c>
      <c r="AK49"/>
    </row>
    <row r="50" spans="1:44" s="256" customFormat="1">
      <c r="A50" s="255" t="s">
        <v>69</v>
      </c>
      <c r="B50" s="505">
        <f t="shared" ref="B50:B51" si="2">AN52</f>
        <v>0.59499999999999997</v>
      </c>
      <c r="C50" s="505">
        <f t="shared" ref="C50:C51" si="3">AO52</f>
        <v>0.81799999999999995</v>
      </c>
      <c r="D50" s="505">
        <f t="shared" ref="D50:D51" si="4">AP52</f>
        <v>0.53300000000000003</v>
      </c>
      <c r="E50" s="505">
        <f t="shared" ref="E50:E51" si="5">AQ52</f>
        <v>0.433</v>
      </c>
      <c r="F50" s="505">
        <f t="shared" ref="F50:F51" si="6">AR52</f>
        <v>0.27200000000000002</v>
      </c>
      <c r="G50" s="485">
        <f t="shared" ref="G50:AJ50" si="7">G37*$AM37</f>
        <v>9.1382426642211551E-2</v>
      </c>
      <c r="H50" s="485">
        <f t="shared" si="7"/>
        <v>5.8494440789770709E-2</v>
      </c>
      <c r="I50" s="485">
        <f t="shared" si="7"/>
        <v>5.8608414186891999E-2</v>
      </c>
      <c r="J50" s="485">
        <f t="shared" si="7"/>
        <v>5.8491480441793524E-2</v>
      </c>
      <c r="K50" s="485">
        <f t="shared" si="7"/>
        <v>5.92239815443961E-2</v>
      </c>
      <c r="L50" s="485">
        <f t="shared" si="7"/>
        <v>5.6695844371887481E-2</v>
      </c>
      <c r="M50" s="485">
        <f t="shared" si="7"/>
        <v>2.339618512887055E-2</v>
      </c>
      <c r="N50" s="485">
        <f t="shared" si="7"/>
        <v>2.5074702431929548E-2</v>
      </c>
      <c r="O50" s="485">
        <f t="shared" si="7"/>
        <v>2.7988609950213961E-2</v>
      </c>
      <c r="P50" s="485">
        <f t="shared" si="7"/>
        <v>2.8214151461725085E-2</v>
      </c>
      <c r="Q50" s="485">
        <f t="shared" si="7"/>
        <v>2.5903784887287503E-2</v>
      </c>
      <c r="R50" s="485">
        <f t="shared" si="7"/>
        <v>2.336991204057311E-2</v>
      </c>
      <c r="S50" s="485">
        <f t="shared" si="7"/>
        <v>2.3293498058412247E-2</v>
      </c>
      <c r="T50" s="485">
        <f t="shared" si="7"/>
        <v>2.0619748769776264E-2</v>
      </c>
      <c r="U50" s="485">
        <f t="shared" si="7"/>
        <v>2.0623079161250588E-2</v>
      </c>
      <c r="V50" s="485">
        <f t="shared" si="7"/>
        <v>1.9881697014716478E-2</v>
      </c>
      <c r="W50" s="485">
        <f t="shared" si="7"/>
        <v>2.1574460992415643E-2</v>
      </c>
      <c r="X50" s="485">
        <f t="shared" si="7"/>
        <v>2.1526725381283675E-2</v>
      </c>
      <c r="Y50" s="485">
        <f t="shared" si="7"/>
        <v>2.1586117362575773E-2</v>
      </c>
      <c r="Z50" s="485">
        <f t="shared" si="7"/>
        <v>2.1520804685329322E-2</v>
      </c>
      <c r="AA50" s="485">
        <f t="shared" si="7"/>
        <v>2.147824968315741E-2</v>
      </c>
      <c r="AB50" s="485">
        <f t="shared" si="7"/>
        <v>2.0580339137330102E-2</v>
      </c>
      <c r="AC50" s="485">
        <f t="shared" si="7"/>
        <v>2.0287819752835362E-2</v>
      </c>
      <c r="AD50" s="485">
        <f t="shared" si="7"/>
        <v>2.0093546916833165E-2</v>
      </c>
      <c r="AE50" s="485">
        <f t="shared" si="7"/>
        <v>1.9326446747247341E-2</v>
      </c>
      <c r="AF50" s="485">
        <f t="shared" si="7"/>
        <v>1.9990489802877712E-2</v>
      </c>
      <c r="AG50" s="485">
        <f t="shared" si="7"/>
        <v>1.9617115914256342E-2</v>
      </c>
      <c r="AH50" s="485">
        <f t="shared" si="7"/>
        <v>1.973719502908056E-2</v>
      </c>
      <c r="AI50" s="485">
        <f t="shared" si="7"/>
        <v>1.9751441703720722E-2</v>
      </c>
      <c r="AJ50" s="485">
        <f t="shared" si="7"/>
        <v>1.9776049596280997E-2</v>
      </c>
      <c r="AK50"/>
      <c r="AM50" s="256" t="s">
        <v>749</v>
      </c>
      <c r="AN50" s="256">
        <v>8.2140000000000004</v>
      </c>
      <c r="AO50" s="256">
        <v>7.8689999999999998</v>
      </c>
      <c r="AP50" s="256">
        <v>8.2639999999999993</v>
      </c>
      <c r="AQ50" s="256">
        <v>7.8609999999999998</v>
      </c>
      <c r="AR50" s="256">
        <v>8.7330000000000005</v>
      </c>
    </row>
    <row r="51" spans="1:44" s="256" customFormat="1">
      <c r="A51" s="255" t="s">
        <v>76</v>
      </c>
      <c r="B51" s="505">
        <f t="shared" si="2"/>
        <v>7.298</v>
      </c>
      <c r="C51" s="505">
        <f t="shared" si="3"/>
        <v>6.6749999999999998</v>
      </c>
      <c r="D51" s="505">
        <f t="shared" si="4"/>
        <v>7.38</v>
      </c>
      <c r="E51" s="505">
        <f t="shared" si="5"/>
        <v>7.3550000000000004</v>
      </c>
      <c r="F51" s="505">
        <f t="shared" si="6"/>
        <v>8.3740000000000006</v>
      </c>
      <c r="G51" s="485">
        <f t="shared" ref="G51:AJ51" si="8">G38*$AM38</f>
        <v>8.3244392511296557</v>
      </c>
      <c r="H51" s="485">
        <f t="shared" si="8"/>
        <v>8.1882346511285</v>
      </c>
      <c r="I51" s="485">
        <f t="shared" si="8"/>
        <v>7.9694723890464401</v>
      </c>
      <c r="J51" s="485">
        <f t="shared" si="8"/>
        <v>8.2807571931239323</v>
      </c>
      <c r="K51" s="485">
        <f t="shared" si="8"/>
        <v>8.4657362304312844</v>
      </c>
      <c r="L51" s="485">
        <f t="shared" si="8"/>
        <v>8.6870903748377106</v>
      </c>
      <c r="M51" s="485">
        <f t="shared" si="8"/>
        <v>8.9211252055537802</v>
      </c>
      <c r="N51" s="485">
        <f t="shared" si="8"/>
        <v>8.960879216673451</v>
      </c>
      <c r="O51" s="485">
        <f t="shared" si="8"/>
        <v>8.9166948161775963</v>
      </c>
      <c r="P51" s="485">
        <f t="shared" si="8"/>
        <v>8.7289427874011434</v>
      </c>
      <c r="Q51" s="485">
        <f t="shared" si="8"/>
        <v>8.6153632611521278</v>
      </c>
      <c r="R51" s="485">
        <f t="shared" si="8"/>
        <v>8.3669878538916507</v>
      </c>
      <c r="S51" s="485">
        <f t="shared" si="8"/>
        <v>8.181361780626089</v>
      </c>
      <c r="T51" s="485">
        <f t="shared" si="8"/>
        <v>8.1085430274167436</v>
      </c>
      <c r="U51" s="485">
        <f t="shared" si="8"/>
        <v>8.0783911240715387</v>
      </c>
      <c r="V51" s="485">
        <f t="shared" si="8"/>
        <v>7.8308607543571718</v>
      </c>
      <c r="W51" s="485">
        <f t="shared" si="8"/>
        <v>7.4663880160404634</v>
      </c>
      <c r="X51" s="485">
        <f t="shared" si="8"/>
        <v>7.4684326939764603</v>
      </c>
      <c r="Y51" s="485">
        <f t="shared" si="8"/>
        <v>7.2003324516072675</v>
      </c>
      <c r="Z51" s="485">
        <f t="shared" si="8"/>
        <v>7.3193707293256924</v>
      </c>
      <c r="AA51" s="485">
        <f t="shared" si="8"/>
        <v>7.4270704391900582</v>
      </c>
      <c r="AB51" s="485">
        <f t="shared" si="8"/>
        <v>7.6622679407687659</v>
      </c>
      <c r="AC51" s="485">
        <f t="shared" si="8"/>
        <v>7.8855889471025202</v>
      </c>
      <c r="AD51" s="485">
        <f t="shared" si="8"/>
        <v>8.0212517427586114</v>
      </c>
      <c r="AE51" s="485">
        <f t="shared" si="8"/>
        <v>7.9331210975229727</v>
      </c>
      <c r="AF51" s="485">
        <f t="shared" si="8"/>
        <v>7.855795246629965</v>
      </c>
      <c r="AG51" s="485">
        <f t="shared" si="8"/>
        <v>7.8012280859452634</v>
      </c>
      <c r="AH51" s="485">
        <f t="shared" si="8"/>
        <v>7.7296294655978413</v>
      </c>
      <c r="AI51" s="485">
        <f t="shared" si="8"/>
        <v>7.6271187819628663</v>
      </c>
      <c r="AJ51" s="485">
        <f t="shared" si="8"/>
        <v>7.3730594829659051</v>
      </c>
      <c r="AK51"/>
      <c r="AM51" s="256" t="s">
        <v>68</v>
      </c>
      <c r="AN51" s="256">
        <v>0.32100000000000001</v>
      </c>
      <c r="AO51" s="256">
        <v>0.376</v>
      </c>
      <c r="AP51" s="256">
        <v>0.35199999999999998</v>
      </c>
      <c r="AQ51" s="256">
        <v>7.1999999999999995E-2</v>
      </c>
      <c r="AR51" s="256">
        <v>8.6999999999999994E-2</v>
      </c>
    </row>
    <row r="52" spans="1:44" s="256" customFormat="1">
      <c r="A52" s="255" t="s">
        <v>71</v>
      </c>
      <c r="B52" s="506">
        <f>AN55</f>
        <v>0</v>
      </c>
      <c r="C52" s="506">
        <f t="shared" ref="C52:F52" si="9">AO55</f>
        <v>0</v>
      </c>
      <c r="D52" s="506">
        <f t="shared" si="9"/>
        <v>0</v>
      </c>
      <c r="E52" s="506">
        <f t="shared" si="9"/>
        <v>0</v>
      </c>
      <c r="F52" s="506">
        <f t="shared" si="9"/>
        <v>0</v>
      </c>
      <c r="G52" s="485">
        <f>G39*$AM40</f>
        <v>0</v>
      </c>
      <c r="H52" s="485">
        <f t="shared" ref="H52:AJ52" si="10">H39*$AM40</f>
        <v>0</v>
      </c>
      <c r="I52" s="485">
        <f t="shared" si="10"/>
        <v>0</v>
      </c>
      <c r="J52" s="485">
        <f t="shared" si="10"/>
        <v>0</v>
      </c>
      <c r="K52" s="485">
        <f t="shared" si="10"/>
        <v>0</v>
      </c>
      <c r="L52" s="485">
        <f t="shared" si="10"/>
        <v>0</v>
      </c>
      <c r="M52" s="485">
        <f t="shared" si="10"/>
        <v>0</v>
      </c>
      <c r="N52" s="485">
        <f t="shared" si="10"/>
        <v>0</v>
      </c>
      <c r="O52" s="485">
        <f t="shared" si="10"/>
        <v>0</v>
      </c>
      <c r="P52" s="485">
        <f t="shared" si="10"/>
        <v>0</v>
      </c>
      <c r="Q52" s="485">
        <f t="shared" si="10"/>
        <v>0</v>
      </c>
      <c r="R52" s="485">
        <f t="shared" si="10"/>
        <v>0</v>
      </c>
      <c r="S52" s="485">
        <f t="shared" si="10"/>
        <v>0</v>
      </c>
      <c r="T52" s="485">
        <f t="shared" si="10"/>
        <v>0</v>
      </c>
      <c r="U52" s="485">
        <f t="shared" si="10"/>
        <v>0</v>
      </c>
      <c r="V52" s="485">
        <f t="shared" si="10"/>
        <v>0</v>
      </c>
      <c r="W52" s="485">
        <f t="shared" si="10"/>
        <v>0</v>
      </c>
      <c r="X52" s="485">
        <f t="shared" si="10"/>
        <v>0</v>
      </c>
      <c r="Y52" s="485">
        <f t="shared" si="10"/>
        <v>0</v>
      </c>
      <c r="Z52" s="485">
        <f t="shared" si="10"/>
        <v>0</v>
      </c>
      <c r="AA52" s="485">
        <f t="shared" si="10"/>
        <v>0</v>
      </c>
      <c r="AB52" s="485">
        <f t="shared" si="10"/>
        <v>0</v>
      </c>
      <c r="AC52" s="485">
        <f t="shared" si="10"/>
        <v>0</v>
      </c>
      <c r="AD52" s="485">
        <f t="shared" si="10"/>
        <v>0</v>
      </c>
      <c r="AE52" s="485">
        <f t="shared" si="10"/>
        <v>0</v>
      </c>
      <c r="AF52" s="485">
        <f t="shared" si="10"/>
        <v>0</v>
      </c>
      <c r="AG52" s="485">
        <f t="shared" si="10"/>
        <v>0</v>
      </c>
      <c r="AH52" s="485">
        <f t="shared" si="10"/>
        <v>0</v>
      </c>
      <c r="AI52" s="485">
        <f t="shared" si="10"/>
        <v>0</v>
      </c>
      <c r="AJ52" s="485">
        <f t="shared" si="10"/>
        <v>0</v>
      </c>
      <c r="AK52"/>
      <c r="AM52" s="256" t="s">
        <v>69</v>
      </c>
      <c r="AN52" s="256">
        <v>0.59499999999999997</v>
      </c>
      <c r="AO52" s="256">
        <v>0.81799999999999995</v>
      </c>
      <c r="AP52" s="256">
        <v>0.53300000000000003</v>
      </c>
      <c r="AQ52" s="256">
        <v>0.433</v>
      </c>
      <c r="AR52" s="256">
        <v>0.27200000000000002</v>
      </c>
    </row>
    <row r="53" spans="1:44" s="256" customFormat="1">
      <c r="A53" s="255" t="s">
        <v>326</v>
      </c>
      <c r="B53" s="507"/>
      <c r="C53" s="507"/>
      <c r="D53" s="507"/>
      <c r="E53" s="507"/>
      <c r="F53" s="507"/>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c r="AH53" s="485"/>
      <c r="AI53" s="485"/>
      <c r="AJ53" s="485"/>
      <c r="AK53"/>
      <c r="AM53" s="256" t="s">
        <v>76</v>
      </c>
      <c r="AN53" s="256">
        <v>7.298</v>
      </c>
      <c r="AO53" s="256">
        <v>6.6749999999999998</v>
      </c>
      <c r="AP53" s="256">
        <v>7.38</v>
      </c>
      <c r="AQ53" s="256">
        <v>7.3550000000000004</v>
      </c>
      <c r="AR53" s="256">
        <v>8.3740000000000006</v>
      </c>
    </row>
    <row r="54" spans="1:44" s="256" customFormat="1">
      <c r="A54" s="255" t="s">
        <v>750</v>
      </c>
      <c r="B54" s="506">
        <v>8.2460000000000004</v>
      </c>
      <c r="C54" s="506">
        <v>7.9450000000000003</v>
      </c>
      <c r="D54" s="506">
        <v>8.5150000000000006</v>
      </c>
      <c r="E54" s="506">
        <v>8.15</v>
      </c>
      <c r="F54" s="506">
        <v>7.9630000000000001</v>
      </c>
      <c r="G54" s="485">
        <v>8.577671612645883</v>
      </c>
      <c r="H54" s="485">
        <v>8.2729408340059081</v>
      </c>
      <c r="I54" s="485">
        <v>8.4039345730532471</v>
      </c>
      <c r="J54" s="485">
        <v>8.6254991083785395</v>
      </c>
      <c r="K54" s="485">
        <v>10.523172074168551</v>
      </c>
      <c r="L54" s="485">
        <v>12.390631671403204</v>
      </c>
      <c r="M54" s="485">
        <v>12.498609671178011</v>
      </c>
      <c r="N54" s="485">
        <v>12.557220301423417</v>
      </c>
      <c r="O54" s="485">
        <v>12.64376412180369</v>
      </c>
      <c r="P54" s="485">
        <v>12.730471170815385</v>
      </c>
      <c r="Q54" s="485">
        <v>12.98497273275205</v>
      </c>
      <c r="R54" s="485">
        <v>13.005374302712104</v>
      </c>
      <c r="S54" s="485">
        <v>13.212604852988779</v>
      </c>
      <c r="T54" s="485">
        <v>13.269881528634004</v>
      </c>
      <c r="U54" s="485">
        <v>13.310360722500985</v>
      </c>
      <c r="V54" s="485">
        <v>13.386565892487921</v>
      </c>
      <c r="W54" s="485">
        <v>13.582573846551862</v>
      </c>
      <c r="X54" s="485">
        <v>13.913236381184491</v>
      </c>
      <c r="Y54" s="485">
        <v>13.971654150523847</v>
      </c>
      <c r="Z54" s="485">
        <v>14.029692727196359</v>
      </c>
      <c r="AA54" s="485">
        <v>14.120334841830196</v>
      </c>
      <c r="AB54" s="485">
        <v>14.156239616081802</v>
      </c>
      <c r="AC54" s="485">
        <v>14.289783739714876</v>
      </c>
      <c r="AD54" s="485">
        <v>14.427188094920609</v>
      </c>
      <c r="AE54" s="485">
        <v>14.510448759720544</v>
      </c>
      <c r="AF54" s="485">
        <v>14.844670683002073</v>
      </c>
      <c r="AG54" s="485">
        <v>15.15557100166788</v>
      </c>
      <c r="AH54" s="485">
        <v>15.168321920112673</v>
      </c>
      <c r="AI54" s="485">
        <v>15.281444384107976</v>
      </c>
      <c r="AJ54" s="485">
        <v>15.422885760050248</v>
      </c>
      <c r="AK54"/>
      <c r="AM54" s="256" t="s">
        <v>58</v>
      </c>
      <c r="AN54" s="256">
        <v>8.2460000000000004</v>
      </c>
      <c r="AO54" s="256">
        <v>7.9450000000000003</v>
      </c>
      <c r="AP54" s="256">
        <v>8.5150000000000006</v>
      </c>
      <c r="AQ54" s="256">
        <v>8.15</v>
      </c>
      <c r="AR54" s="256">
        <v>7.9630000000000001</v>
      </c>
    </row>
    <row r="55" spans="1:44" s="256" customFormat="1">
      <c r="A55" s="255" t="s">
        <v>627</v>
      </c>
      <c r="B55" s="506">
        <f>AN58</f>
        <v>0.35599999999999998</v>
      </c>
      <c r="C55" s="506">
        <f t="shared" ref="C55:F55" si="11">AO58</f>
        <v>0.315</v>
      </c>
      <c r="D55" s="506">
        <f t="shared" si="11"/>
        <v>0.315</v>
      </c>
      <c r="E55" s="506">
        <f t="shared" si="11"/>
        <v>0.33900000000000002</v>
      </c>
      <c r="F55" s="506">
        <f t="shared" si="11"/>
        <v>0.32300000000000001</v>
      </c>
      <c r="G55" s="485">
        <f>G40*$AM43</f>
        <v>0.23926276721899634</v>
      </c>
      <c r="H55" s="485">
        <f t="shared" ref="H55:AJ55" si="12">H40*$AM43</f>
        <v>0.26209485981128106</v>
      </c>
      <c r="I55" s="485">
        <f t="shared" si="12"/>
        <v>0.27183801624633491</v>
      </c>
      <c r="J55" s="485">
        <f t="shared" si="12"/>
        <v>0.27183801624633491</v>
      </c>
      <c r="K55" s="485">
        <f t="shared" si="12"/>
        <v>0.27183801624633491</v>
      </c>
      <c r="L55" s="485">
        <f t="shared" si="12"/>
        <v>0.27183819187781638</v>
      </c>
      <c r="M55" s="485">
        <f t="shared" si="12"/>
        <v>0.27183819187781638</v>
      </c>
      <c r="N55" s="485">
        <f t="shared" si="12"/>
        <v>0.27183819187781638</v>
      </c>
      <c r="O55" s="485">
        <f t="shared" si="12"/>
        <v>0.27183819187781638</v>
      </c>
      <c r="P55" s="485">
        <f t="shared" si="12"/>
        <v>0.27183819187781638</v>
      </c>
      <c r="Q55" s="485">
        <f t="shared" si="12"/>
        <v>0.27183819187781638</v>
      </c>
      <c r="R55" s="485">
        <f t="shared" si="12"/>
        <v>0.27183801624633491</v>
      </c>
      <c r="S55" s="485">
        <f t="shared" si="12"/>
        <v>0.27183819187781638</v>
      </c>
      <c r="T55" s="485">
        <f t="shared" si="12"/>
        <v>0.27183819187781638</v>
      </c>
      <c r="U55" s="485">
        <f t="shared" si="12"/>
        <v>0.27193953124262987</v>
      </c>
      <c r="V55" s="485">
        <f t="shared" si="12"/>
        <v>0.27197817016855524</v>
      </c>
      <c r="W55" s="485">
        <f t="shared" si="12"/>
        <v>0.27197817016855524</v>
      </c>
      <c r="X55" s="485">
        <f t="shared" si="12"/>
        <v>0.27207775321855387</v>
      </c>
      <c r="Y55" s="485">
        <f t="shared" si="12"/>
        <v>0.27209988278522029</v>
      </c>
      <c r="Z55" s="485">
        <f t="shared" si="12"/>
        <v>0.27209988278522029</v>
      </c>
      <c r="AA55" s="485">
        <f t="shared" si="12"/>
        <v>0.27209988278522029</v>
      </c>
      <c r="AB55" s="485">
        <f t="shared" si="12"/>
        <v>0.27209988278522029</v>
      </c>
      <c r="AC55" s="485">
        <f t="shared" si="12"/>
        <v>0.27216837906299712</v>
      </c>
      <c r="AD55" s="485">
        <f t="shared" si="12"/>
        <v>0.27221404324818171</v>
      </c>
      <c r="AE55" s="485">
        <f t="shared" si="12"/>
        <v>0.27227551426669938</v>
      </c>
      <c r="AF55" s="485">
        <f t="shared" si="12"/>
        <v>0.27233452644447637</v>
      </c>
      <c r="AG55" s="485">
        <f t="shared" si="12"/>
        <v>0.27238598646854972</v>
      </c>
      <c r="AH55" s="485">
        <f t="shared" si="12"/>
        <v>0.27242796239262324</v>
      </c>
      <c r="AI55" s="485">
        <f t="shared" si="12"/>
        <v>0.27244253980558603</v>
      </c>
      <c r="AJ55" s="485">
        <f t="shared" si="12"/>
        <v>0.27244780875003038</v>
      </c>
      <c r="AK55"/>
      <c r="AM55" s="256" t="s">
        <v>225</v>
      </c>
      <c r="AN55" s="256">
        <v>0</v>
      </c>
      <c r="AO55" s="256">
        <v>0</v>
      </c>
      <c r="AP55" s="256">
        <v>0</v>
      </c>
      <c r="AQ55" s="256">
        <v>0</v>
      </c>
      <c r="AR55" s="256">
        <v>0</v>
      </c>
    </row>
    <row r="56" spans="1:44" s="256" customFormat="1">
      <c r="A56" s="255" t="s">
        <v>82</v>
      </c>
      <c r="B56" s="506">
        <f>AN59</f>
        <v>16.815999999999999</v>
      </c>
      <c r="C56" s="506">
        <f t="shared" ref="C56" si="13">AO59</f>
        <v>16.129000000000001</v>
      </c>
      <c r="D56" s="506">
        <f t="shared" ref="D56" si="14">AP59</f>
        <v>17.094999999999999</v>
      </c>
      <c r="E56" s="506">
        <f t="shared" ref="E56" si="15">AQ59</f>
        <v>16.350000000000001</v>
      </c>
      <c r="F56" s="506">
        <f t="shared" ref="F56" si="16">AR59</f>
        <v>17.018999999999998</v>
      </c>
      <c r="G56" s="530">
        <f>G58</f>
        <v>17.320490668733768</v>
      </c>
      <c r="H56" s="530">
        <f t="shared" ref="H56:AJ56" si="17">H58</f>
        <v>16.827296644148728</v>
      </c>
      <c r="I56" s="530">
        <f t="shared" si="17"/>
        <v>16.753342779350973</v>
      </c>
      <c r="J56" s="530">
        <f t="shared" si="17"/>
        <v>17.285819096954206</v>
      </c>
      <c r="K56" s="530">
        <f t="shared" si="17"/>
        <v>19.369686283610946</v>
      </c>
      <c r="L56" s="530">
        <f t="shared" si="17"/>
        <v>21.41299850027541</v>
      </c>
      <c r="M56" s="530">
        <f t="shared" si="17"/>
        <v>21.740657951900651</v>
      </c>
      <c r="N56" s="530">
        <f t="shared" si="17"/>
        <v>21.863838997605097</v>
      </c>
      <c r="O56" s="530">
        <f t="shared" si="17"/>
        <v>21.918704700106471</v>
      </c>
      <c r="P56" s="530">
        <f t="shared" si="17"/>
        <v>21.819860933769625</v>
      </c>
      <c r="Q56" s="530">
        <f t="shared" si="17"/>
        <v>21.959906553067</v>
      </c>
      <c r="R56" s="530">
        <f t="shared" si="17"/>
        <v>21.730375907619571</v>
      </c>
      <c r="S56" s="530">
        <f t="shared" si="17"/>
        <v>21.752637199959981</v>
      </c>
      <c r="T56" s="530">
        <f t="shared" si="17"/>
        <v>21.734767306361906</v>
      </c>
      <c r="U56" s="530">
        <f t="shared" si="17"/>
        <v>21.745541626875124</v>
      </c>
      <c r="V56" s="530">
        <f t="shared" si="17"/>
        <v>21.573540020329236</v>
      </c>
      <c r="W56" s="530">
        <f t="shared" si="17"/>
        <v>21.441981939526205</v>
      </c>
      <c r="X56" s="530">
        <f t="shared" si="17"/>
        <v>21.784071907559422</v>
      </c>
      <c r="Y56" s="530">
        <f t="shared" si="17"/>
        <v>21.576102084968674</v>
      </c>
      <c r="Z56" s="530">
        <f t="shared" si="17"/>
        <v>21.75375020883498</v>
      </c>
      <c r="AA56" s="530">
        <f t="shared" si="17"/>
        <v>21.951455096787271</v>
      </c>
      <c r="AB56" s="530">
        <f t="shared" si="17"/>
        <v>22.209205994831066</v>
      </c>
      <c r="AC56" s="530">
        <f t="shared" si="17"/>
        <v>22.564151684434066</v>
      </c>
      <c r="AD56" s="530">
        <f t="shared" si="17"/>
        <v>22.833401749024013</v>
      </c>
      <c r="AE56" s="530">
        <f t="shared" si="17"/>
        <v>22.825611997700879</v>
      </c>
      <c r="AF56" s="530">
        <f t="shared" si="17"/>
        <v>23.095706030680692</v>
      </c>
      <c r="AG56" s="530">
        <f t="shared" si="17"/>
        <v>23.350078882931861</v>
      </c>
      <c r="AH56" s="530">
        <f t="shared" si="17"/>
        <v>23.293535384709124</v>
      </c>
      <c r="AI56" s="530">
        <f t="shared" si="17"/>
        <v>23.304216890486099</v>
      </c>
      <c r="AJ56" s="530">
        <f t="shared" si="17"/>
        <v>23.191594218460949</v>
      </c>
      <c r="AK56"/>
      <c r="AM56" s="256" t="s">
        <v>378</v>
      </c>
      <c r="AN56" s="256">
        <v>8.2460000000000004</v>
      </c>
      <c r="AO56" s="256">
        <v>7.9450000000000003</v>
      </c>
      <c r="AP56" s="256">
        <v>8.5150000000000006</v>
      </c>
      <c r="AQ56" s="256">
        <v>8.15</v>
      </c>
      <c r="AR56" s="256">
        <v>7.9630000000000001</v>
      </c>
    </row>
    <row r="57" spans="1:44" s="256" customFormat="1">
      <c r="B57" s="489"/>
      <c r="C57" s="489"/>
      <c r="D57" s="489"/>
      <c r="E57" s="489"/>
      <c r="F57" s="489"/>
      <c r="G57" s="490"/>
      <c r="H57" s="490"/>
      <c r="I57" s="490"/>
      <c r="J57" s="490"/>
      <c r="K57" s="490"/>
      <c r="L57" s="490"/>
      <c r="M57" s="490"/>
      <c r="N57" s="490"/>
      <c r="O57" s="490"/>
      <c r="P57" s="490"/>
      <c r="Q57" s="490"/>
      <c r="R57" s="490"/>
      <c r="S57" s="490"/>
      <c r="T57" s="490"/>
      <c r="U57" s="490"/>
      <c r="V57" s="490"/>
      <c r="W57" s="490"/>
      <c r="X57" s="490"/>
      <c r="Y57" s="490"/>
      <c r="Z57" s="490"/>
      <c r="AA57" s="490"/>
      <c r="AB57" s="490"/>
      <c r="AC57" s="490"/>
      <c r="AD57" s="490"/>
      <c r="AE57" s="490"/>
      <c r="AF57" s="490"/>
      <c r="AG57" s="490"/>
      <c r="AH57" s="490"/>
      <c r="AI57" s="490"/>
      <c r="AJ57" s="490"/>
      <c r="AK57" s="490"/>
      <c r="AM57" s="256" t="s">
        <v>742</v>
      </c>
      <c r="AN57" s="256">
        <v>0</v>
      </c>
      <c r="AO57" s="256">
        <v>0</v>
      </c>
      <c r="AP57" s="256">
        <v>0</v>
      </c>
      <c r="AQ57" s="256">
        <v>0</v>
      </c>
      <c r="AR57" s="256">
        <v>0</v>
      </c>
    </row>
    <row r="58" spans="1:44" s="256" customFormat="1">
      <c r="A58" s="255" t="s">
        <v>83</v>
      </c>
      <c r="B58" s="484">
        <f>SUM(B49:B52,B54,B55)</f>
        <v>16.816000000000003</v>
      </c>
      <c r="C58" s="484">
        <f t="shared" ref="C58:AJ58" si="18">SUM(C49:C52,C54,C55)</f>
        <v>16.129000000000001</v>
      </c>
      <c r="D58" s="484">
        <f t="shared" si="18"/>
        <v>17.095000000000002</v>
      </c>
      <c r="E58" s="484">
        <f t="shared" si="18"/>
        <v>16.349</v>
      </c>
      <c r="F58" s="484">
        <f t="shared" si="18"/>
        <v>17.019000000000002</v>
      </c>
      <c r="G58" s="484">
        <f t="shared" si="18"/>
        <v>17.320490668733768</v>
      </c>
      <c r="H58" s="484">
        <f t="shared" si="18"/>
        <v>16.827296644148728</v>
      </c>
      <c r="I58" s="484">
        <f t="shared" si="18"/>
        <v>16.753342779350973</v>
      </c>
      <c r="J58" s="484">
        <f t="shared" si="18"/>
        <v>17.285819096954206</v>
      </c>
      <c r="K58" s="484">
        <f t="shared" si="18"/>
        <v>19.369686283610946</v>
      </c>
      <c r="L58" s="484">
        <f t="shared" si="18"/>
        <v>21.41299850027541</v>
      </c>
      <c r="M58" s="484">
        <f t="shared" si="18"/>
        <v>21.740657951900651</v>
      </c>
      <c r="N58" s="484">
        <f t="shared" si="18"/>
        <v>21.863838997605097</v>
      </c>
      <c r="O58" s="484">
        <f t="shared" si="18"/>
        <v>21.918704700106471</v>
      </c>
      <c r="P58" s="484">
        <f t="shared" si="18"/>
        <v>21.819860933769625</v>
      </c>
      <c r="Q58" s="484">
        <f t="shared" si="18"/>
        <v>21.959906553067</v>
      </c>
      <c r="R58" s="484">
        <f t="shared" si="18"/>
        <v>21.730375907619571</v>
      </c>
      <c r="S58" s="484">
        <f t="shared" si="18"/>
        <v>21.752637199959981</v>
      </c>
      <c r="T58" s="484">
        <f t="shared" si="18"/>
        <v>21.734767306361906</v>
      </c>
      <c r="U58" s="484">
        <f t="shared" si="18"/>
        <v>21.745541626875124</v>
      </c>
      <c r="V58" s="484">
        <f t="shared" si="18"/>
        <v>21.573540020329236</v>
      </c>
      <c r="W58" s="484">
        <f t="shared" si="18"/>
        <v>21.441981939526205</v>
      </c>
      <c r="X58" s="484">
        <f t="shared" si="18"/>
        <v>21.784071907559422</v>
      </c>
      <c r="Y58" s="484">
        <f t="shared" si="18"/>
        <v>21.576102084968674</v>
      </c>
      <c r="Z58" s="484">
        <f t="shared" si="18"/>
        <v>21.75375020883498</v>
      </c>
      <c r="AA58" s="484">
        <f t="shared" si="18"/>
        <v>21.951455096787271</v>
      </c>
      <c r="AB58" s="484">
        <f t="shared" si="18"/>
        <v>22.209205994831066</v>
      </c>
      <c r="AC58" s="484">
        <f t="shared" si="18"/>
        <v>22.564151684434066</v>
      </c>
      <c r="AD58" s="484">
        <f t="shared" si="18"/>
        <v>22.833401749024013</v>
      </c>
      <c r="AE58" s="484">
        <f t="shared" si="18"/>
        <v>22.825611997700879</v>
      </c>
      <c r="AF58" s="484">
        <f t="shared" si="18"/>
        <v>23.095706030680692</v>
      </c>
      <c r="AG58" s="484">
        <f t="shared" si="18"/>
        <v>23.350078882931861</v>
      </c>
      <c r="AH58" s="484">
        <f t="shared" si="18"/>
        <v>23.293535384709124</v>
      </c>
      <c r="AI58" s="484">
        <f t="shared" si="18"/>
        <v>23.304216890486099</v>
      </c>
      <c r="AJ58" s="484">
        <f t="shared" si="18"/>
        <v>23.191594218460949</v>
      </c>
      <c r="AK58" s="491">
        <v>8.9999999999999993E-3</v>
      </c>
      <c r="AM58" s="256" t="s">
        <v>743</v>
      </c>
      <c r="AN58" s="256">
        <v>0.35599999999999998</v>
      </c>
      <c r="AO58" s="256">
        <v>0.315</v>
      </c>
      <c r="AP58" s="256">
        <v>0.315</v>
      </c>
      <c r="AQ58" s="256">
        <v>0.33900000000000002</v>
      </c>
      <c r="AR58" s="256">
        <v>0.32300000000000001</v>
      </c>
    </row>
    <row r="59" spans="1:44">
      <c r="A59" s="6" t="s">
        <v>84</v>
      </c>
      <c r="B59" s="367">
        <v>3906.17822265625</v>
      </c>
      <c r="C59" s="367">
        <v>4003.6083984375</v>
      </c>
      <c r="D59" s="367">
        <v>4006.09130859375</v>
      </c>
      <c r="E59" s="367">
        <v>3992.21752929688</v>
      </c>
      <c r="F59" s="367">
        <v>4046.56079101563</v>
      </c>
      <c r="G59" s="249">
        <v>3975.9853520000001</v>
      </c>
      <c r="H59" s="249">
        <v>3914.8715820000002</v>
      </c>
      <c r="I59" s="249">
        <v>3921.3237300000001</v>
      </c>
      <c r="J59" s="249">
        <v>3939.0678710000002</v>
      </c>
      <c r="K59" s="249">
        <v>4009.0505370000001</v>
      </c>
      <c r="L59" s="249">
        <v>4063.0170899999998</v>
      </c>
      <c r="M59" s="249">
        <v>4119.9077150000003</v>
      </c>
      <c r="N59" s="249">
        <v>4166.5869140000004</v>
      </c>
      <c r="O59" s="249">
        <v>4198.9038090000004</v>
      </c>
      <c r="P59" s="249">
        <v>4219.6909180000002</v>
      </c>
      <c r="Q59" s="249">
        <v>4252.6411129999997</v>
      </c>
      <c r="R59" s="249">
        <v>4292.3344729999999</v>
      </c>
      <c r="S59" s="249">
        <v>4339.8535160000001</v>
      </c>
      <c r="T59" s="249">
        <v>4382.0117190000001</v>
      </c>
      <c r="U59" s="249">
        <v>4415.9643550000001</v>
      </c>
      <c r="V59" s="249">
        <v>4450.7382809999999</v>
      </c>
      <c r="W59" s="249">
        <v>4486.6025390000004</v>
      </c>
      <c r="X59" s="249">
        <v>4519.0146480000003</v>
      </c>
      <c r="Y59" s="249">
        <v>4546.845703</v>
      </c>
      <c r="Z59" s="249">
        <v>4573.2431640000004</v>
      </c>
      <c r="AA59" s="249">
        <v>4595.8320309999999</v>
      </c>
      <c r="AB59" s="249">
        <v>4620.3847660000001</v>
      </c>
      <c r="AC59" s="249">
        <v>4650.2163090000004</v>
      </c>
      <c r="AD59" s="249">
        <v>4684.017578</v>
      </c>
      <c r="AE59" s="249">
        <v>4715.7373049999997</v>
      </c>
      <c r="AF59" s="249">
        <v>4746.6293949999999</v>
      </c>
      <c r="AG59" s="249">
        <v>4780.0688479999999</v>
      </c>
      <c r="AH59" s="249">
        <v>4817.2851559999999</v>
      </c>
      <c r="AI59" s="249">
        <v>4853.5073240000002</v>
      </c>
      <c r="AJ59" s="249">
        <v>4888.0634769999997</v>
      </c>
      <c r="AK59" s="250">
        <v>8.0000000000000002E-3</v>
      </c>
      <c r="AM59" s="5" t="s">
        <v>58</v>
      </c>
      <c r="AN59" s="5">
        <v>16.815999999999999</v>
      </c>
      <c r="AO59" s="5">
        <v>16.129000000000001</v>
      </c>
      <c r="AP59" s="5">
        <v>17.094999999999999</v>
      </c>
      <c r="AQ59" s="5">
        <v>16.350000000000001</v>
      </c>
      <c r="AR59" s="5">
        <v>17.018999999999998</v>
      </c>
    </row>
    <row r="60" spans="1:44" s="275" customFormat="1">
      <c r="A60" s="274" t="s">
        <v>331</v>
      </c>
      <c r="B60" s="368"/>
      <c r="C60" s="368"/>
      <c r="D60" s="368"/>
      <c r="E60" s="368">
        <f>E49/SUM(E49,E51)</f>
        <v>9.6943584219738779E-3</v>
      </c>
      <c r="F60" s="368">
        <f t="shared" ref="F60:AJ60" si="19">F49/SUM(F49,F51)</f>
        <v>1.0282472520978607E-2</v>
      </c>
      <c r="G60" s="325">
        <f t="shared" si="19"/>
        <v>1.0429481431783044E-2</v>
      </c>
      <c r="H60" s="325">
        <f t="shared" si="19"/>
        <v>5.5298942908452633E-3</v>
      </c>
      <c r="I60" s="325">
        <f t="shared" si="19"/>
        <v>6.1715454196345889E-3</v>
      </c>
      <c r="J60" s="325">
        <f t="shared" si="19"/>
        <v>5.9103667419014034E-3</v>
      </c>
      <c r="K60" s="325">
        <f t="shared" si="19"/>
        <v>5.8383254329527024E-3</v>
      </c>
      <c r="L60" s="325">
        <f t="shared" si="19"/>
        <v>7.7554031065738601E-4</v>
      </c>
      <c r="M60" s="325">
        <f t="shared" si="19"/>
        <v>2.8712677427551792E-3</v>
      </c>
      <c r="N60" s="325">
        <f t="shared" si="19"/>
        <v>5.4193318041904108E-3</v>
      </c>
      <c r="O60" s="325">
        <f t="shared" si="19"/>
        <v>6.5089938414240435E-3</v>
      </c>
      <c r="P60" s="325">
        <f t="shared" si="19"/>
        <v>6.871352108837752E-3</v>
      </c>
      <c r="Q60" s="325">
        <f t="shared" si="19"/>
        <v>7.1254137873740008E-3</v>
      </c>
      <c r="R60" s="325">
        <f t="shared" si="19"/>
        <v>7.4504578804930532E-3</v>
      </c>
      <c r="S60" s="325">
        <f t="shared" si="19"/>
        <v>7.7064453596137608E-3</v>
      </c>
      <c r="T60" s="325">
        <f t="shared" si="19"/>
        <v>7.8171151752124239E-3</v>
      </c>
      <c r="U60" s="325">
        <f t="shared" si="19"/>
        <v>7.8877785473848855E-3</v>
      </c>
      <c r="V60" s="325">
        <f t="shared" si="19"/>
        <v>8.1383883981328287E-3</v>
      </c>
      <c r="W60" s="325">
        <f t="shared" si="19"/>
        <v>1.3146886862291473E-2</v>
      </c>
      <c r="X60" s="325">
        <f t="shared" si="19"/>
        <v>1.4358589979987213E-2</v>
      </c>
      <c r="Y60" s="325">
        <f t="shared" si="19"/>
        <v>1.5105057951854116E-2</v>
      </c>
      <c r="Z60" s="325">
        <f t="shared" si="19"/>
        <v>1.4947447629128715E-2</v>
      </c>
      <c r="AA60" s="325">
        <f t="shared" si="19"/>
        <v>1.4656194486666831E-2</v>
      </c>
      <c r="AB60" s="325">
        <f t="shared" si="19"/>
        <v>1.2630747639598591E-2</v>
      </c>
      <c r="AC60" s="325">
        <f t="shared" si="19"/>
        <v>1.2067635156486466E-2</v>
      </c>
      <c r="AD60" s="325">
        <f t="shared" si="19"/>
        <v>1.1419200622937135E-2</v>
      </c>
      <c r="AE60" s="325">
        <f t="shared" si="19"/>
        <v>1.1271825106271139E-2</v>
      </c>
      <c r="AF60" s="325">
        <f t="shared" si="19"/>
        <v>1.29311258376692E-2</v>
      </c>
      <c r="AG60" s="325">
        <f t="shared" si="19"/>
        <v>1.2815771172523253E-2</v>
      </c>
      <c r="AH60" s="325">
        <f t="shared" si="19"/>
        <v>1.3202885712089866E-2</v>
      </c>
      <c r="AI60" s="325">
        <f t="shared" si="19"/>
        <v>1.3383182458224251E-2</v>
      </c>
      <c r="AJ60" s="325">
        <f t="shared" si="19"/>
        <v>1.383338863529451E-2</v>
      </c>
      <c r="AK60" s="325"/>
      <c r="AL60" s="275" t="s">
        <v>0</v>
      </c>
    </row>
    <row r="61" spans="1:44" s="266" customFormat="1">
      <c r="A61" s="263" t="s">
        <v>107</v>
      </c>
      <c r="B61" s="359">
        <f>B54/B58</f>
        <v>0.49036631779257844</v>
      </c>
      <c r="C61" s="359">
        <f t="shared" ref="C61:AJ61" si="20">C54/C58</f>
        <v>0.49259098518197036</v>
      </c>
      <c r="D61" s="359">
        <f t="shared" si="20"/>
        <v>0.49809885931558934</v>
      </c>
      <c r="E61" s="359">
        <f t="shared" si="20"/>
        <v>0.49850143739678271</v>
      </c>
      <c r="F61" s="359">
        <f t="shared" si="20"/>
        <v>0.46788883013103</v>
      </c>
      <c r="G61" s="310">
        <f t="shared" si="20"/>
        <v>0.49523259916244405</v>
      </c>
      <c r="H61" s="310">
        <f t="shared" si="20"/>
        <v>0.49163814063280431</v>
      </c>
      <c r="I61" s="310">
        <f t="shared" si="20"/>
        <v>0.50162732797489007</v>
      </c>
      <c r="J61" s="310">
        <f t="shared" si="20"/>
        <v>0.4989927905642822</v>
      </c>
      <c r="K61" s="310">
        <f t="shared" si="20"/>
        <v>0.54328045999755836</v>
      </c>
      <c r="L61" s="310">
        <f t="shared" si="20"/>
        <v>0.57865000416657375</v>
      </c>
      <c r="M61" s="310">
        <f t="shared" si="20"/>
        <v>0.57489564937869486</v>
      </c>
      <c r="N61" s="310">
        <f t="shared" si="20"/>
        <v>0.57433739348331736</v>
      </c>
      <c r="O61" s="310">
        <f t="shared" si="20"/>
        <v>0.57684814384776451</v>
      </c>
      <c r="P61" s="310">
        <f t="shared" si="20"/>
        <v>0.58343502781509493</v>
      </c>
      <c r="Q61" s="310">
        <f t="shared" si="20"/>
        <v>0.59130364245281919</v>
      </c>
      <c r="R61" s="310">
        <f t="shared" si="20"/>
        <v>0.59848823407384688</v>
      </c>
      <c r="S61" s="310">
        <f t="shared" si="20"/>
        <v>0.60740243730139931</v>
      </c>
      <c r="T61" s="310">
        <f t="shared" si="20"/>
        <v>0.61053708749620816</v>
      </c>
      <c r="U61" s="310">
        <f t="shared" si="20"/>
        <v>0.612096077020718</v>
      </c>
      <c r="V61" s="310">
        <f t="shared" si="20"/>
        <v>0.6205085433300912</v>
      </c>
      <c r="W61" s="310">
        <f t="shared" si="20"/>
        <v>0.63345701366876495</v>
      </c>
      <c r="X61" s="310">
        <f t="shared" si="20"/>
        <v>0.63868850783385334</v>
      </c>
      <c r="Y61" s="310">
        <f t="shared" si="20"/>
        <v>0.64755228240495843</v>
      </c>
      <c r="Z61" s="310">
        <f t="shared" si="20"/>
        <v>0.64493214238979335</v>
      </c>
      <c r="AA61" s="310">
        <f t="shared" si="20"/>
        <v>0.64325279484077547</v>
      </c>
      <c r="AB61" s="310">
        <f t="shared" si="20"/>
        <v>0.63740412959276893</v>
      </c>
      <c r="AC61" s="310">
        <f t="shared" si="20"/>
        <v>0.63329585528237331</v>
      </c>
      <c r="AD61" s="310">
        <f t="shared" si="20"/>
        <v>0.63184576058787567</v>
      </c>
      <c r="AE61" s="310">
        <f t="shared" si="20"/>
        <v>0.63570907808220511</v>
      </c>
      <c r="AF61" s="310">
        <f t="shared" si="20"/>
        <v>0.64274591403623615</v>
      </c>
      <c r="AG61" s="310">
        <f t="shared" si="20"/>
        <v>0.64905866389796674</v>
      </c>
      <c r="AH61" s="310">
        <f t="shared" si="20"/>
        <v>0.65118161196216739</v>
      </c>
      <c r="AI61" s="310">
        <f t="shared" si="20"/>
        <v>0.65573730522335616</v>
      </c>
      <c r="AJ61" s="310">
        <f t="shared" si="20"/>
        <v>0.6650205076360528</v>
      </c>
      <c r="AK61" s="310"/>
    </row>
    <row r="62" spans="1:44" s="276" customFormat="1">
      <c r="A62" s="265" t="s">
        <v>108</v>
      </c>
      <c r="B62" s="369">
        <f>(B54-EIA_RE_aeo2014!B73)/B56</f>
        <v>0.23596574690770702</v>
      </c>
      <c r="C62" s="369">
        <f>(C54-EIA_RE_aeo2014!C73)/C56</f>
        <v>0.26083452166904336</v>
      </c>
      <c r="D62" s="369">
        <f>(D54-EIA_RE_aeo2014!D73)/D56</f>
        <v>0.23737935068733554</v>
      </c>
      <c r="E62" s="369">
        <f>(E54-EIA_RE_aeo2014!E73)/E56</f>
        <v>0.24085626911314986</v>
      </c>
      <c r="F62" s="369">
        <f>(F54-EIA_RE_aeo2014!F73)/F56</f>
        <v>0.24402138786062641</v>
      </c>
      <c r="G62" s="326">
        <f>(G54-EIA_RE_aeo2014!G73)/G56</f>
        <v>0.25081727305295998</v>
      </c>
      <c r="H62" s="326">
        <f>(H54-EIA_RE_aeo2014!H73)/H56</f>
        <v>0.27959891906901069</v>
      </c>
      <c r="I62" s="326">
        <f>(I54-EIA_RE_aeo2014!I73)/I56</f>
        <v>0.29513920435689112</v>
      </c>
      <c r="J62" s="326">
        <f>(J54-EIA_RE_aeo2014!J73)/J56</f>
        <v>0.29549620374941071</v>
      </c>
      <c r="K62" s="326">
        <f>(K54-EIA_RE_aeo2014!K73)/K56</f>
        <v>0.3580899568177523</v>
      </c>
      <c r="L62" s="326">
        <f>(L54-EIA_RE_aeo2014!L73)/L56</f>
        <v>0.4078711189340512</v>
      </c>
      <c r="M62" s="326">
        <f>(M54-EIA_RE_aeo2014!M73)/M56</f>
        <v>0.40496395196841245</v>
      </c>
      <c r="N62" s="326">
        <f>(N54-EIA_RE_aeo2014!N73)/N56</f>
        <v>0.40536302618270953</v>
      </c>
      <c r="O62" s="326">
        <f>(O54-EIA_RE_aeo2014!O73)/O56</f>
        <v>0.40829672184556259</v>
      </c>
      <c r="P62" s="326">
        <f>(P54-EIA_RE_aeo2014!P73)/P56</f>
        <v>0.41412015822006776</v>
      </c>
      <c r="Q62" s="326">
        <f>(Q54-EIA_RE_aeo2014!Q73)/Q56</f>
        <v>0.42306855002858229</v>
      </c>
      <c r="R62" s="326">
        <f>(R54-EIA_RE_aeo2014!R73)/R56</f>
        <v>0.42847608643213747</v>
      </c>
      <c r="S62" s="326">
        <f>(S54-EIA_RE_aeo2014!S73)/S56</f>
        <v>0.42915535586106779</v>
      </c>
      <c r="T62" s="326">
        <f>(T54-EIA_RE_aeo2014!T73)/T56</f>
        <v>0.4321434771297557</v>
      </c>
      <c r="U62" s="326">
        <f>(U54-EIA_RE_aeo2014!U73)/U56</f>
        <v>0.43379065537676159</v>
      </c>
      <c r="V62" s="326">
        <f>(V54-EIA_RE_aeo2014!V73)/V56</f>
        <v>0.4407811459008833</v>
      </c>
      <c r="W62" s="326">
        <f>(W54-EIA_RE_aeo2014!W73)/W56</f>
        <v>0.45136459527210909</v>
      </c>
      <c r="X62" s="326">
        <f>(X54-EIA_RE_aeo2014!X73)/X56</f>
        <v>0.45821531390860398</v>
      </c>
      <c r="Y62" s="326">
        <f>(Y54-EIA_RE_aeo2014!Y73)/Y56</f>
        <v>0.46533932397661515</v>
      </c>
      <c r="Z62" s="326">
        <f>(Z54-EIA_RE_aeo2014!Z73)/Z56</f>
        <v>0.46420721587157071</v>
      </c>
      <c r="AA62" s="326">
        <f>(AA54-EIA_RE_aeo2014!AK73)/AA56</f>
        <v>0.64325279484077547</v>
      </c>
      <c r="AB62" s="326">
        <f>(AB54-EIA_RE_aeo2014!AL73)/AB56</f>
        <v>0.63740412959276893</v>
      </c>
      <c r="AC62" s="326">
        <f>(AC54-EIA_RE_aeo2014!AM73)/AC56</f>
        <v>0.63329585528237331</v>
      </c>
      <c r="AD62" s="326">
        <f>(AD54-EIA_RE_aeo2014!AN73)/AD56</f>
        <v>0.4444886577338143</v>
      </c>
      <c r="AE62" s="326">
        <f>(AE54-EIA_RE_aeo2014!AO73)/AE56</f>
        <v>0.47194567053911218</v>
      </c>
      <c r="AF62" s="326">
        <f>(AF54-EIA_RE_aeo2014!AP73)/AF56</f>
        <v>0.44976631886476787</v>
      </c>
      <c r="AG62" s="326">
        <f>(AG54-EIA_RE_aeo2014!AQ73)/AG56</f>
        <v>0.46867383431699111</v>
      </c>
      <c r="AH62" s="326">
        <f>(AH54-EIA_RE_aeo2014!AR73)/AH56</f>
        <v>0.4876169174203055</v>
      </c>
      <c r="AI62" s="326">
        <f>(AI54-EIA_RE_aeo2014!AS73)/AI56</f>
        <v>0.65573730522335616</v>
      </c>
      <c r="AJ62" s="326">
        <f>(AJ54-EIA_RE_aeo2014!AT73)/AJ56</f>
        <v>0.6650205076360528</v>
      </c>
      <c r="AK62" s="326"/>
    </row>
    <row r="63" spans="1:44" s="476" customFormat="1">
      <c r="A63" s="476" t="s">
        <v>109</v>
      </c>
      <c r="C63" s="477"/>
      <c r="D63" s="477"/>
      <c r="E63" s="477"/>
      <c r="F63" s="477">
        <v>42094.619140625</v>
      </c>
      <c r="G63" s="478">
        <v>102605.04540000002</v>
      </c>
      <c r="H63" s="478">
        <v>163360.96875</v>
      </c>
      <c r="I63" s="478">
        <v>225974.68357199998</v>
      </c>
      <c r="J63" s="478">
        <v>289591.77345600002</v>
      </c>
      <c r="K63" s="478">
        <v>358569.27243000007</v>
      </c>
      <c r="L63" s="478">
        <v>428005.66654200002</v>
      </c>
      <c r="M63" s="478">
        <v>499509.19281199999</v>
      </c>
      <c r="N63" s="478">
        <v>571413.594774</v>
      </c>
      <c r="O63" s="478">
        <v>642582.21966400009</v>
      </c>
      <c r="P63" s="478">
        <v>712804.27253000019</v>
      </c>
      <c r="Q63" s="478">
        <v>785931.55672200024</v>
      </c>
      <c r="R63" s="478">
        <v>861455.63087200013</v>
      </c>
      <c r="S63" s="478">
        <v>939930.84375000035</v>
      </c>
      <c r="T63" s="478">
        <v>1018634.9062500005</v>
      </c>
      <c r="U63" s="478">
        <v>1096613.15925</v>
      </c>
      <c r="V63" s="479"/>
      <c r="W63" s="479"/>
      <c r="X63" s="479"/>
      <c r="Y63" s="479"/>
      <c r="Z63" s="479"/>
      <c r="AA63" s="479"/>
      <c r="AB63" s="479"/>
      <c r="AC63" s="479"/>
      <c r="AD63" s="479"/>
      <c r="AE63" s="479"/>
      <c r="AF63" s="479"/>
      <c r="AG63" s="479"/>
      <c r="AH63" s="479"/>
      <c r="AI63" s="479"/>
      <c r="AJ63" s="479"/>
      <c r="AK63" s="479"/>
    </row>
    <row r="64" spans="1:44" s="480" customFormat="1">
      <c r="A64" s="480" t="s">
        <v>110</v>
      </c>
      <c r="C64" s="481"/>
      <c r="D64" s="481"/>
      <c r="E64" s="481"/>
      <c r="F64" s="481"/>
      <c r="G64" s="482">
        <f>G63/1000/G58</f>
        <v>5.9239110116677232</v>
      </c>
      <c r="H64" s="482">
        <f t="shared" ref="H64:O64" si="21">H63/1000/H58</f>
        <v>9.708093474824711</v>
      </c>
      <c r="I64" s="482">
        <f t="shared" si="21"/>
        <v>13.48833403268755</v>
      </c>
      <c r="J64" s="482">
        <f t="shared" si="21"/>
        <v>16.753141510489751</v>
      </c>
      <c r="K64" s="482">
        <f t="shared" si="21"/>
        <v>18.511878157437803</v>
      </c>
      <c r="L64" s="482">
        <f t="shared" si="21"/>
        <v>19.988123874220374</v>
      </c>
      <c r="M64" s="482">
        <f t="shared" si="21"/>
        <v>22.975808456078994</v>
      </c>
      <c r="N64" s="482">
        <f t="shared" si="21"/>
        <v>26.135098910881617</v>
      </c>
      <c r="O64" s="482">
        <f t="shared" si="21"/>
        <v>29.316614665686821</v>
      </c>
      <c r="P64" s="482">
        <f t="shared" ref="P64" si="22">P63/1000/P58</f>
        <v>32.667681737000663</v>
      </c>
      <c r="Q64" s="482">
        <f t="shared" ref="Q64" si="23">Q63/1000/Q58</f>
        <v>35.78938529737205</v>
      </c>
      <c r="R64" s="482">
        <f t="shared" ref="R64" si="24">R63/1000/R58</f>
        <v>39.642923552460871</v>
      </c>
      <c r="S64" s="482">
        <f t="shared" ref="S64" si="25">S63/1000/S58</f>
        <v>43.209971973041021</v>
      </c>
      <c r="T64" s="482">
        <f t="shared" ref="T64" si="26">T63/1000/T58</f>
        <v>46.866611999652712</v>
      </c>
      <c r="U64" s="482">
        <f t="shared" ref="U64" si="27">U63/1000/U58</f>
        <v>50.429332967025552</v>
      </c>
      <c r="V64" s="482"/>
      <c r="W64" s="482"/>
      <c r="X64" s="482"/>
      <c r="Y64" s="482"/>
      <c r="Z64" s="482"/>
      <c r="AA64" s="482"/>
      <c r="AB64" s="482"/>
      <c r="AC64" s="482"/>
      <c r="AD64" s="482"/>
      <c r="AE64" s="482"/>
      <c r="AF64" s="482"/>
      <c r="AG64" s="482"/>
      <c r="AH64" s="482"/>
      <c r="AI64" s="482"/>
      <c r="AJ64" s="482"/>
      <c r="AK64" s="482"/>
    </row>
    <row r="65" spans="1:38" s="480" customFormat="1">
      <c r="A65" s="480" t="s">
        <v>113</v>
      </c>
      <c r="D65" s="481"/>
      <c r="E65" s="481"/>
      <c r="F65" s="481"/>
      <c r="G65" s="482"/>
      <c r="H65" s="482">
        <f t="shared" ref="H65:U65" si="28">(H64-G64)/G64</f>
        <v>0.63879799269497295</v>
      </c>
      <c r="I65" s="482">
        <f t="shared" si="28"/>
        <v>0.38939062213047915</v>
      </c>
      <c r="J65" s="482">
        <f t="shared" si="28"/>
        <v>0.24204675461701092</v>
      </c>
      <c r="K65" s="482">
        <f t="shared" si="28"/>
        <v>0.10497951359432155</v>
      </c>
      <c r="L65" s="482">
        <f t="shared" si="28"/>
        <v>7.9745863938145978E-2</v>
      </c>
      <c r="M65" s="482">
        <f t="shared" si="28"/>
        <v>0.14947298709269946</v>
      </c>
      <c r="N65" s="482">
        <f t="shared" si="28"/>
        <v>0.13750508326364158</v>
      </c>
      <c r="O65" s="482">
        <f t="shared" si="28"/>
        <v>0.12173344993466037</v>
      </c>
      <c r="P65" s="482">
        <f t="shared" si="28"/>
        <v>0.11430607215491519</v>
      </c>
      <c r="Q65" s="482">
        <f t="shared" si="28"/>
        <v>9.5559384516582524E-2</v>
      </c>
      <c r="R65" s="482">
        <f t="shared" si="28"/>
        <v>0.10767265833346905</v>
      </c>
      <c r="S65" s="482">
        <f t="shared" si="28"/>
        <v>8.9979449065096057E-2</v>
      </c>
      <c r="T65" s="482">
        <f t="shared" si="28"/>
        <v>8.4624910863008454E-2</v>
      </c>
      <c r="U65" s="482">
        <f t="shared" si="28"/>
        <v>7.6018316992899779E-2</v>
      </c>
      <c r="V65" s="482"/>
      <c r="W65" s="482"/>
      <c r="X65" s="482"/>
      <c r="Y65" s="482"/>
      <c r="Z65" s="482"/>
      <c r="AA65" s="482"/>
      <c r="AB65" s="482"/>
      <c r="AC65" s="482"/>
      <c r="AD65" s="482"/>
      <c r="AE65" s="482"/>
      <c r="AF65" s="482"/>
      <c r="AG65" s="482"/>
      <c r="AH65" s="482"/>
      <c r="AI65" s="482"/>
      <c r="AJ65" s="482"/>
      <c r="AK65" s="482"/>
    </row>
    <row r="66" spans="1:38" s="266" customFormat="1">
      <c r="A66" s="266" t="s">
        <v>129</v>
      </c>
      <c r="B66" s="370">
        <f>B52/B58</f>
        <v>0</v>
      </c>
      <c r="C66" s="370">
        <f t="shared" ref="C66:AJ66" si="29">C52/C58</f>
        <v>0</v>
      </c>
      <c r="D66" s="370">
        <f t="shared" si="29"/>
        <v>0</v>
      </c>
      <c r="E66" s="370">
        <f t="shared" si="29"/>
        <v>0</v>
      </c>
      <c r="F66" s="370">
        <f t="shared" si="29"/>
        <v>0</v>
      </c>
      <c r="G66" s="327">
        <f t="shared" si="29"/>
        <v>0</v>
      </c>
      <c r="H66" s="327">
        <f t="shared" si="29"/>
        <v>0</v>
      </c>
      <c r="I66" s="327">
        <f t="shared" si="29"/>
        <v>0</v>
      </c>
      <c r="J66" s="327">
        <f t="shared" si="29"/>
        <v>0</v>
      </c>
      <c r="K66" s="327">
        <f t="shared" si="29"/>
        <v>0</v>
      </c>
      <c r="L66" s="327">
        <f t="shared" si="29"/>
        <v>0</v>
      </c>
      <c r="M66" s="327">
        <f t="shared" si="29"/>
        <v>0</v>
      </c>
      <c r="N66" s="327">
        <f t="shared" si="29"/>
        <v>0</v>
      </c>
      <c r="O66" s="327">
        <f t="shared" si="29"/>
        <v>0</v>
      </c>
      <c r="P66" s="327">
        <f t="shared" si="29"/>
        <v>0</v>
      </c>
      <c r="Q66" s="327">
        <f t="shared" si="29"/>
        <v>0</v>
      </c>
      <c r="R66" s="327">
        <f t="shared" si="29"/>
        <v>0</v>
      </c>
      <c r="S66" s="327">
        <f t="shared" si="29"/>
        <v>0</v>
      </c>
      <c r="T66" s="327">
        <f t="shared" si="29"/>
        <v>0</v>
      </c>
      <c r="U66" s="327">
        <f t="shared" si="29"/>
        <v>0</v>
      </c>
      <c r="V66" s="327">
        <f t="shared" si="29"/>
        <v>0</v>
      </c>
      <c r="W66" s="327">
        <f t="shared" si="29"/>
        <v>0</v>
      </c>
      <c r="X66" s="327">
        <f t="shared" si="29"/>
        <v>0</v>
      </c>
      <c r="Y66" s="327">
        <f t="shared" si="29"/>
        <v>0</v>
      </c>
      <c r="Z66" s="327">
        <f t="shared" si="29"/>
        <v>0</v>
      </c>
      <c r="AA66" s="327">
        <f t="shared" si="29"/>
        <v>0</v>
      </c>
      <c r="AB66" s="327">
        <f t="shared" si="29"/>
        <v>0</v>
      </c>
      <c r="AC66" s="327">
        <f t="shared" si="29"/>
        <v>0</v>
      </c>
      <c r="AD66" s="327">
        <f t="shared" si="29"/>
        <v>0</v>
      </c>
      <c r="AE66" s="327">
        <f t="shared" si="29"/>
        <v>0</v>
      </c>
      <c r="AF66" s="327">
        <f t="shared" si="29"/>
        <v>0</v>
      </c>
      <c r="AG66" s="327">
        <f t="shared" si="29"/>
        <v>0</v>
      </c>
      <c r="AH66" s="327">
        <f t="shared" si="29"/>
        <v>0</v>
      </c>
      <c r="AI66" s="327">
        <f t="shared" si="29"/>
        <v>0</v>
      </c>
      <c r="AJ66" s="327">
        <f t="shared" si="29"/>
        <v>0</v>
      </c>
      <c r="AK66" s="327"/>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592</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592</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629</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628</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75" t="s">
        <v>630</v>
      </c>
      <c r="B109" s="575"/>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row>
    <row r="110" spans="1:38">
      <c r="A110" s="576" t="s">
        <v>631</v>
      </c>
      <c r="B110" s="576"/>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row>
    <row r="111" spans="1:38">
      <c r="A111" s="576" t="s">
        <v>632</v>
      </c>
      <c r="B111" s="576"/>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row>
    <row r="112" spans="1:38">
      <c r="A112" s="576" t="s">
        <v>633</v>
      </c>
      <c r="B112" s="576"/>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row>
    <row r="113" spans="1:32">
      <c r="A113" s="576" t="s">
        <v>634</v>
      </c>
      <c r="B113" s="576"/>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row>
    <row r="114" spans="1:32">
      <c r="A114" s="576" t="s">
        <v>635</v>
      </c>
      <c r="B114" s="576"/>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row>
    <row r="115" spans="1:32">
      <c r="A115" s="576" t="s">
        <v>636</v>
      </c>
      <c r="B115" s="576"/>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row>
    <row r="116" spans="1:32">
      <c r="A116" s="576" t="s">
        <v>637</v>
      </c>
      <c r="B116" s="576"/>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row>
    <row r="117" spans="1:32">
      <c r="A117" s="576" t="s">
        <v>638</v>
      </c>
      <c r="B117" s="576"/>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row>
    <row r="118" spans="1:32">
      <c r="A118" s="576" t="s">
        <v>639</v>
      </c>
      <c r="B118" s="576"/>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row>
    <row r="119" spans="1:32">
      <c r="A119" s="576" t="s">
        <v>640</v>
      </c>
      <c r="B119" s="576"/>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row>
    <row r="120" spans="1:32">
      <c r="A120" s="576" t="s">
        <v>641</v>
      </c>
      <c r="B120" s="576"/>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row>
    <row r="121" spans="1:32">
      <c r="A121" s="576" t="s">
        <v>642</v>
      </c>
      <c r="B121" s="576"/>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row>
    <row r="122" spans="1:32">
      <c r="A122" s="576" t="s">
        <v>643</v>
      </c>
      <c r="B122" s="576"/>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row>
    <row r="123" spans="1:32">
      <c r="A123" s="576" t="s">
        <v>644</v>
      </c>
      <c r="B123" s="576"/>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row>
    <row r="124" spans="1:32">
      <c r="A124" s="576" t="s">
        <v>645</v>
      </c>
      <c r="B124" s="576"/>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row>
    <row r="125" spans="1:32">
      <c r="A125" s="576" t="s">
        <v>638</v>
      </c>
      <c r="B125" s="576"/>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row>
    <row r="126" spans="1:32">
      <c r="A126" s="576" t="s">
        <v>646</v>
      </c>
      <c r="B126" s="576"/>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row>
    <row r="127" spans="1:32">
      <c r="A127" s="576" t="s">
        <v>647</v>
      </c>
      <c r="B127" s="576"/>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row>
    <row r="128" spans="1:32">
      <c r="A128" s="576" t="s">
        <v>648</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row>
    <row r="129" spans="1:32">
      <c r="A129" s="576" t="s">
        <v>619</v>
      </c>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row>
    <row r="130" spans="1:32">
      <c r="A130" s="576" t="s">
        <v>620</v>
      </c>
      <c r="B130" s="576"/>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row>
    <row r="131" spans="1:32">
      <c r="A131" s="576" t="s">
        <v>621</v>
      </c>
      <c r="B131" s="576"/>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row>
    <row r="132" spans="1:32">
      <c r="A132" s="576" t="s">
        <v>649</v>
      </c>
      <c r="B132" s="576"/>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row>
    <row r="133" spans="1:32">
      <c r="A133" s="576" t="s">
        <v>650</v>
      </c>
      <c r="B133" s="576"/>
      <c r="C133" s="576"/>
      <c r="D133" s="576"/>
      <c r="E133" s="576"/>
      <c r="F133" s="576"/>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row>
    <row r="134" spans="1:32">
      <c r="A134" s="576" t="s">
        <v>651</v>
      </c>
      <c r="B134" s="576"/>
      <c r="C134" s="576"/>
      <c r="D134" s="576"/>
      <c r="E134" s="576"/>
      <c r="F134" s="576"/>
      <c r="G134" s="576"/>
      <c r="H134" s="576"/>
      <c r="I134" s="576"/>
      <c r="J134" s="576"/>
      <c r="K134" s="576"/>
      <c r="L134" s="576"/>
      <c r="M134" s="576"/>
      <c r="N134" s="576"/>
      <c r="O134" s="576"/>
      <c r="P134" s="576"/>
      <c r="Q134" s="576"/>
      <c r="R134" s="576"/>
      <c r="S134" s="576"/>
      <c r="T134" s="576"/>
      <c r="U134" s="576"/>
      <c r="V134" s="576"/>
      <c r="W134" s="576"/>
      <c r="X134" s="576"/>
      <c r="Y134" s="576"/>
      <c r="Z134" s="576"/>
      <c r="AA134" s="576"/>
      <c r="AB134" s="576"/>
      <c r="AC134" s="576"/>
      <c r="AD134" s="576"/>
      <c r="AE134" s="576"/>
      <c r="AF134" s="576"/>
    </row>
    <row r="135" spans="1:32">
      <c r="A135" s="576" t="s">
        <v>652</v>
      </c>
      <c r="B135" s="576"/>
      <c r="C135" s="576"/>
      <c r="D135" s="576"/>
      <c r="E135" s="576"/>
      <c r="F135" s="576"/>
      <c r="G135" s="576"/>
      <c r="H135" s="576"/>
      <c r="I135" s="576"/>
      <c r="J135" s="576"/>
      <c r="K135" s="576"/>
      <c r="L135" s="576"/>
      <c r="M135" s="576"/>
      <c r="N135" s="576"/>
      <c r="O135" s="576"/>
      <c r="P135" s="576"/>
      <c r="Q135" s="576"/>
      <c r="R135" s="576"/>
      <c r="S135" s="576"/>
      <c r="T135" s="576"/>
      <c r="U135" s="576"/>
      <c r="V135" s="576"/>
      <c r="W135" s="576"/>
      <c r="X135" s="576"/>
      <c r="Y135" s="576"/>
      <c r="Z135" s="576"/>
      <c r="AA135" s="576"/>
      <c r="AB135" s="576"/>
      <c r="AC135" s="576"/>
      <c r="AD135" s="576"/>
      <c r="AE135" s="576"/>
      <c r="AF135" s="576"/>
    </row>
    <row r="136" spans="1:32">
      <c r="A136" s="576" t="s">
        <v>653</v>
      </c>
      <c r="B136" s="576"/>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row>
    <row r="137" spans="1:32">
      <c r="A137" s="576" t="s">
        <v>654</v>
      </c>
      <c r="B137" s="576"/>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row>
  </sheetData>
  <mergeCells count="29">
    <mergeCell ref="A133:AF133"/>
    <mergeCell ref="A134:AF134"/>
    <mergeCell ref="A135:AF135"/>
    <mergeCell ref="A136:AF136"/>
    <mergeCell ref="A137:AF137"/>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14:AF114"/>
    <mergeCell ref="A115:AF115"/>
    <mergeCell ref="A116:AF116"/>
    <mergeCell ref="A117:AF117"/>
    <mergeCell ref="A118:AF118"/>
    <mergeCell ref="A109:AF109"/>
    <mergeCell ref="A110:AF110"/>
    <mergeCell ref="A111:AF111"/>
    <mergeCell ref="A112:AF112"/>
    <mergeCell ref="A113:AF113"/>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60" zoomScale="125" zoomScaleNormal="125" zoomScalePageLayoutView="125" workbookViewId="0">
      <selection activeCell="AM67" sqref="AM67"/>
    </sheetView>
  </sheetViews>
  <sheetFormatPr baseColWidth="10" defaultColWidth="12.5" defaultRowHeight="16" x14ac:dyDescent="0"/>
  <cols>
    <col min="1" max="1" width="47.33203125" style="5" customWidth="1"/>
    <col min="2" max="2" width="23" style="252" bestFit="1" customWidth="1"/>
    <col min="3" max="6" width="12.5" style="252"/>
    <col min="7" max="37" width="12.5" style="300"/>
    <col min="38" max="16384" width="12.5" style="5"/>
  </cols>
  <sheetData>
    <row r="1" spans="1:37">
      <c r="A1" s="269" t="s">
        <v>4</v>
      </c>
    </row>
    <row r="2" spans="1:37">
      <c r="A2" s="273" t="s">
        <v>703</v>
      </c>
    </row>
    <row r="3" spans="1:37">
      <c r="A3" s="273" t="s">
        <v>655</v>
      </c>
    </row>
    <row r="4" spans="1:37">
      <c r="A4" s="273" t="s">
        <v>656</v>
      </c>
    </row>
    <row r="6" spans="1:37">
      <c r="A6" s="6" t="s">
        <v>5</v>
      </c>
    </row>
    <row r="7" spans="1:37">
      <c r="A7" s="6" t="s">
        <v>6</v>
      </c>
    </row>
    <row r="8" spans="1:37">
      <c r="A8" s="78" t="s">
        <v>281</v>
      </c>
    </row>
    <row r="10" spans="1:37">
      <c r="AK10" s="301" t="s">
        <v>713</v>
      </c>
    </row>
    <row r="11" spans="1:37">
      <c r="B11" s="470" t="s">
        <v>7</v>
      </c>
      <c r="C11" s="470" t="s">
        <v>8</v>
      </c>
      <c r="D11" s="470" t="s">
        <v>9</v>
      </c>
      <c r="E11" s="470" t="s">
        <v>10</v>
      </c>
      <c r="F11" s="470" t="s">
        <v>11</v>
      </c>
      <c r="G11" s="301" t="s">
        <v>12</v>
      </c>
      <c r="H11" s="301" t="s">
        <v>13</v>
      </c>
      <c r="I11" s="301" t="s">
        <v>14</v>
      </c>
      <c r="J11" s="301" t="s">
        <v>15</v>
      </c>
      <c r="K11" s="301" t="s">
        <v>16</v>
      </c>
      <c r="L11" s="301" t="s">
        <v>17</v>
      </c>
      <c r="M11" s="301" t="s">
        <v>18</v>
      </c>
      <c r="N11" s="301" t="s">
        <v>19</v>
      </c>
      <c r="O11" s="301" t="s">
        <v>20</v>
      </c>
      <c r="P11" s="301" t="s">
        <v>21</v>
      </c>
      <c r="Q11" s="301" t="s">
        <v>22</v>
      </c>
      <c r="R11" s="301" t="s">
        <v>23</v>
      </c>
      <c r="S11" s="301" t="s">
        <v>24</v>
      </c>
      <c r="T11" s="301" t="s">
        <v>25</v>
      </c>
      <c r="U11" s="301" t="s">
        <v>26</v>
      </c>
      <c r="V11" s="301" t="s">
        <v>27</v>
      </c>
      <c r="W11" s="301" t="s">
        <v>28</v>
      </c>
      <c r="X11" s="301" t="s">
        <v>29</v>
      </c>
      <c r="Y11" s="301" t="s">
        <v>30</v>
      </c>
      <c r="Z11" s="301" t="s">
        <v>31</v>
      </c>
      <c r="AA11" s="301" t="s">
        <v>581</v>
      </c>
      <c r="AB11" s="301" t="s">
        <v>582</v>
      </c>
      <c r="AC11" s="301" t="s">
        <v>583</v>
      </c>
      <c r="AD11" s="301" t="s">
        <v>584</v>
      </c>
      <c r="AE11" s="301" t="s">
        <v>585</v>
      </c>
      <c r="AF11" s="301" t="s">
        <v>586</v>
      </c>
      <c r="AG11" s="301" t="s">
        <v>587</v>
      </c>
      <c r="AH11" s="301" t="s">
        <v>588</v>
      </c>
      <c r="AI11" s="301" t="s">
        <v>589</v>
      </c>
      <c r="AJ11" s="301" t="s">
        <v>590</v>
      </c>
      <c r="AK11" s="301">
        <v>2040</v>
      </c>
    </row>
    <row r="12" spans="1:37">
      <c r="B12" s="471"/>
      <c r="C12" s="471"/>
      <c r="D12" s="471"/>
      <c r="E12" s="471"/>
      <c r="F12" s="471"/>
    </row>
    <row r="13" spans="1:37">
      <c r="B13" s="471"/>
      <c r="C13" s="471"/>
      <c r="D13" s="471"/>
      <c r="E13" s="471"/>
      <c r="F13" s="471"/>
    </row>
    <row r="14" spans="1:37">
      <c r="A14" s="6" t="s">
        <v>32</v>
      </c>
      <c r="B14" s="471"/>
      <c r="C14" s="471"/>
      <c r="D14" s="471"/>
      <c r="E14" s="471"/>
      <c r="F14" s="471"/>
    </row>
    <row r="15" spans="1:37">
      <c r="A15" s="6" t="s">
        <v>33</v>
      </c>
      <c r="B15" s="471"/>
      <c r="C15" s="471"/>
      <c r="D15" s="471"/>
      <c r="E15" s="471"/>
      <c r="F15" s="471"/>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657</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658</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659</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9">
        <v>1E-4</v>
      </c>
      <c r="H33" s="499">
        <v>1E-4</v>
      </c>
      <c r="I33" s="499">
        <v>1E-4</v>
      </c>
      <c r="J33" s="499">
        <v>1E-4</v>
      </c>
      <c r="K33" s="499">
        <v>1E-4</v>
      </c>
      <c r="L33" s="499">
        <v>1E-4</v>
      </c>
      <c r="M33" s="499">
        <v>1E-4</v>
      </c>
      <c r="N33" s="499">
        <v>1E-4</v>
      </c>
      <c r="O33" s="499">
        <v>1E-4</v>
      </c>
      <c r="P33" s="499">
        <v>1E-4</v>
      </c>
      <c r="Q33" s="499">
        <v>1E-4</v>
      </c>
      <c r="R33" s="499">
        <v>1E-4</v>
      </c>
      <c r="S33" s="499">
        <v>1E-4</v>
      </c>
      <c r="T33" s="499">
        <v>1E-4</v>
      </c>
      <c r="U33" s="499">
        <v>1E-4</v>
      </c>
      <c r="V33" s="499">
        <v>1E-4</v>
      </c>
      <c r="W33" s="499">
        <v>1E-4</v>
      </c>
      <c r="X33" s="499">
        <v>1E-4</v>
      </c>
      <c r="Y33" s="499">
        <v>1E-4</v>
      </c>
      <c r="Z33" s="499">
        <v>1E-4</v>
      </c>
      <c r="AA33" s="499">
        <v>1E-4</v>
      </c>
      <c r="AB33" s="499">
        <v>1E-4</v>
      </c>
      <c r="AC33" s="499">
        <v>1E-4</v>
      </c>
      <c r="AD33" s="499">
        <v>1E-4</v>
      </c>
      <c r="AE33" s="499">
        <v>1E-4</v>
      </c>
      <c r="AF33" s="499">
        <v>1E-4</v>
      </c>
      <c r="AG33" s="499">
        <v>1E-4</v>
      </c>
      <c r="AH33" s="499">
        <v>1E-4</v>
      </c>
      <c r="AI33" s="499">
        <v>1E-4</v>
      </c>
      <c r="AJ33" s="499">
        <v>1E-4</v>
      </c>
      <c r="AK33"/>
    </row>
    <row r="34" spans="1:39" s="18" customFormat="1">
      <c r="A34" s="17" t="s">
        <v>660</v>
      </c>
      <c r="B34"/>
      <c r="C34"/>
      <c r="D34"/>
      <c r="E34"/>
      <c r="F34"/>
      <c r="G34" s="499">
        <v>1E-4</v>
      </c>
      <c r="H34" s="499">
        <v>1E-4</v>
      </c>
      <c r="I34" s="499">
        <v>1E-4</v>
      </c>
      <c r="J34" s="499">
        <v>1E-4</v>
      </c>
      <c r="K34" s="499">
        <v>1E-4</v>
      </c>
      <c r="L34" s="499">
        <v>1E-4</v>
      </c>
      <c r="M34" s="499">
        <v>1E-4</v>
      </c>
      <c r="N34" s="499">
        <v>1E-4</v>
      </c>
      <c r="O34" s="499">
        <v>1E-4</v>
      </c>
      <c r="P34" s="499">
        <v>1E-4</v>
      </c>
      <c r="Q34" s="499">
        <v>1E-4</v>
      </c>
      <c r="R34" s="499">
        <v>1E-4</v>
      </c>
      <c r="S34" s="499">
        <v>1E-4</v>
      </c>
      <c r="T34" s="499">
        <v>1E-4</v>
      </c>
      <c r="U34" s="499">
        <v>1E-4</v>
      </c>
      <c r="V34" s="499">
        <v>1E-4</v>
      </c>
      <c r="W34" s="499">
        <v>1E-4</v>
      </c>
      <c r="X34" s="499">
        <v>1E-4</v>
      </c>
      <c r="Y34" s="499">
        <v>1E-4</v>
      </c>
      <c r="Z34" s="499">
        <v>1E-4</v>
      </c>
      <c r="AA34" s="499">
        <v>1E-4</v>
      </c>
      <c r="AB34" s="499">
        <v>1E-4</v>
      </c>
      <c r="AC34" s="499">
        <v>1E-4</v>
      </c>
      <c r="AD34" s="499">
        <v>1E-4</v>
      </c>
      <c r="AE34" s="499">
        <v>1E-4</v>
      </c>
      <c r="AF34" s="499">
        <v>1E-4</v>
      </c>
      <c r="AG34" s="499">
        <v>1E-4</v>
      </c>
      <c r="AH34" s="499">
        <v>1E-4</v>
      </c>
      <c r="AI34" s="499">
        <v>1E-4</v>
      </c>
      <c r="AJ34" s="499">
        <v>1E-4</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661</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662</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660</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662</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660</v>
      </c>
      <c r="B54">
        <f>B57*EIA_electricity_aeo2014!B58</f>
        <v>0.50448000000000004</v>
      </c>
      <c r="C54">
        <f>C57*EIA_electricity_aeo2014!C58</f>
        <v>0.48387000000000002</v>
      </c>
      <c r="D54">
        <f>D57*EIA_electricity_aeo2014!D58</f>
        <v>0.51285000000000003</v>
      </c>
      <c r="E54">
        <f>E57*EIA_electricity_aeo2014!E58</f>
        <v>0.49046999999999996</v>
      </c>
      <c r="F54">
        <f>F57*EIA_electricity_aeo2014!F58</f>
        <v>0.51057000000000008</v>
      </c>
      <c r="G54">
        <f>G57*EIA_electricity_aeo2014!G58</f>
        <v>0.51961472006201304</v>
      </c>
      <c r="H54">
        <f>H57*EIA_electricity_aeo2014!H58</f>
        <v>0.50481889932446178</v>
      </c>
      <c r="I54">
        <f>I57*EIA_electricity_aeo2014!I58</f>
        <v>0.5026002833805292</v>
      </c>
      <c r="J54">
        <f>J57*EIA_electricity_aeo2014!J58</f>
        <v>0.51857457290862619</v>
      </c>
      <c r="K54">
        <f>K57*EIA_electricity_aeo2014!K58</f>
        <v>0.5810905885083284</v>
      </c>
      <c r="L54">
        <f>L57*EIA_electricity_aeo2014!L58</f>
        <v>0.64238995500826224</v>
      </c>
      <c r="M54">
        <f>M57*EIA_electricity_aeo2014!M58</f>
        <v>0.65221973855701953</v>
      </c>
      <c r="N54">
        <f>N57*EIA_electricity_aeo2014!N58</f>
        <v>0.65591516992815291</v>
      </c>
      <c r="O54">
        <f>O57*EIA_electricity_aeo2014!O58</f>
        <v>0.65756114100319407</v>
      </c>
      <c r="P54">
        <f>P57*EIA_electricity_aeo2014!P58</f>
        <v>0.65459582801308869</v>
      </c>
      <c r="Q54">
        <f>Q57*EIA_electricity_aeo2014!Q58</f>
        <v>0.65879719659200997</v>
      </c>
      <c r="R54">
        <f>R57*EIA_electricity_aeo2014!R58</f>
        <v>0.6519112772285871</v>
      </c>
      <c r="S54">
        <f>S57*EIA_electricity_aeo2014!S58</f>
        <v>0.65257911599879936</v>
      </c>
      <c r="T54">
        <f>T57*EIA_electricity_aeo2014!T58</f>
        <v>0.65204301919085716</v>
      </c>
      <c r="U54">
        <f>U57*EIA_electricity_aeo2014!U58</f>
        <v>0.65236624880625371</v>
      </c>
      <c r="V54">
        <f>V57*EIA_electricity_aeo2014!V58</f>
        <v>0.6472062006098771</v>
      </c>
      <c r="W54">
        <f>W57*EIA_electricity_aeo2014!W58</f>
        <v>0.64325945818578611</v>
      </c>
      <c r="X54">
        <f>X57*EIA_electricity_aeo2014!X58</f>
        <v>0.65352215722678264</v>
      </c>
      <c r="Y54">
        <f>Y57*EIA_electricity_aeo2014!Y58</f>
        <v>0.64728306254906021</v>
      </c>
      <c r="Z54">
        <f>Z57*EIA_electricity_aeo2014!Z58</f>
        <v>0.65261250626504941</v>
      </c>
      <c r="AA54">
        <f>AA57*EIA_electricity_aeo2014!AA58</f>
        <v>0.65854365290361805</v>
      </c>
      <c r="AB54">
        <f>AB57*EIA_electricity_aeo2014!AB58</f>
        <v>0.66627617984493193</v>
      </c>
      <c r="AC54">
        <f>AC57*EIA_electricity_aeo2014!AC58</f>
        <v>0.67692455053302192</v>
      </c>
      <c r="AD54">
        <f>AD57*EIA_electricity_aeo2014!AD58</f>
        <v>0.68500205247072032</v>
      </c>
      <c r="AE54">
        <f>AE57*EIA_electricity_aeo2014!AE58</f>
        <v>0.68476835993102636</v>
      </c>
      <c r="AF54">
        <f>AF57*EIA_electricity_aeo2014!AF58</f>
        <v>0.69287118092042077</v>
      </c>
      <c r="AG54">
        <f>AG57*EIA_electricity_aeo2014!AG58</f>
        <v>0.70050236648795583</v>
      </c>
      <c r="AH54">
        <f>AH57*EIA_electricity_aeo2014!AH58</f>
        <v>0.69880606154127367</v>
      </c>
      <c r="AI54">
        <f>AI57*EIA_electricity_aeo2014!AI58</f>
        <v>0.69912650671458298</v>
      </c>
      <c r="AJ54">
        <f>AJ57*EIA_electricity_aeo2014!AJ58</f>
        <v>0.6957478265538285</v>
      </c>
      <c r="AK54" s="503">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2" customFormat="1">
      <c r="A57" s="252" t="s">
        <v>751</v>
      </c>
      <c r="B57" s="531">
        <v>0.03</v>
      </c>
      <c r="C57" s="531">
        <v>0.03</v>
      </c>
      <c r="D57" s="531">
        <v>0.03</v>
      </c>
      <c r="E57" s="531">
        <v>0.03</v>
      </c>
      <c r="F57" s="531">
        <v>0.03</v>
      </c>
      <c r="G57" s="531">
        <v>0.03</v>
      </c>
      <c r="H57" s="531">
        <v>0.03</v>
      </c>
      <c r="I57" s="531">
        <v>0.03</v>
      </c>
      <c r="J57" s="531">
        <v>0.03</v>
      </c>
      <c r="K57" s="531">
        <v>0.03</v>
      </c>
      <c r="L57" s="531">
        <v>0.03</v>
      </c>
      <c r="M57" s="531">
        <v>0.03</v>
      </c>
      <c r="N57" s="531">
        <v>0.03</v>
      </c>
      <c r="O57" s="531">
        <v>0.03</v>
      </c>
      <c r="P57" s="531">
        <v>0.03</v>
      </c>
      <c r="Q57" s="531">
        <v>0.03</v>
      </c>
      <c r="R57" s="531">
        <v>0.03</v>
      </c>
      <c r="S57" s="531">
        <v>0.03</v>
      </c>
      <c r="T57" s="531">
        <v>0.03</v>
      </c>
      <c r="U57" s="531">
        <v>0.03</v>
      </c>
      <c r="V57" s="531">
        <v>0.03</v>
      </c>
      <c r="W57" s="531">
        <v>0.03</v>
      </c>
      <c r="X57" s="531">
        <v>0.03</v>
      </c>
      <c r="Y57" s="531">
        <v>0.03</v>
      </c>
      <c r="Z57" s="531">
        <v>0.03</v>
      </c>
      <c r="AA57" s="531">
        <v>0.03</v>
      </c>
      <c r="AB57" s="531">
        <v>0.03</v>
      </c>
      <c r="AC57" s="531">
        <v>0.03</v>
      </c>
      <c r="AD57" s="531">
        <v>0.03</v>
      </c>
      <c r="AE57" s="531">
        <v>0.03</v>
      </c>
      <c r="AF57" s="531">
        <v>0.03</v>
      </c>
      <c r="AG57" s="531">
        <v>0.03</v>
      </c>
      <c r="AH57" s="531">
        <v>0.03</v>
      </c>
      <c r="AI57" s="531">
        <v>0.03</v>
      </c>
      <c r="AJ57" s="531">
        <v>0.03</v>
      </c>
      <c r="AK57"/>
    </row>
    <row r="58" spans="1:39" s="252" customFormat="1">
      <c r="A58" s="251"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744</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739</v>
      </c>
      <c r="AM59" s="18" t="s">
        <v>748</v>
      </c>
    </row>
    <row r="60" spans="1:39">
      <c r="A60" s="501" t="s">
        <v>732</v>
      </c>
      <c r="G60" s="499">
        <v>8.7418650000000007</v>
      </c>
      <c r="H60" s="499">
        <v>7.3679389999999998</v>
      </c>
      <c r="I60" s="499">
        <v>7.143516</v>
      </c>
      <c r="J60" s="499">
        <v>7.2637780000000003</v>
      </c>
      <c r="K60" s="499">
        <v>7.4072459999999998</v>
      </c>
      <c r="L60" s="499">
        <v>7.5513940000000002</v>
      </c>
      <c r="M60" s="499">
        <v>7.6289110000000004</v>
      </c>
      <c r="N60" s="499">
        <v>7.628914</v>
      </c>
      <c r="O60" s="499">
        <v>7.6289150000000001</v>
      </c>
      <c r="P60" s="499">
        <v>7.6289110000000004</v>
      </c>
      <c r="Q60" s="499">
        <v>7.6289110000000004</v>
      </c>
      <c r="R60" s="499">
        <v>7.6289129999999998</v>
      </c>
      <c r="S60" s="499">
        <v>8.0066310000000005</v>
      </c>
      <c r="T60" s="499">
        <v>8.0066299999999995</v>
      </c>
      <c r="U60" s="499">
        <v>8.0066389999999998</v>
      </c>
      <c r="V60" s="499">
        <v>8.0066559999999996</v>
      </c>
      <c r="W60" s="499">
        <v>8.0625470000000004</v>
      </c>
      <c r="X60" s="499">
        <v>8.1183399999999999</v>
      </c>
      <c r="Y60" s="499">
        <v>8.1183490000000003</v>
      </c>
      <c r="Z60" s="499">
        <v>8.1183479999999992</v>
      </c>
      <c r="AA60" s="499">
        <v>8.1183490000000003</v>
      </c>
      <c r="AB60" s="499">
        <v>8.1183510000000005</v>
      </c>
      <c r="AC60" s="499">
        <v>8.1183390000000006</v>
      </c>
      <c r="AD60" s="499">
        <v>8.1183390000000006</v>
      </c>
      <c r="AE60" s="499">
        <v>8.1183390000000006</v>
      </c>
      <c r="AF60" s="499">
        <v>8.1587929999999993</v>
      </c>
      <c r="AG60" s="499">
        <v>8.1587929999999993</v>
      </c>
      <c r="AH60" s="499">
        <v>8.1587929999999993</v>
      </c>
      <c r="AI60" s="499">
        <v>8.1587929999999993</v>
      </c>
      <c r="AJ60" s="499">
        <v>8.1588030000000007</v>
      </c>
      <c r="AK60" s="503">
        <v>4.0000000000000001E-3</v>
      </c>
      <c r="AL60" s="508" t="s">
        <v>726</v>
      </c>
      <c r="AM60" s="29">
        <v>1E-4</v>
      </c>
    </row>
    <row r="61" spans="1:39">
      <c r="A61" s="501" t="s">
        <v>733</v>
      </c>
      <c r="G61" s="499">
        <v>1E-4</v>
      </c>
      <c r="H61" s="499">
        <v>1E-4</v>
      </c>
      <c r="I61" s="499">
        <v>1E-4</v>
      </c>
      <c r="J61" s="499">
        <v>1E-4</v>
      </c>
      <c r="K61" s="499">
        <v>1E-4</v>
      </c>
      <c r="L61" s="499">
        <v>1E-4</v>
      </c>
      <c r="M61" s="499">
        <v>1E-4</v>
      </c>
      <c r="N61" s="499">
        <v>1E-4</v>
      </c>
      <c r="O61" s="499">
        <v>1E-4</v>
      </c>
      <c r="P61" s="499">
        <v>1E-4</v>
      </c>
      <c r="Q61" s="499">
        <v>1E-4</v>
      </c>
      <c r="R61" s="499">
        <v>1E-4</v>
      </c>
      <c r="S61" s="499">
        <v>1E-4</v>
      </c>
      <c r="T61" s="499">
        <v>1E-4</v>
      </c>
      <c r="U61" s="499">
        <v>1E-4</v>
      </c>
      <c r="V61" s="499">
        <v>1E-4</v>
      </c>
      <c r="W61" s="499">
        <v>1E-4</v>
      </c>
      <c r="X61" s="499">
        <v>1E-4</v>
      </c>
      <c r="Y61" s="499">
        <v>1E-4</v>
      </c>
      <c r="Z61" s="499">
        <v>1E-4</v>
      </c>
      <c r="AA61" s="499">
        <v>1E-4</v>
      </c>
      <c r="AB61" s="499">
        <v>1E-4</v>
      </c>
      <c r="AC61" s="499">
        <v>1E-4</v>
      </c>
      <c r="AD61" s="499">
        <v>1E-4</v>
      </c>
      <c r="AE61" s="499">
        <v>1E-4</v>
      </c>
      <c r="AF61" s="499">
        <v>1E-4</v>
      </c>
      <c r="AG61" s="499">
        <v>1E-4</v>
      </c>
      <c r="AH61" s="499">
        <v>1E-4</v>
      </c>
      <c r="AI61" s="499">
        <v>1E-4</v>
      </c>
      <c r="AJ61" s="499">
        <v>1E-4</v>
      </c>
      <c r="AK61" s="499" t="s">
        <v>41</v>
      </c>
      <c r="AL61" s="508" t="s">
        <v>727</v>
      </c>
      <c r="AM61" s="29">
        <v>0.48426661532462917</v>
      </c>
    </row>
    <row r="62" spans="1:39">
      <c r="A62" s="501" t="s">
        <v>734</v>
      </c>
      <c r="G62" s="499">
        <v>2.4104190000000001</v>
      </c>
      <c r="H62" s="499">
        <v>2.5045899999999999</v>
      </c>
      <c r="I62" s="499">
        <v>2.8071229999999998</v>
      </c>
      <c r="J62" s="499">
        <v>2.8052320000000002</v>
      </c>
      <c r="K62" s="499">
        <v>2.8049550000000001</v>
      </c>
      <c r="L62" s="499">
        <v>2.8049979999999999</v>
      </c>
      <c r="M62" s="499">
        <v>2.8050060000000001</v>
      </c>
      <c r="N62" s="499">
        <v>2.8050540000000002</v>
      </c>
      <c r="O62" s="499">
        <v>2.805059</v>
      </c>
      <c r="P62" s="499">
        <v>2.8050329999999999</v>
      </c>
      <c r="Q62" s="499">
        <v>2.8050139999999999</v>
      </c>
      <c r="R62" s="499">
        <v>2.8050009999999999</v>
      </c>
      <c r="S62" s="499">
        <v>2.8049840000000001</v>
      </c>
      <c r="T62" s="499">
        <v>2.8049659999999998</v>
      </c>
      <c r="U62" s="499">
        <v>2.8128419999999998</v>
      </c>
      <c r="V62" s="499">
        <v>2.8128139999999999</v>
      </c>
      <c r="W62" s="499">
        <v>2.804888</v>
      </c>
      <c r="X62" s="499">
        <v>2.8127620000000002</v>
      </c>
      <c r="Y62" s="499">
        <v>2.8048220000000001</v>
      </c>
      <c r="Z62" s="499">
        <v>2.8047960000000001</v>
      </c>
      <c r="AA62" s="499">
        <v>2.8126690000000001</v>
      </c>
      <c r="AB62" s="499">
        <v>2.8126370000000001</v>
      </c>
      <c r="AC62" s="499">
        <v>2.812605</v>
      </c>
      <c r="AD62" s="499">
        <v>2.8046090000000001</v>
      </c>
      <c r="AE62" s="499">
        <v>2.8045629999999999</v>
      </c>
      <c r="AF62" s="499">
        <v>2.804481</v>
      </c>
      <c r="AG62" s="499">
        <v>2.804443</v>
      </c>
      <c r="AH62" s="499">
        <v>2.812452</v>
      </c>
      <c r="AI62" s="499">
        <v>2.8043680000000002</v>
      </c>
      <c r="AJ62" s="499">
        <v>2.8043420000000001</v>
      </c>
      <c r="AK62" s="503">
        <v>4.0000000000000001E-3</v>
      </c>
      <c r="AL62" s="508" t="s">
        <v>728</v>
      </c>
      <c r="AM62" s="29">
        <v>1.0000000000000001E-5</v>
      </c>
    </row>
    <row r="63" spans="1:39">
      <c r="A63" s="501" t="s">
        <v>735</v>
      </c>
      <c r="G63" s="499">
        <v>4.9026430000000003</v>
      </c>
      <c r="H63" s="499">
        <v>4.9682649999999997</v>
      </c>
      <c r="I63" s="499">
        <v>4.1277520000000001</v>
      </c>
      <c r="J63" s="499">
        <v>4.273466</v>
      </c>
      <c r="K63" s="499">
        <v>4.5447800000000003</v>
      </c>
      <c r="L63" s="499">
        <v>5.8157610000000002</v>
      </c>
      <c r="M63" s="499">
        <v>5.9488620000000001</v>
      </c>
      <c r="N63" s="499">
        <v>6.0622280000000002</v>
      </c>
      <c r="O63" s="499">
        <v>6.227868</v>
      </c>
      <c r="P63" s="499">
        <v>6.3883910000000004</v>
      </c>
      <c r="Q63" s="499">
        <v>6.88218</v>
      </c>
      <c r="R63" s="499">
        <v>6.9049709999999997</v>
      </c>
      <c r="S63" s="499">
        <v>6.9134719999999996</v>
      </c>
      <c r="T63" s="499">
        <v>6.9758950000000004</v>
      </c>
      <c r="U63" s="499">
        <v>7.0007729999999997</v>
      </c>
      <c r="V63" s="499">
        <v>7.0603559999999996</v>
      </c>
      <c r="W63" s="499">
        <v>7.31555</v>
      </c>
      <c r="X63" s="499">
        <v>7.7111660000000004</v>
      </c>
      <c r="Y63" s="499">
        <v>7.6204000000000001</v>
      </c>
      <c r="Z63" s="499">
        <v>7.621054</v>
      </c>
      <c r="AA63" s="499">
        <v>7.7105220000000001</v>
      </c>
      <c r="AB63" s="499">
        <v>7.7002639999999998</v>
      </c>
      <c r="AC63" s="499">
        <v>7.7720380000000002</v>
      </c>
      <c r="AD63" s="499">
        <v>7.8200839999999996</v>
      </c>
      <c r="AE63" s="499">
        <v>7.8508079999999998</v>
      </c>
      <c r="AF63" s="499">
        <v>7.9168310000000002</v>
      </c>
      <c r="AG63" s="499">
        <v>8.0954979999999992</v>
      </c>
      <c r="AH63" s="499">
        <v>7.9878850000000003</v>
      </c>
      <c r="AI63" s="499">
        <v>8.0393059999999998</v>
      </c>
      <c r="AJ63" s="499">
        <v>8.0937809999999999</v>
      </c>
      <c r="AK63" s="503">
        <v>1.7999999999999999E-2</v>
      </c>
      <c r="AL63" s="508" t="s">
        <v>143</v>
      </c>
      <c r="AM63" s="29">
        <v>0.66955512700409703</v>
      </c>
    </row>
    <row r="64" spans="1:39">
      <c r="A64" s="501" t="s">
        <v>736</v>
      </c>
      <c r="G64" s="499">
        <v>0.15174599999999999</v>
      </c>
      <c r="H64" s="499">
        <v>0.33105699999999999</v>
      </c>
      <c r="I64" s="499">
        <v>0.495058</v>
      </c>
      <c r="J64" s="499">
        <v>0.64011700000000005</v>
      </c>
      <c r="K64" s="499">
        <v>0.77832199999999996</v>
      </c>
      <c r="L64" s="499">
        <v>0.90318799999999999</v>
      </c>
      <c r="M64" s="499">
        <v>0.907725</v>
      </c>
      <c r="N64" s="499">
        <v>0.91335</v>
      </c>
      <c r="O64" s="499">
        <v>0.919655</v>
      </c>
      <c r="P64" s="499">
        <v>0.93021600000000004</v>
      </c>
      <c r="Q64" s="499">
        <v>0.94396800000000003</v>
      </c>
      <c r="R64" s="499">
        <v>0.96229600000000004</v>
      </c>
      <c r="S64" s="499">
        <v>0.98622900000000002</v>
      </c>
      <c r="T64" s="499">
        <v>1.0305299999999999</v>
      </c>
      <c r="U64" s="499">
        <v>1.083075</v>
      </c>
      <c r="V64" s="499">
        <v>1.139122</v>
      </c>
      <c r="W64" s="499">
        <v>1.1992290000000001</v>
      </c>
      <c r="X64" s="499">
        <v>1.2627889999999999</v>
      </c>
      <c r="Y64" s="499">
        <v>1.3284100000000001</v>
      </c>
      <c r="Z64" s="499">
        <v>1.405724</v>
      </c>
      <c r="AA64" s="499">
        <v>1.4838359999999999</v>
      </c>
      <c r="AB64" s="499">
        <v>1.5610980000000001</v>
      </c>
      <c r="AC64" s="499">
        <v>1.6377930000000001</v>
      </c>
      <c r="AD64" s="499">
        <v>1.7154689999999999</v>
      </c>
      <c r="AE64" s="499">
        <v>1.7942560000000001</v>
      </c>
      <c r="AF64" s="499">
        <v>1.8740209999999999</v>
      </c>
      <c r="AG64" s="499">
        <v>1.954977</v>
      </c>
      <c r="AH64" s="499">
        <v>2.036438</v>
      </c>
      <c r="AI64" s="499">
        <v>2.12378</v>
      </c>
      <c r="AJ64" s="499">
        <v>2.2136420000000001</v>
      </c>
      <c r="AK64" s="503">
        <v>7.0000000000000007E-2</v>
      </c>
      <c r="AL64" s="508" t="s">
        <v>729</v>
      </c>
      <c r="AM64" s="29">
        <v>0.70983896401381508</v>
      </c>
    </row>
    <row r="65" spans="1:44">
      <c r="A65" s="501" t="s">
        <v>737</v>
      </c>
      <c r="G65" s="499">
        <v>0.87209000000000003</v>
      </c>
      <c r="H65" s="499">
        <v>1.300173</v>
      </c>
      <c r="I65" s="499">
        <v>2.159392</v>
      </c>
      <c r="J65" s="499">
        <v>2.1913999999999998</v>
      </c>
      <c r="K65" s="499">
        <v>5.4170920000000002</v>
      </c>
      <c r="L65" s="499">
        <v>7.5953010000000001</v>
      </c>
      <c r="M65" s="499">
        <v>7.5951300000000002</v>
      </c>
      <c r="N65" s="499">
        <v>7.5927850000000001</v>
      </c>
      <c r="O65" s="499">
        <v>7.5931499999999996</v>
      </c>
      <c r="P65" s="499">
        <v>7.5947380000000004</v>
      </c>
      <c r="Q65" s="499">
        <v>7.593947</v>
      </c>
      <c r="R65" s="499">
        <v>7.593458</v>
      </c>
      <c r="S65" s="499">
        <v>7.5959349999999999</v>
      </c>
      <c r="T65" s="499">
        <v>7.6032710000000003</v>
      </c>
      <c r="U65" s="499">
        <v>7.59856</v>
      </c>
      <c r="V65" s="499">
        <v>7.6346720000000001</v>
      </c>
      <c r="W65" s="499">
        <v>7.6616739999999997</v>
      </c>
      <c r="X65" s="499">
        <v>7.7972000000000001</v>
      </c>
      <c r="Y65" s="499">
        <v>7.946593</v>
      </c>
      <c r="Z65" s="499">
        <v>7.98421</v>
      </c>
      <c r="AA65" s="499">
        <v>7.9892310000000002</v>
      </c>
      <c r="AB65" s="499">
        <v>7.9937459999999998</v>
      </c>
      <c r="AC65" s="499">
        <v>8.1112169999999999</v>
      </c>
      <c r="AD65" s="499">
        <v>8.2670729999999999</v>
      </c>
      <c r="AE65" s="499">
        <v>8.323385</v>
      </c>
      <c r="AF65" s="499">
        <v>8.8026859999999996</v>
      </c>
      <c r="AG65" s="499">
        <v>9.1621249999999996</v>
      </c>
      <c r="AH65" s="499">
        <v>9.2056570000000004</v>
      </c>
      <c r="AI65" s="499">
        <v>9.3002129999999994</v>
      </c>
      <c r="AJ65" s="499">
        <v>9.4375099999999996</v>
      </c>
      <c r="AK65" s="503">
        <v>7.2999999999999995E-2</v>
      </c>
      <c r="AL65" s="508" t="s">
        <v>730</v>
      </c>
      <c r="AM65" s="29">
        <v>9.3578497486402609E-2</v>
      </c>
    </row>
    <row r="66" spans="1:44">
      <c r="A66" s="502" t="s">
        <v>738</v>
      </c>
      <c r="G66" s="500">
        <v>17.078764</v>
      </c>
      <c r="H66" s="500">
        <v>16.472023</v>
      </c>
      <c r="I66" s="500">
        <v>16.732841000000001</v>
      </c>
      <c r="J66" s="500">
        <v>17.173991999999998</v>
      </c>
      <c r="K66" s="500">
        <v>20.952396</v>
      </c>
      <c r="L66" s="500">
        <v>24.670642999999998</v>
      </c>
      <c r="M66" s="500">
        <v>24.885635000000001</v>
      </c>
      <c r="N66" s="500">
        <v>25.002333</v>
      </c>
      <c r="O66" s="500">
        <v>25.174648000000001</v>
      </c>
      <c r="P66" s="500">
        <v>25.347287999999999</v>
      </c>
      <c r="Q66" s="500">
        <v>25.854019000000001</v>
      </c>
      <c r="R66" s="500">
        <v>25.894639999999999</v>
      </c>
      <c r="S66" s="500">
        <v>26.307251000000001</v>
      </c>
      <c r="T66" s="500">
        <v>26.421292999999999</v>
      </c>
      <c r="U66" s="500">
        <v>26.50189</v>
      </c>
      <c r="V66" s="500">
        <v>26.65362</v>
      </c>
      <c r="W66" s="500">
        <v>27.043886000000001</v>
      </c>
      <c r="X66" s="500">
        <v>27.702259000000002</v>
      </c>
      <c r="Y66" s="500">
        <v>27.818573000000001</v>
      </c>
      <c r="Z66" s="500">
        <v>27.934132000000002</v>
      </c>
      <c r="AA66" s="500">
        <v>28.114606999999999</v>
      </c>
      <c r="AB66" s="500">
        <v>28.186095999999999</v>
      </c>
      <c r="AC66" s="500">
        <v>28.451992000000001</v>
      </c>
      <c r="AD66" s="500">
        <v>28.725574000000002</v>
      </c>
      <c r="AE66" s="500">
        <v>28.891352000000001</v>
      </c>
      <c r="AF66" s="500">
        <v>29.556812000000001</v>
      </c>
      <c r="AG66" s="500">
        <v>30.175837000000001</v>
      </c>
      <c r="AH66" s="500">
        <v>30.201225000000001</v>
      </c>
      <c r="AI66" s="500">
        <v>30.426459999999999</v>
      </c>
      <c r="AJ66" s="500">
        <v>30.708079999999999</v>
      </c>
      <c r="AK66" s="504">
        <v>2.1999999999999999E-2</v>
      </c>
      <c r="AL66" s="508" t="s">
        <v>731</v>
      </c>
      <c r="AM66" s="29">
        <v>0.82731752729221086</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0.50224194283883095</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2"/>
      <c r="C69" s="472"/>
      <c r="D69" s="472"/>
      <c r="E69" s="472"/>
      <c r="F69" s="472"/>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9"/>
    </row>
    <row r="70" spans="1:44" s="90" customFormat="1">
      <c r="B70" s="473" t="s">
        <v>7</v>
      </c>
      <c r="C70" s="473" t="s">
        <v>8</v>
      </c>
      <c r="D70" s="473" t="s">
        <v>9</v>
      </c>
      <c r="E70" s="473" t="s">
        <v>10</v>
      </c>
      <c r="F70" s="473" t="s">
        <v>11</v>
      </c>
      <c r="G70" s="320" t="s">
        <v>12</v>
      </c>
      <c r="H70" s="320" t="s">
        <v>13</v>
      </c>
      <c r="I70" s="320" t="s">
        <v>14</v>
      </c>
      <c r="J70" s="320" t="s">
        <v>15</v>
      </c>
      <c r="K70" s="320" t="s">
        <v>16</v>
      </c>
      <c r="L70" s="320" t="s">
        <v>17</v>
      </c>
      <c r="M70" s="320" t="s">
        <v>18</v>
      </c>
      <c r="N70" s="320" t="s">
        <v>19</v>
      </c>
      <c r="O70" s="320" t="s">
        <v>20</v>
      </c>
      <c r="P70" s="320" t="s">
        <v>21</v>
      </c>
      <c r="Q70" s="320" t="s">
        <v>22</v>
      </c>
      <c r="R70" s="320" t="s">
        <v>23</v>
      </c>
      <c r="S70" s="320" t="s">
        <v>24</v>
      </c>
      <c r="T70" s="320" t="s">
        <v>25</v>
      </c>
      <c r="U70" s="320" t="s">
        <v>26</v>
      </c>
      <c r="V70" s="320" t="s">
        <v>27</v>
      </c>
      <c r="W70" s="320" t="s">
        <v>28</v>
      </c>
      <c r="X70" s="320" t="s">
        <v>29</v>
      </c>
      <c r="Y70" s="320" t="s">
        <v>30</v>
      </c>
      <c r="Z70" s="320" t="s">
        <v>31</v>
      </c>
      <c r="AA70" s="320" t="s">
        <v>581</v>
      </c>
      <c r="AB70" s="320" t="s">
        <v>582</v>
      </c>
      <c r="AC70" s="320" t="s">
        <v>583</v>
      </c>
      <c r="AD70" s="320" t="s">
        <v>584</v>
      </c>
      <c r="AE70" s="320" t="s">
        <v>585</v>
      </c>
      <c r="AF70" s="320" t="s">
        <v>586</v>
      </c>
      <c r="AG70" s="320" t="s">
        <v>587</v>
      </c>
      <c r="AH70" s="320" t="s">
        <v>588</v>
      </c>
      <c r="AI70" s="320" t="s">
        <v>589</v>
      </c>
      <c r="AJ70" s="320" t="s">
        <v>590</v>
      </c>
      <c r="AK70" s="320" t="s">
        <v>593</v>
      </c>
      <c r="AM70" s="90" t="s">
        <v>745</v>
      </c>
      <c r="AN70" s="90">
        <v>2006</v>
      </c>
      <c r="AO70" s="90">
        <v>2007</v>
      </c>
      <c r="AP70" s="90">
        <v>2008</v>
      </c>
      <c r="AQ70" s="90">
        <v>2009</v>
      </c>
      <c r="AR70" s="90">
        <v>2010</v>
      </c>
    </row>
    <row r="71" spans="1:44">
      <c r="B71" s="471"/>
      <c r="C71" s="471"/>
      <c r="D71" s="471"/>
      <c r="E71" s="471"/>
      <c r="F71" s="471"/>
    </row>
    <row r="72" spans="1:44" s="18" customFormat="1">
      <c r="A72" s="17" t="s">
        <v>55</v>
      </c>
      <c r="B72" s="474"/>
      <c r="C72" s="474"/>
      <c r="D72" s="474"/>
      <c r="E72" s="474"/>
      <c r="F72" s="474"/>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M72" s="18" t="s">
        <v>726</v>
      </c>
      <c r="AN72" s="18">
        <v>0</v>
      </c>
      <c r="AO72" s="18">
        <v>0</v>
      </c>
      <c r="AP72" s="18">
        <v>0</v>
      </c>
      <c r="AQ72" s="18">
        <v>0</v>
      </c>
      <c r="AR72" s="18">
        <v>0</v>
      </c>
    </row>
    <row r="73" spans="1:44" s="18" customFormat="1">
      <c r="A73" s="17" t="s">
        <v>49</v>
      </c>
      <c r="B73" s="492">
        <f>AN73</f>
        <v>4.2779999999999996</v>
      </c>
      <c r="C73" s="492">
        <f t="shared" ref="C73:F73" si="0">AO73</f>
        <v>3.738</v>
      </c>
      <c r="D73" s="492">
        <f t="shared" si="0"/>
        <v>4.4569999999999999</v>
      </c>
      <c r="E73" s="492">
        <f t="shared" si="0"/>
        <v>4.2119999999999997</v>
      </c>
      <c r="F73" s="492">
        <f t="shared" si="0"/>
        <v>3.81</v>
      </c>
      <c r="G73" s="485">
        <f t="shared" ref="G73:AJ73" si="1">G60*$AM61</f>
        <v>4.23339337517484</v>
      </c>
      <c r="H73" s="485">
        <f t="shared" si="1"/>
        <v>3.5680468814483328</v>
      </c>
      <c r="I73" s="485">
        <f t="shared" si="1"/>
        <v>3.4593663148373337</v>
      </c>
      <c r="J73" s="485">
        <f t="shared" si="1"/>
        <v>3.5176051865295044</v>
      </c>
      <c r="K73" s="485">
        <f t="shared" si="1"/>
        <v>3.5870819492968979</v>
      </c>
      <c r="L73" s="485">
        <f t="shared" si="1"/>
        <v>3.6568880133627126</v>
      </c>
      <c r="M73" s="485">
        <f t="shared" si="1"/>
        <v>3.6944269085828321</v>
      </c>
      <c r="N73" s="485">
        <f t="shared" si="1"/>
        <v>3.6944283613826778</v>
      </c>
      <c r="O73" s="485">
        <f t="shared" si="1"/>
        <v>3.6944288456492935</v>
      </c>
      <c r="P73" s="485">
        <f t="shared" si="1"/>
        <v>3.6944269085828321</v>
      </c>
      <c r="Q73" s="485">
        <f t="shared" si="1"/>
        <v>3.6944269085828321</v>
      </c>
      <c r="R73" s="485">
        <f t="shared" si="1"/>
        <v>3.6944278771160626</v>
      </c>
      <c r="S73" s="485">
        <f t="shared" si="1"/>
        <v>3.8773440945232513</v>
      </c>
      <c r="T73" s="485">
        <f t="shared" si="1"/>
        <v>3.8773436102566352</v>
      </c>
      <c r="U73" s="485">
        <f t="shared" si="1"/>
        <v>3.8773479686561734</v>
      </c>
      <c r="V73" s="485">
        <f t="shared" si="1"/>
        <v>3.877356201188634</v>
      </c>
      <c r="W73" s="485">
        <f t="shared" si="1"/>
        <v>3.9044223465857431</v>
      </c>
      <c r="X73" s="485">
        <f t="shared" si="1"/>
        <v>3.9314410338545498</v>
      </c>
      <c r="Y73" s="485">
        <f t="shared" si="1"/>
        <v>3.931445392254088</v>
      </c>
      <c r="Z73" s="485">
        <f t="shared" si="1"/>
        <v>3.9314449079874723</v>
      </c>
      <c r="AA73" s="485">
        <f t="shared" si="1"/>
        <v>3.931445392254088</v>
      </c>
      <c r="AB73" s="485">
        <f t="shared" si="1"/>
        <v>3.9314463607873189</v>
      </c>
      <c r="AC73" s="485">
        <f t="shared" si="1"/>
        <v>3.931440549587935</v>
      </c>
      <c r="AD73" s="485">
        <f t="shared" si="1"/>
        <v>3.931440549587935</v>
      </c>
      <c r="AE73" s="485">
        <f t="shared" si="1"/>
        <v>3.931440549587935</v>
      </c>
      <c r="AF73" s="485">
        <f t="shared" si="1"/>
        <v>3.9510310712442767</v>
      </c>
      <c r="AG73" s="485">
        <f t="shared" si="1"/>
        <v>3.9510310712442767</v>
      </c>
      <c r="AH73" s="485">
        <f t="shared" si="1"/>
        <v>3.9510310712442767</v>
      </c>
      <c r="AI73" s="485">
        <f t="shared" si="1"/>
        <v>3.9510310712442767</v>
      </c>
      <c r="AJ73" s="485">
        <f t="shared" si="1"/>
        <v>3.951035913910431</v>
      </c>
      <c r="AK73" s="486"/>
      <c r="AM73" s="18" t="s">
        <v>727</v>
      </c>
      <c r="AN73" s="18">
        <v>4.2779999999999996</v>
      </c>
      <c r="AO73" s="18">
        <v>3.738</v>
      </c>
      <c r="AP73" s="18">
        <v>4.4569999999999999</v>
      </c>
      <c r="AQ73" s="18">
        <v>4.2119999999999997</v>
      </c>
      <c r="AR73" s="18">
        <v>3.81</v>
      </c>
    </row>
    <row r="74" spans="1:44" s="18" customFormat="1">
      <c r="A74" s="17" t="s">
        <v>50</v>
      </c>
      <c r="B74" s="492">
        <f>AN72</f>
        <v>0</v>
      </c>
      <c r="C74" s="492">
        <f t="shared" ref="C74:F74" si="2">AO72</f>
        <v>0</v>
      </c>
      <c r="D74" s="492">
        <f t="shared" si="2"/>
        <v>0</v>
      </c>
      <c r="E74" s="492">
        <f t="shared" si="2"/>
        <v>0</v>
      </c>
      <c r="F74" s="492">
        <f t="shared" si="2"/>
        <v>0</v>
      </c>
      <c r="G74" s="485">
        <f t="shared" ref="G74:AJ74" si="3">G61*$AM60</f>
        <v>1E-8</v>
      </c>
      <c r="H74" s="485">
        <f t="shared" si="3"/>
        <v>1E-8</v>
      </c>
      <c r="I74" s="485">
        <f t="shared" si="3"/>
        <v>1E-8</v>
      </c>
      <c r="J74" s="485">
        <f t="shared" si="3"/>
        <v>1E-8</v>
      </c>
      <c r="K74" s="485">
        <f t="shared" si="3"/>
        <v>1E-8</v>
      </c>
      <c r="L74" s="485">
        <f t="shared" si="3"/>
        <v>1E-8</v>
      </c>
      <c r="M74" s="485">
        <f t="shared" si="3"/>
        <v>1E-8</v>
      </c>
      <c r="N74" s="485">
        <f t="shared" si="3"/>
        <v>1E-8</v>
      </c>
      <c r="O74" s="485">
        <f t="shared" si="3"/>
        <v>1E-8</v>
      </c>
      <c r="P74" s="485">
        <f t="shared" si="3"/>
        <v>1E-8</v>
      </c>
      <c r="Q74" s="485">
        <f t="shared" si="3"/>
        <v>1E-8</v>
      </c>
      <c r="R74" s="485">
        <f t="shared" si="3"/>
        <v>1E-8</v>
      </c>
      <c r="S74" s="485">
        <f t="shared" si="3"/>
        <v>1E-8</v>
      </c>
      <c r="T74" s="485">
        <f t="shared" si="3"/>
        <v>1E-8</v>
      </c>
      <c r="U74" s="485">
        <f t="shared" si="3"/>
        <v>1E-8</v>
      </c>
      <c r="V74" s="485">
        <f t="shared" si="3"/>
        <v>1E-8</v>
      </c>
      <c r="W74" s="485">
        <f t="shared" si="3"/>
        <v>1E-8</v>
      </c>
      <c r="X74" s="485">
        <f t="shared" si="3"/>
        <v>1E-8</v>
      </c>
      <c r="Y74" s="485">
        <f t="shared" si="3"/>
        <v>1E-8</v>
      </c>
      <c r="Z74" s="485">
        <f t="shared" si="3"/>
        <v>1E-8</v>
      </c>
      <c r="AA74" s="485">
        <f t="shared" si="3"/>
        <v>1E-8</v>
      </c>
      <c r="AB74" s="485">
        <f t="shared" si="3"/>
        <v>1E-8</v>
      </c>
      <c r="AC74" s="485">
        <f t="shared" si="3"/>
        <v>1E-8</v>
      </c>
      <c r="AD74" s="485">
        <f t="shared" si="3"/>
        <v>1E-8</v>
      </c>
      <c r="AE74" s="485">
        <f t="shared" si="3"/>
        <v>1E-8</v>
      </c>
      <c r="AF74" s="485">
        <f t="shared" si="3"/>
        <v>1E-8</v>
      </c>
      <c r="AG74" s="485">
        <f t="shared" si="3"/>
        <v>1E-8</v>
      </c>
      <c r="AH74" s="485">
        <f t="shared" si="3"/>
        <v>1E-8</v>
      </c>
      <c r="AI74" s="485">
        <f t="shared" si="3"/>
        <v>1E-8</v>
      </c>
      <c r="AJ74" s="485">
        <f t="shared" si="3"/>
        <v>1E-8</v>
      </c>
      <c r="AK74" s="486"/>
      <c r="AM74" s="18" t="s">
        <v>728</v>
      </c>
      <c r="AN74" s="18">
        <v>0</v>
      </c>
      <c r="AO74" s="18">
        <v>0</v>
      </c>
      <c r="AP74" s="18">
        <v>0</v>
      </c>
      <c r="AQ74" s="18">
        <v>0</v>
      </c>
      <c r="AR74" s="18">
        <v>0</v>
      </c>
    </row>
    <row r="75" spans="1:44" s="18" customFormat="1">
      <c r="A75" s="17" t="s">
        <v>51</v>
      </c>
      <c r="B75" s="492">
        <f>AN77</f>
        <v>0.23499999999999999</v>
      </c>
      <c r="C75" s="492">
        <f t="shared" ref="C75:F75" si="4">AO77</f>
        <v>0.20799999999999999</v>
      </c>
      <c r="D75" s="492">
        <f t="shared" si="4"/>
        <v>0.20599999999999999</v>
      </c>
      <c r="E75" s="492">
        <f t="shared" si="4"/>
        <v>0.23200000000000001</v>
      </c>
      <c r="F75" s="492">
        <f t="shared" si="4"/>
        <v>0.23699999999999999</v>
      </c>
      <c r="G75" s="485">
        <f t="shared" ref="G75:AJ75" si="5">G62*$AM65</f>
        <v>0.22556338833267711</v>
      </c>
      <c r="H75" s="485">
        <f t="shared" si="5"/>
        <v>0.2343757690194691</v>
      </c>
      <c r="I75" s="485">
        <f t="shared" si="5"/>
        <v>0.26268635259952294</v>
      </c>
      <c r="J75" s="485">
        <f t="shared" si="5"/>
        <v>0.26250939566077619</v>
      </c>
      <c r="K75" s="485">
        <f t="shared" si="5"/>
        <v>0.26248347441697245</v>
      </c>
      <c r="L75" s="485">
        <f t="shared" si="5"/>
        <v>0.26248749829236434</v>
      </c>
      <c r="M75" s="485">
        <f t="shared" si="5"/>
        <v>0.26248824692034423</v>
      </c>
      <c r="N75" s="485">
        <f t="shared" si="5"/>
        <v>0.26249273868822359</v>
      </c>
      <c r="O75" s="485">
        <f t="shared" si="5"/>
        <v>0.26249320658071101</v>
      </c>
      <c r="P75" s="485">
        <f t="shared" si="5"/>
        <v>0.26249077353977635</v>
      </c>
      <c r="Q75" s="485">
        <f t="shared" si="5"/>
        <v>0.26248899554832411</v>
      </c>
      <c r="R75" s="485">
        <f t="shared" si="5"/>
        <v>0.2624877790278568</v>
      </c>
      <c r="S75" s="485">
        <f t="shared" si="5"/>
        <v>0.26248618819339953</v>
      </c>
      <c r="T75" s="485">
        <f t="shared" si="5"/>
        <v>0.26248450378044474</v>
      </c>
      <c r="U75" s="485">
        <f t="shared" si="5"/>
        <v>0.26322152802664767</v>
      </c>
      <c r="V75" s="485">
        <f t="shared" si="5"/>
        <v>0.26321890782871804</v>
      </c>
      <c r="W75" s="485">
        <f t="shared" si="5"/>
        <v>0.26247720465764085</v>
      </c>
      <c r="X75" s="485">
        <f t="shared" si="5"/>
        <v>0.26321404174684881</v>
      </c>
      <c r="Y75" s="485">
        <f t="shared" si="5"/>
        <v>0.26247102847680676</v>
      </c>
      <c r="Z75" s="485">
        <f t="shared" si="5"/>
        <v>0.26246859543587209</v>
      </c>
      <c r="AA75" s="485">
        <f t="shared" si="5"/>
        <v>0.26320533894658255</v>
      </c>
      <c r="AB75" s="485">
        <f t="shared" si="5"/>
        <v>0.263202344434663</v>
      </c>
      <c r="AC75" s="485">
        <f t="shared" si="5"/>
        <v>0.26319934992274341</v>
      </c>
      <c r="AD75" s="485">
        <f t="shared" si="5"/>
        <v>0.26245109625684215</v>
      </c>
      <c r="AE75" s="485">
        <f t="shared" si="5"/>
        <v>0.26244679164595774</v>
      </c>
      <c r="AF75" s="485">
        <f t="shared" si="5"/>
        <v>0.26243911820916388</v>
      </c>
      <c r="AG75" s="485">
        <f t="shared" si="5"/>
        <v>0.26243556222625941</v>
      </c>
      <c r="AH75" s="485">
        <f t="shared" si="5"/>
        <v>0.26318503241262797</v>
      </c>
      <c r="AI75" s="485">
        <f t="shared" si="5"/>
        <v>0.26242854383894793</v>
      </c>
      <c r="AJ75" s="485">
        <f t="shared" si="5"/>
        <v>0.26242611079801326</v>
      </c>
      <c r="AK75" s="486"/>
      <c r="AM75" s="18" t="s">
        <v>143</v>
      </c>
      <c r="AN75" s="18">
        <v>0</v>
      </c>
      <c r="AO75" s="18">
        <v>9.9000000000000005E-2</v>
      </c>
      <c r="AP75" s="18">
        <v>0.13200000000000001</v>
      </c>
      <c r="AQ75" s="18">
        <v>0.29899999999999999</v>
      </c>
      <c r="AR75" s="18">
        <v>0.499</v>
      </c>
    </row>
    <row r="76" spans="1:44" s="18" customFormat="1">
      <c r="A76" s="17" t="s">
        <v>56</v>
      </c>
      <c r="B76" s="493">
        <f>AN76</f>
        <v>3.6850000000000001</v>
      </c>
      <c r="C76" s="493">
        <f t="shared" ref="C76:F76" si="6">AO76</f>
        <v>3.8479999999999999</v>
      </c>
      <c r="D76" s="493">
        <f t="shared" si="6"/>
        <v>3.669</v>
      </c>
      <c r="E76" s="493">
        <f t="shared" si="6"/>
        <v>3.367</v>
      </c>
      <c r="F76" s="493">
        <f t="shared" si="6"/>
        <v>3.39</v>
      </c>
      <c r="G76" s="485">
        <f t="shared" ref="G76:AJ76" si="7">G63*$AM64</f>
        <v>3.4800870280495828</v>
      </c>
      <c r="H76" s="485">
        <f t="shared" si="7"/>
        <v>3.5266680805460968</v>
      </c>
      <c r="I76" s="485">
        <f t="shared" si="7"/>
        <v>2.9300392033859533</v>
      </c>
      <c r="J76" s="485">
        <f t="shared" si="7"/>
        <v>3.0334726781882622</v>
      </c>
      <c r="K76" s="485">
        <f t="shared" si="7"/>
        <v>3.2260619268707065</v>
      </c>
      <c r="L76" s="485">
        <f t="shared" si="7"/>
        <v>4.1282537631919496</v>
      </c>
      <c r="M76" s="485">
        <f t="shared" si="7"/>
        <v>4.2227340391411516</v>
      </c>
      <c r="N76" s="485">
        <f t="shared" si="7"/>
        <v>4.3032056431355423</v>
      </c>
      <c r="O76" s="485">
        <f t="shared" si="7"/>
        <v>4.4207833691347904</v>
      </c>
      <c r="P76" s="485">
        <f t="shared" si="7"/>
        <v>4.5347288491551803</v>
      </c>
      <c r="Q76" s="485">
        <f t="shared" si="7"/>
        <v>4.8852395213565982</v>
      </c>
      <c r="R76" s="485">
        <f t="shared" si="7"/>
        <v>4.9014174611854369</v>
      </c>
      <c r="S76" s="485">
        <f t="shared" si="7"/>
        <v>4.9074518022185183</v>
      </c>
      <c r="T76" s="485">
        <f t="shared" si="7"/>
        <v>4.9517620798691526</v>
      </c>
      <c r="U76" s="485">
        <f t="shared" si="7"/>
        <v>4.9694214536158876</v>
      </c>
      <c r="V76" s="485">
        <f t="shared" si="7"/>
        <v>5.0117157886087229</v>
      </c>
      <c r="W76" s="485">
        <f t="shared" si="7"/>
        <v>5.1928624331912649</v>
      </c>
      <c r="X76" s="485">
        <f t="shared" si="7"/>
        <v>5.4736860847785547</v>
      </c>
      <c r="Y76" s="485">
        <f t="shared" si="7"/>
        <v>5.4092568413708761</v>
      </c>
      <c r="Z76" s="485">
        <f t="shared" si="7"/>
        <v>5.4097210760533416</v>
      </c>
      <c r="AA76" s="485">
        <f t="shared" si="7"/>
        <v>5.4732289484857297</v>
      </c>
      <c r="AB76" s="485">
        <f t="shared" si="7"/>
        <v>5.465947420392876</v>
      </c>
      <c r="AC76" s="485">
        <f t="shared" si="7"/>
        <v>5.5168954021960035</v>
      </c>
      <c r="AD76" s="485">
        <f t="shared" si="7"/>
        <v>5.5510003250610112</v>
      </c>
      <c r="AE76" s="485">
        <f t="shared" si="7"/>
        <v>5.5728094173913716</v>
      </c>
      <c r="AF76" s="485">
        <f t="shared" si="7"/>
        <v>5.6196751153124556</v>
      </c>
      <c r="AG76" s="485">
        <f t="shared" si="7"/>
        <v>5.7464999134959109</v>
      </c>
      <c r="AH76" s="485">
        <f t="shared" si="7"/>
        <v>5.6701120130614937</v>
      </c>
      <c r="AI76" s="485">
        <f t="shared" si="7"/>
        <v>5.7066126424300476</v>
      </c>
      <c r="AJ76" s="485">
        <f t="shared" si="7"/>
        <v>5.7452811199946998</v>
      </c>
      <c r="AK76" s="486"/>
      <c r="AM76" s="18" t="s">
        <v>729</v>
      </c>
      <c r="AN76" s="18">
        <v>3.6850000000000001</v>
      </c>
      <c r="AO76" s="18">
        <v>3.8479999999999999</v>
      </c>
      <c r="AP76" s="18">
        <v>3.669</v>
      </c>
      <c r="AQ76" s="18">
        <v>3.367</v>
      </c>
      <c r="AR76" s="18">
        <v>3.39</v>
      </c>
    </row>
    <row r="77" spans="1:44" s="18" customFormat="1">
      <c r="A77" s="17" t="s">
        <v>52</v>
      </c>
      <c r="B77" s="492">
        <f>AN74</f>
        <v>0</v>
      </c>
      <c r="C77" s="492">
        <f t="shared" ref="C77:F77" si="8">AO74</f>
        <v>0</v>
      </c>
      <c r="D77" s="492">
        <f t="shared" si="8"/>
        <v>0</v>
      </c>
      <c r="E77" s="492">
        <f t="shared" si="8"/>
        <v>0</v>
      </c>
      <c r="F77" s="492">
        <f t="shared" si="8"/>
        <v>0</v>
      </c>
      <c r="G77" s="485">
        <f t="shared" ref="G77:AJ77" si="9">G64*$AM62</f>
        <v>1.51746E-6</v>
      </c>
      <c r="H77" s="485">
        <f t="shared" si="9"/>
        <v>3.3105700000000001E-6</v>
      </c>
      <c r="I77" s="485">
        <f t="shared" si="9"/>
        <v>4.9505800000000008E-6</v>
      </c>
      <c r="J77" s="485">
        <f t="shared" si="9"/>
        <v>6.4011700000000011E-6</v>
      </c>
      <c r="K77" s="485">
        <f t="shared" si="9"/>
        <v>7.78322E-6</v>
      </c>
      <c r="L77" s="485">
        <f t="shared" si="9"/>
        <v>9.031880000000001E-6</v>
      </c>
      <c r="M77" s="485">
        <f t="shared" si="9"/>
        <v>9.0772500000000002E-6</v>
      </c>
      <c r="N77" s="485">
        <f t="shared" si="9"/>
        <v>9.1334999999999999E-6</v>
      </c>
      <c r="O77" s="485">
        <f t="shared" si="9"/>
        <v>9.1965500000000009E-6</v>
      </c>
      <c r="P77" s="485">
        <f t="shared" si="9"/>
        <v>9.3021600000000011E-6</v>
      </c>
      <c r="Q77" s="485">
        <f t="shared" si="9"/>
        <v>9.4396800000000007E-6</v>
      </c>
      <c r="R77" s="485">
        <f t="shared" si="9"/>
        <v>9.6229600000000015E-6</v>
      </c>
      <c r="S77" s="485">
        <f t="shared" si="9"/>
        <v>9.8622900000000014E-6</v>
      </c>
      <c r="T77" s="485">
        <f t="shared" si="9"/>
        <v>1.0305300000000001E-5</v>
      </c>
      <c r="U77" s="485">
        <f t="shared" si="9"/>
        <v>1.0830750000000001E-5</v>
      </c>
      <c r="V77" s="485">
        <f t="shared" si="9"/>
        <v>1.139122E-5</v>
      </c>
      <c r="W77" s="485">
        <f t="shared" si="9"/>
        <v>1.1992290000000001E-5</v>
      </c>
      <c r="X77" s="485">
        <f t="shared" si="9"/>
        <v>1.2627890000000001E-5</v>
      </c>
      <c r="Y77" s="485">
        <f t="shared" si="9"/>
        <v>1.3284100000000002E-5</v>
      </c>
      <c r="Z77" s="485">
        <f t="shared" si="9"/>
        <v>1.4057240000000001E-5</v>
      </c>
      <c r="AA77" s="485">
        <f t="shared" si="9"/>
        <v>1.4838360000000001E-5</v>
      </c>
      <c r="AB77" s="485">
        <f t="shared" si="9"/>
        <v>1.5610980000000002E-5</v>
      </c>
      <c r="AC77" s="485">
        <f t="shared" si="9"/>
        <v>1.6377930000000003E-5</v>
      </c>
      <c r="AD77" s="485">
        <f t="shared" si="9"/>
        <v>1.715469E-5</v>
      </c>
      <c r="AE77" s="485">
        <f t="shared" si="9"/>
        <v>1.7942560000000001E-5</v>
      </c>
      <c r="AF77" s="485">
        <f t="shared" si="9"/>
        <v>1.8740210000000001E-5</v>
      </c>
      <c r="AG77" s="485">
        <f t="shared" si="9"/>
        <v>1.9549770000000002E-5</v>
      </c>
      <c r="AH77" s="485">
        <f t="shared" si="9"/>
        <v>2.0364380000000003E-5</v>
      </c>
      <c r="AI77" s="485">
        <f t="shared" si="9"/>
        <v>2.1237800000000002E-5</v>
      </c>
      <c r="AJ77" s="485">
        <f t="shared" si="9"/>
        <v>2.2136420000000002E-5</v>
      </c>
      <c r="AK77" s="486"/>
      <c r="AM77" s="18" t="s">
        <v>730</v>
      </c>
      <c r="AN77" s="18">
        <v>0.23499999999999999</v>
      </c>
      <c r="AO77" s="18">
        <v>0.20799999999999999</v>
      </c>
      <c r="AP77" s="18">
        <v>0.20599999999999999</v>
      </c>
      <c r="AQ77" s="18">
        <v>0.23200000000000001</v>
      </c>
      <c r="AR77" s="18">
        <v>0.23699999999999999</v>
      </c>
    </row>
    <row r="78" spans="1:44" s="18" customFormat="1">
      <c r="A78" s="17" t="s">
        <v>53</v>
      </c>
      <c r="B78" s="492">
        <f>AN75</f>
        <v>0</v>
      </c>
      <c r="C78" s="492">
        <f t="shared" ref="C78:F78" si="10">AO75</f>
        <v>9.9000000000000005E-2</v>
      </c>
      <c r="D78" s="492">
        <f t="shared" si="10"/>
        <v>0.13200000000000001</v>
      </c>
      <c r="E78" s="492">
        <f t="shared" si="10"/>
        <v>0.29899999999999999</v>
      </c>
      <c r="F78" s="492">
        <f t="shared" si="10"/>
        <v>0.499</v>
      </c>
      <c r="G78" s="485">
        <f t="shared" ref="G78:AJ78" si="11">G65*$AM63</f>
        <v>0.58391233070900295</v>
      </c>
      <c r="H78" s="485">
        <f t="shared" si="11"/>
        <v>0.87053749814229786</v>
      </c>
      <c r="I78" s="485">
        <f t="shared" si="11"/>
        <v>1.445831984811631</v>
      </c>
      <c r="J78" s="485">
        <f t="shared" si="11"/>
        <v>1.4672631053167782</v>
      </c>
      <c r="K78" s="485">
        <f t="shared" si="11"/>
        <v>3.6270417220528781</v>
      </c>
      <c r="L78" s="485">
        <f t="shared" si="11"/>
        <v>5.0854727256893453</v>
      </c>
      <c r="M78" s="485">
        <f t="shared" si="11"/>
        <v>5.0853582317626271</v>
      </c>
      <c r="N78" s="485">
        <f t="shared" si="11"/>
        <v>5.0837881249898027</v>
      </c>
      <c r="O78" s="485">
        <f t="shared" si="11"/>
        <v>5.0840325126111594</v>
      </c>
      <c r="P78" s="485">
        <f t="shared" si="11"/>
        <v>5.0850957661528424</v>
      </c>
      <c r="Q78" s="485">
        <f t="shared" si="11"/>
        <v>5.0845661480473821</v>
      </c>
      <c r="R78" s="485">
        <f t="shared" si="11"/>
        <v>5.0842387355902767</v>
      </c>
      <c r="S78" s="485">
        <f t="shared" si="11"/>
        <v>5.0858972236398658</v>
      </c>
      <c r="T78" s="485">
        <f t="shared" si="11"/>
        <v>5.0908090800515682</v>
      </c>
      <c r="U78" s="485">
        <f t="shared" si="11"/>
        <v>5.0876548058482518</v>
      </c>
      <c r="V78" s="485">
        <f t="shared" si="11"/>
        <v>5.1118337805946235</v>
      </c>
      <c r="W78" s="485">
        <f t="shared" si="11"/>
        <v>5.1299131081339882</v>
      </c>
      <c r="X78" s="485">
        <f t="shared" si="11"/>
        <v>5.2206552362763459</v>
      </c>
      <c r="Y78" s="485">
        <f t="shared" si="11"/>
        <v>5.3206820853648686</v>
      </c>
      <c r="Z78" s="485">
        <f t="shared" si="11"/>
        <v>5.3458687405773819</v>
      </c>
      <c r="AA78" s="485">
        <f t="shared" si="11"/>
        <v>5.3492305768700694</v>
      </c>
      <c r="AB78" s="485">
        <f t="shared" si="11"/>
        <v>5.3522536182684926</v>
      </c>
      <c r="AC78" s="485">
        <f t="shared" si="11"/>
        <v>5.4309069285927905</v>
      </c>
      <c r="AD78" s="485">
        <f t="shared" si="11"/>
        <v>5.5352611124671416</v>
      </c>
      <c r="AE78" s="485">
        <f t="shared" si="11"/>
        <v>5.5729651007789958</v>
      </c>
      <c r="AF78" s="485">
        <f t="shared" si="11"/>
        <v>5.8938835427071865</v>
      </c>
      <c r="AG78" s="485">
        <f t="shared" si="11"/>
        <v>6.1345477680024123</v>
      </c>
      <c r="AH78" s="485">
        <f t="shared" si="11"/>
        <v>6.1636948417911555</v>
      </c>
      <c r="AI78" s="485">
        <f t="shared" si="11"/>
        <v>6.2270052963801534</v>
      </c>
      <c r="AJ78" s="485">
        <f t="shared" si="11"/>
        <v>6.3189332066524351</v>
      </c>
      <c r="AK78" s="486"/>
      <c r="AM78" s="18" t="s">
        <v>731</v>
      </c>
      <c r="AN78" s="18">
        <v>4.8000000000000001E-2</v>
      </c>
      <c r="AO78" s="18">
        <v>5.1999999999999998E-2</v>
      </c>
      <c r="AP78" s="18">
        <v>5.1999999999999998E-2</v>
      </c>
      <c r="AQ78" s="18">
        <v>4.1000000000000002E-2</v>
      </c>
      <c r="AR78" s="18">
        <v>2.7E-2</v>
      </c>
    </row>
    <row r="79" spans="1:44" s="18" customFormat="1">
      <c r="A79" s="17" t="s">
        <v>54</v>
      </c>
      <c r="B79" s="494">
        <f>AN79</f>
        <v>8.2460000000000004</v>
      </c>
      <c r="C79" s="494">
        <f t="shared" ref="C79:F79" si="12">AO79</f>
        <v>7.9450000000000003</v>
      </c>
      <c r="D79" s="494">
        <f t="shared" si="12"/>
        <v>8.5150000000000006</v>
      </c>
      <c r="E79" s="494">
        <f t="shared" si="12"/>
        <v>8.15</v>
      </c>
      <c r="F79" s="494">
        <f t="shared" si="12"/>
        <v>7.9630000000000001</v>
      </c>
      <c r="G79" s="487">
        <f t="shared" ref="G79:AJ79" si="13">G66*$AM67</f>
        <v>8.577671612645883</v>
      </c>
      <c r="H79" s="487">
        <f t="shared" si="13"/>
        <v>8.2729408340059081</v>
      </c>
      <c r="I79" s="487">
        <f t="shared" si="13"/>
        <v>8.4039345730532471</v>
      </c>
      <c r="J79" s="487">
        <f t="shared" si="13"/>
        <v>8.6254991083785395</v>
      </c>
      <c r="K79" s="487">
        <f t="shared" si="13"/>
        <v>10.523172074168551</v>
      </c>
      <c r="L79" s="487">
        <f t="shared" si="13"/>
        <v>12.390631671403204</v>
      </c>
      <c r="M79" s="487">
        <f t="shared" si="13"/>
        <v>12.498609671178011</v>
      </c>
      <c r="N79" s="487">
        <f t="shared" si="13"/>
        <v>12.557220301423417</v>
      </c>
      <c r="O79" s="487">
        <f t="shared" si="13"/>
        <v>12.64376412180369</v>
      </c>
      <c r="P79" s="487">
        <f t="shared" si="13"/>
        <v>12.730471170815385</v>
      </c>
      <c r="Q79" s="487">
        <f t="shared" si="13"/>
        <v>12.98497273275205</v>
      </c>
      <c r="R79" s="487">
        <f t="shared" si="13"/>
        <v>13.005374302712104</v>
      </c>
      <c r="S79" s="487">
        <f t="shared" si="13"/>
        <v>13.212604852988779</v>
      </c>
      <c r="T79" s="487">
        <f t="shared" si="13"/>
        <v>13.269881528634004</v>
      </c>
      <c r="U79" s="487">
        <f t="shared" si="13"/>
        <v>13.310360722500985</v>
      </c>
      <c r="V79" s="487">
        <f t="shared" si="13"/>
        <v>13.386565892487921</v>
      </c>
      <c r="W79" s="487">
        <f t="shared" si="13"/>
        <v>13.582573846551862</v>
      </c>
      <c r="X79" s="487">
        <f t="shared" si="13"/>
        <v>13.913236381184491</v>
      </c>
      <c r="Y79" s="487">
        <f t="shared" si="13"/>
        <v>13.971654150523847</v>
      </c>
      <c r="Z79" s="487">
        <f t="shared" si="13"/>
        <v>14.029692727196359</v>
      </c>
      <c r="AA79" s="487">
        <f t="shared" si="13"/>
        <v>14.120334841830196</v>
      </c>
      <c r="AB79" s="487">
        <f t="shared" si="13"/>
        <v>14.156239616081802</v>
      </c>
      <c r="AC79" s="487">
        <f t="shared" si="13"/>
        <v>14.289783739714876</v>
      </c>
      <c r="AD79" s="487">
        <f t="shared" si="13"/>
        <v>14.427188094920609</v>
      </c>
      <c r="AE79" s="487">
        <f t="shared" si="13"/>
        <v>14.510448759720544</v>
      </c>
      <c r="AF79" s="487">
        <f t="shared" si="13"/>
        <v>14.844670683002073</v>
      </c>
      <c r="AG79" s="487">
        <f t="shared" si="13"/>
        <v>15.15557100166788</v>
      </c>
      <c r="AH79" s="487">
        <f t="shared" si="13"/>
        <v>15.168321920112673</v>
      </c>
      <c r="AI79" s="487">
        <f t="shared" si="13"/>
        <v>15.281444384107976</v>
      </c>
      <c r="AJ79" s="487">
        <f t="shared" si="13"/>
        <v>15.422885760050248</v>
      </c>
      <c r="AK79" s="488"/>
      <c r="AM79" s="18" t="s">
        <v>58</v>
      </c>
      <c r="AN79" s="18">
        <v>8.2460000000000004</v>
      </c>
      <c r="AO79" s="18">
        <v>7.9450000000000003</v>
      </c>
      <c r="AP79" s="18">
        <v>8.5150000000000006</v>
      </c>
      <c r="AQ79" s="18">
        <v>8.15</v>
      </c>
      <c r="AR79" s="18">
        <v>7.9630000000000001</v>
      </c>
    </row>
    <row r="80" spans="1:44" s="256" customFormat="1">
      <c r="A80" s="255" t="s">
        <v>57</v>
      </c>
      <c r="B80" s="475">
        <f>B79*1000</f>
        <v>8246</v>
      </c>
      <c r="C80" s="475">
        <f t="shared" ref="C80:AJ80" si="14">C79*1000</f>
        <v>7945</v>
      </c>
      <c r="D80" s="475">
        <f t="shared" si="14"/>
        <v>8515</v>
      </c>
      <c r="E80" s="475">
        <f t="shared" si="14"/>
        <v>8150</v>
      </c>
      <c r="F80" s="475">
        <f t="shared" si="14"/>
        <v>7963</v>
      </c>
      <c r="G80" s="277">
        <f t="shared" si="14"/>
        <v>8577.6716126458832</v>
      </c>
      <c r="H80" s="277">
        <f t="shared" si="14"/>
        <v>8272.940834005909</v>
      </c>
      <c r="I80" s="277">
        <f t="shared" si="14"/>
        <v>8403.9345730532477</v>
      </c>
      <c r="J80" s="277">
        <f t="shared" si="14"/>
        <v>8625.4991083785389</v>
      </c>
      <c r="K80" s="277">
        <f t="shared" si="14"/>
        <v>10523.172074168551</v>
      </c>
      <c r="L80" s="277">
        <f t="shared" si="14"/>
        <v>12390.631671403204</v>
      </c>
      <c r="M80" s="277">
        <f t="shared" si="14"/>
        <v>12498.609671178012</v>
      </c>
      <c r="N80" s="277">
        <f t="shared" si="14"/>
        <v>12557.220301423416</v>
      </c>
      <c r="O80" s="277">
        <f t="shared" si="14"/>
        <v>12643.76412180369</v>
      </c>
      <c r="P80" s="277">
        <f t="shared" si="14"/>
        <v>12730.471170815385</v>
      </c>
      <c r="Q80" s="277">
        <f t="shared" si="14"/>
        <v>12984.97273275205</v>
      </c>
      <c r="R80" s="277">
        <f t="shared" si="14"/>
        <v>13005.374302712104</v>
      </c>
      <c r="S80" s="277">
        <f t="shared" si="14"/>
        <v>13212.604852988779</v>
      </c>
      <c r="T80" s="277">
        <f t="shared" si="14"/>
        <v>13269.881528634003</v>
      </c>
      <c r="U80" s="277">
        <f t="shared" si="14"/>
        <v>13310.360722500984</v>
      </c>
      <c r="V80" s="277">
        <f t="shared" si="14"/>
        <v>13386.565892487921</v>
      </c>
      <c r="W80" s="277">
        <f t="shared" si="14"/>
        <v>13582.573846551861</v>
      </c>
      <c r="X80" s="277">
        <f t="shared" si="14"/>
        <v>13913.236381184492</v>
      </c>
      <c r="Y80" s="277">
        <f t="shared" si="14"/>
        <v>13971.654150523847</v>
      </c>
      <c r="Z80" s="277">
        <f t="shared" si="14"/>
        <v>14029.69272719636</v>
      </c>
      <c r="AA80" s="277">
        <f t="shared" si="14"/>
        <v>14120.334841830196</v>
      </c>
      <c r="AB80" s="277">
        <f t="shared" si="14"/>
        <v>14156.239616081803</v>
      </c>
      <c r="AC80" s="277">
        <f t="shared" si="14"/>
        <v>14289.783739714876</v>
      </c>
      <c r="AD80" s="277">
        <f t="shared" si="14"/>
        <v>14427.18809492061</v>
      </c>
      <c r="AE80" s="277">
        <f t="shared" si="14"/>
        <v>14510.448759720544</v>
      </c>
      <c r="AF80" s="277">
        <f t="shared" si="14"/>
        <v>14844.670683002074</v>
      </c>
      <c r="AG80" s="277">
        <f t="shared" si="14"/>
        <v>15155.57100166788</v>
      </c>
      <c r="AH80" s="277">
        <f t="shared" si="14"/>
        <v>15168.321920112672</v>
      </c>
      <c r="AI80" s="277">
        <f t="shared" si="14"/>
        <v>15281.444384107976</v>
      </c>
      <c r="AJ80" s="277">
        <f t="shared" si="14"/>
        <v>15422.885760050247</v>
      </c>
      <c r="AK80" s="322"/>
    </row>
    <row r="81" spans="1:37" s="257" customFormat="1">
      <c r="A81" s="258" t="s">
        <v>339</v>
      </c>
      <c r="B81" s="261">
        <f t="shared" ref="B81:Q82" si="15">B74/SUM(B$74:B$78)</f>
        <v>0</v>
      </c>
      <c r="C81" s="261">
        <f>C74/SUM(C$74:C$78)</f>
        <v>0</v>
      </c>
      <c r="D81" s="261">
        <f t="shared" si="15"/>
        <v>0</v>
      </c>
      <c r="E81" s="261">
        <f t="shared" si="15"/>
        <v>0</v>
      </c>
      <c r="F81" s="261">
        <f t="shared" si="15"/>
        <v>0</v>
      </c>
      <c r="G81" s="261">
        <f t="shared" si="15"/>
        <v>2.3312391096053954E-9</v>
      </c>
      <c r="H81" s="261">
        <f t="shared" si="15"/>
        <v>2.1590882421929781E-9</v>
      </c>
      <c r="I81" s="261">
        <f t="shared" si="15"/>
        <v>2.1558403054892925E-9</v>
      </c>
      <c r="J81" s="261">
        <f t="shared" si="15"/>
        <v>2.0994062166040208E-9</v>
      </c>
      <c r="K81" s="261">
        <f t="shared" si="15"/>
        <v>1.4053638686944351E-9</v>
      </c>
      <c r="L81" s="261">
        <f t="shared" si="15"/>
        <v>1.0552727568083258E-9</v>
      </c>
      <c r="M81" s="261">
        <f t="shared" si="15"/>
        <v>1.0448677054022058E-9</v>
      </c>
      <c r="N81" s="261">
        <f t="shared" si="15"/>
        <v>1.036323592692126E-9</v>
      </c>
      <c r="O81" s="261">
        <f t="shared" si="15"/>
        <v>1.0238224759446399E-9</v>
      </c>
      <c r="P81" s="261">
        <f t="shared" si="15"/>
        <v>1.0119076535686182E-9</v>
      </c>
      <c r="Q81" s="261">
        <f t="shared" si="15"/>
        <v>9.7729698882775516E-10</v>
      </c>
      <c r="R81" s="261">
        <f t="shared" ref="R81:AJ82" si="16">R74/SUM(R$74:R$78)</f>
        <v>9.7578552993669374E-10</v>
      </c>
      <c r="S81" s="261">
        <f t="shared" si="16"/>
        <v>9.7505372944034586E-10</v>
      </c>
      <c r="T81" s="261">
        <f t="shared" si="16"/>
        <v>9.7039650404734883E-10</v>
      </c>
      <c r="U81" s="261">
        <f t="shared" si="16"/>
        <v>9.6896327040411497E-10</v>
      </c>
      <c r="V81" s="261">
        <f t="shared" si="16"/>
        <v>9.6276229179922201E-10</v>
      </c>
      <c r="W81" s="261">
        <f t="shared" si="16"/>
        <v>9.4470948415641786E-10</v>
      </c>
      <c r="X81" s="261">
        <f t="shared" si="16"/>
        <v>9.1261126550788462E-10</v>
      </c>
      <c r="Y81" s="261">
        <f t="shared" si="16"/>
        <v>9.0971751843938362E-10</v>
      </c>
      <c r="Z81" s="261">
        <f t="shared" si="16"/>
        <v>9.0759976563789433E-10</v>
      </c>
      <c r="AA81" s="261">
        <f t="shared" si="16"/>
        <v>9.020646689420146E-10</v>
      </c>
      <c r="AB81" s="261">
        <f t="shared" si="16"/>
        <v>9.0241150490941108E-10</v>
      </c>
      <c r="AC81" s="261">
        <f t="shared" si="16"/>
        <v>8.9197965240740376E-10</v>
      </c>
      <c r="AD81" s="261">
        <f t="shared" si="16"/>
        <v>8.8115588842897265E-10</v>
      </c>
      <c r="AE81" s="261">
        <f t="shared" si="16"/>
        <v>8.7655945584691484E-10</v>
      </c>
      <c r="AF81" s="261">
        <f t="shared" si="16"/>
        <v>8.4918359086441504E-10</v>
      </c>
      <c r="AG81" s="261">
        <f t="shared" si="16"/>
        <v>8.2348562534380621E-10</v>
      </c>
      <c r="AH81" s="261">
        <f t="shared" si="16"/>
        <v>8.2665039794213879E-10</v>
      </c>
      <c r="AI81" s="261">
        <f t="shared" si="16"/>
        <v>8.1993641073619446E-10</v>
      </c>
      <c r="AJ81" s="261">
        <f t="shared" si="16"/>
        <v>8.1124959265855084E-10</v>
      </c>
      <c r="AK81" s="323"/>
    </row>
    <row r="82" spans="1:37" s="257" customFormat="1">
      <c r="A82" s="258" t="s">
        <v>340</v>
      </c>
      <c r="B82" s="261">
        <f t="shared" si="15"/>
        <v>5.9948979591836732E-2</v>
      </c>
      <c r="C82" s="261">
        <f t="shared" ref="C82:AA82" si="17">C75/SUM(C$74:C$78)</f>
        <v>5.006016847172081E-2</v>
      </c>
      <c r="D82" s="261">
        <f t="shared" si="17"/>
        <v>5.1410032443224361E-2</v>
      </c>
      <c r="E82" s="261">
        <f t="shared" si="17"/>
        <v>5.9517701385325812E-2</v>
      </c>
      <c r="F82" s="261">
        <f t="shared" si="17"/>
        <v>5.7440620455647108E-2</v>
      </c>
      <c r="G82" s="261">
        <f t="shared" si="17"/>
        <v>5.2584219257624625E-2</v>
      </c>
      <c r="H82" s="261">
        <f t="shared" si="17"/>
        <v>5.0603796714487302E-2</v>
      </c>
      <c r="I82" s="261">
        <f t="shared" si="17"/>
        <v>5.6630982663602357E-2</v>
      </c>
      <c r="J82" s="261">
        <f t="shared" si="17"/>
        <v>5.5111385716719807E-2</v>
      </c>
      <c r="K82" s="261">
        <f t="shared" si="17"/>
        <v>3.6888479107499317E-2</v>
      </c>
      <c r="L82" s="261">
        <f t="shared" si="17"/>
        <v>2.7699590595070406E-2</v>
      </c>
      <c r="M82" s="261">
        <f t="shared" si="17"/>
        <v>2.7426549225470765E-2</v>
      </c>
      <c r="N82" s="261">
        <f t="shared" si="17"/>
        <v>2.7202741801297531E-2</v>
      </c>
      <c r="O82" s="261">
        <f t="shared" si="17"/>
        <v>2.687464446801114E-2</v>
      </c>
      <c r="P82" s="262">
        <f t="shared" si="17"/>
        <v>2.6561642273604663E-2</v>
      </c>
      <c r="Q82" s="261">
        <f t="shared" si="17"/>
        <v>2.5652970494979915E-2</v>
      </c>
      <c r="R82" s="261">
        <f t="shared" si="17"/>
        <v>2.5613177656060301E-2</v>
      </c>
      <c r="S82" s="261">
        <f t="shared" si="17"/>
        <v>2.5593813672455466E-2</v>
      </c>
      <c r="T82" s="261">
        <f t="shared" si="17"/>
        <v>2.5471404483514665E-2</v>
      </c>
      <c r="U82" s="261">
        <f t="shared" si="17"/>
        <v>2.5505199263746895E-2</v>
      </c>
      <c r="V82" s="261">
        <f t="shared" si="17"/>
        <v>2.5341723894606472E-2</v>
      </c>
      <c r="W82" s="261">
        <f t="shared" si="17"/>
        <v>2.4796470461493837E-2</v>
      </c>
      <c r="X82" s="261">
        <f t="shared" si="17"/>
        <v>2.4021209973803689E-2</v>
      </c>
      <c r="Y82" s="261">
        <f t="shared" si="17"/>
        <v>2.3877449268815343E-2</v>
      </c>
      <c r="Z82" s="261">
        <f t="shared" si="17"/>
        <v>2.3821643570490481E-2</v>
      </c>
      <c r="AA82" s="261">
        <f t="shared" si="17"/>
        <v>2.3742823694061971E-2</v>
      </c>
      <c r="AB82" s="261">
        <f t="shared" si="16"/>
        <v>2.3751682373696941E-2</v>
      </c>
      <c r="AC82" s="261">
        <f t="shared" si="16"/>
        <v>2.3476846465794329E-2</v>
      </c>
      <c r="AD82" s="261">
        <f t="shared" si="16"/>
        <v>2.3126032889135555E-2</v>
      </c>
      <c r="AE82" s="261">
        <f t="shared" si="16"/>
        <v>2.3005021687394933E-2</v>
      </c>
      <c r="AF82" s="261">
        <f t="shared" si="16"/>
        <v>2.2285899278414845E-2</v>
      </c>
      <c r="AG82" s="261">
        <f t="shared" si="16"/>
        <v>2.1611191307234458E-2</v>
      </c>
      <c r="AH82" s="261">
        <f t="shared" si="16"/>
        <v>2.175620117763136E-2</v>
      </c>
      <c r="AI82" s="261">
        <f t="shared" si="16"/>
        <v>2.1517471831003301E-2</v>
      </c>
      <c r="AJ82" s="261">
        <f t="shared" si="16"/>
        <v>2.1289307548785597E-2</v>
      </c>
      <c r="AK82" s="323"/>
    </row>
    <row r="83" spans="1:37" s="257" customFormat="1">
      <c r="A83" s="258" t="s">
        <v>336</v>
      </c>
      <c r="B83" s="261">
        <f>B76/SUM(B$74:B$78)</f>
        <v>0.94005102040816335</v>
      </c>
      <c r="C83" s="261">
        <f t="shared" ref="C83:AJ83" si="18">C76/SUM(C$74:C$78)</f>
        <v>0.92611311672683505</v>
      </c>
      <c r="D83" s="261">
        <f t="shared" si="18"/>
        <v>0.91564761667082617</v>
      </c>
      <c r="E83" s="261">
        <f t="shared" si="18"/>
        <v>0.86377629553617241</v>
      </c>
      <c r="F83" s="261">
        <f t="shared" si="18"/>
        <v>0.82161900145419287</v>
      </c>
      <c r="G83" s="261">
        <f t="shared" si="18"/>
        <v>0.81129149846195958</v>
      </c>
      <c r="H83" s="261">
        <f t="shared" si="18"/>
        <v>0.7614387586824356</v>
      </c>
      <c r="I83" s="261">
        <f t="shared" si="18"/>
        <v>0.63166966113231771</v>
      </c>
      <c r="J83" s="261">
        <f t="shared" si="18"/>
        <v>0.63684913984868852</v>
      </c>
      <c r="K83" s="261">
        <f t="shared" si="18"/>
        <v>0.45337908701948398</v>
      </c>
      <c r="L83" s="261">
        <f t="shared" si="18"/>
        <v>0.43564337294879141</v>
      </c>
      <c r="M83" s="261">
        <f t="shared" si="18"/>
        <v>0.44121984260012026</v>
      </c>
      <c r="N83" s="261">
        <f t="shared" si="18"/>
        <v>0.44595135321872559</v>
      </c>
      <c r="O83" s="261">
        <f t="shared" si="18"/>
        <v>0.4526097374602468</v>
      </c>
      <c r="P83" s="262">
        <f t="shared" si="18"/>
        <v>0.4588726829318539</v>
      </c>
      <c r="Q83" s="261">
        <f t="shared" si="18"/>
        <v>0.47743298739241469</v>
      </c>
      <c r="R83" s="261">
        <f t="shared" si="18"/>
        <v>0.47827322348037954</v>
      </c>
      <c r="S83" s="261">
        <f t="shared" si="18"/>
        <v>0.47850291818019125</v>
      </c>
      <c r="T83" s="261">
        <f t="shared" si="18"/>
        <v>0.48051726111792542</v>
      </c>
      <c r="U83" s="261">
        <f t="shared" si="18"/>
        <v>0.48151868637120215</v>
      </c>
      <c r="V83" s="261">
        <f t="shared" si="18"/>
        <v>0.48250909784872786</v>
      </c>
      <c r="W83" s="261">
        <f t="shared" si="18"/>
        <v>0.49057463905553605</v>
      </c>
      <c r="X83" s="261">
        <f t="shared" si="18"/>
        <v>0.49953475848226553</v>
      </c>
      <c r="Y83" s="261">
        <f t="shared" si="18"/>
        <v>0.49208957103331719</v>
      </c>
      <c r="Z83" s="261">
        <f t="shared" si="18"/>
        <v>0.49098615807923901</v>
      </c>
      <c r="AA83" s="261">
        <f t="shared" si="18"/>
        <v>0.49372064594596304</v>
      </c>
      <c r="AB83" s="261">
        <f t="shared" si="18"/>
        <v>0.49325338373924488</v>
      </c>
      <c r="AC83" s="261">
        <f t="shared" si="18"/>
        <v>0.49209584432187947</v>
      </c>
      <c r="AD83" s="261">
        <f t="shared" si="18"/>
        <v>0.4891296623098651</v>
      </c>
      <c r="AE83" s="261">
        <f t="shared" si="18"/>
        <v>0.4884898790447143</v>
      </c>
      <c r="AF83" s="261">
        <f t="shared" si="18"/>
        <v>0.47721358939124264</v>
      </c>
      <c r="AG83" s="261">
        <f t="shared" si="18"/>
        <v>0.47321600748033082</v>
      </c>
      <c r="AH83" s="261">
        <f t="shared" si="18"/>
        <v>0.46872003519737848</v>
      </c>
      <c r="AI83" s="261">
        <f t="shared" si="18"/>
        <v>0.4679059487495883</v>
      </c>
      <c r="AJ83" s="261">
        <f t="shared" si="18"/>
        <v>0.46608569683045625</v>
      </c>
      <c r="AK83" s="323"/>
    </row>
    <row r="84" spans="1:37" s="257" customFormat="1">
      <c r="A84" s="258" t="s">
        <v>338</v>
      </c>
      <c r="B84" s="261">
        <f>B77/SUM(B$74:B$78)</f>
        <v>0</v>
      </c>
      <c r="C84" s="261">
        <f t="shared" ref="C84:AJ84" si="19">C77/SUM(C$74:C$78)</f>
        <v>0</v>
      </c>
      <c r="D84" s="261">
        <f t="shared" si="19"/>
        <v>0</v>
      </c>
      <c r="E84" s="261">
        <f t="shared" si="19"/>
        <v>0</v>
      </c>
      <c r="F84" s="261">
        <f t="shared" si="19"/>
        <v>0</v>
      </c>
      <c r="G84" s="261">
        <f t="shared" si="19"/>
        <v>3.5375620992618031E-7</v>
      </c>
      <c r="H84" s="261">
        <f t="shared" si="19"/>
        <v>7.1478127619568078E-7</v>
      </c>
      <c r="I84" s="261">
        <f t="shared" si="19"/>
        <v>1.0672659899549184E-6</v>
      </c>
      <c r="J84" s="261">
        <f t="shared" si="19"/>
        <v>1.3438656091539161E-6</v>
      </c>
      <c r="K84" s="261">
        <f t="shared" si="19"/>
        <v>1.09382561700999E-6</v>
      </c>
      <c r="L84" s="261">
        <f t="shared" si="19"/>
        <v>9.5310969067619829E-7</v>
      </c>
      <c r="M84" s="261">
        <f t="shared" si="19"/>
        <v>9.4845253788621721E-7</v>
      </c>
      <c r="N84" s="261">
        <f t="shared" si="19"/>
        <v>9.4652615338535326E-7</v>
      </c>
      <c r="O84" s="261">
        <f t="shared" si="19"/>
        <v>9.4156345911486796E-7</v>
      </c>
      <c r="P84" s="262">
        <f t="shared" si="19"/>
        <v>9.4129268987198595E-7</v>
      </c>
      <c r="Q84" s="261">
        <f t="shared" si="19"/>
        <v>9.2253708394975836E-7</v>
      </c>
      <c r="R84" s="261">
        <f t="shared" si="19"/>
        <v>9.3899451231596079E-7</v>
      </c>
      <c r="S84" s="261">
        <f t="shared" si="19"/>
        <v>9.61626264532223E-7</v>
      </c>
      <c r="T84" s="261">
        <f t="shared" si="19"/>
        <v>1.0000227093159143E-6</v>
      </c>
      <c r="U84" s="261">
        <f t="shared" si="19"/>
        <v>1.0494598940929369E-6</v>
      </c>
      <c r="V84" s="261">
        <f t="shared" si="19"/>
        <v>1.0967037073589133E-6</v>
      </c>
      <c r="W84" s="261">
        <f t="shared" si="19"/>
        <v>1.1329230099754168E-6</v>
      </c>
      <c r="X84" s="261">
        <f t="shared" si="19"/>
        <v>1.1524354673594363E-6</v>
      </c>
      <c r="Y84" s="261">
        <f t="shared" si="19"/>
        <v>1.2084778486700618E-6</v>
      </c>
      <c r="Z84" s="261">
        <f t="shared" si="19"/>
        <v>1.2758347729515634E-6</v>
      </c>
      <c r="AA84" s="261">
        <f t="shared" si="19"/>
        <v>1.3385160301042432E-6</v>
      </c>
      <c r="AB84" s="261">
        <f t="shared" si="19"/>
        <v>1.4087527954910722E-6</v>
      </c>
      <c r="AC84" s="261">
        <f t="shared" si="19"/>
        <v>1.4608780308552792E-6</v>
      </c>
      <c r="AD84" s="261">
        <f t="shared" si="19"/>
        <v>1.5115956107673613E-6</v>
      </c>
      <c r="AE84" s="261">
        <f t="shared" si="19"/>
        <v>1.5727720630100619E-6</v>
      </c>
      <c r="AF84" s="261">
        <f t="shared" si="19"/>
        <v>1.591387882135322E-6</v>
      </c>
      <c r="AG84" s="261">
        <f t="shared" si="19"/>
        <v>1.6098954573777582E-6</v>
      </c>
      <c r="AH84" s="261">
        <f t="shared" si="19"/>
        <v>1.6834222830844933E-6</v>
      </c>
      <c r="AI84" s="261">
        <f t="shared" si="19"/>
        <v>1.741364550393315E-6</v>
      </c>
      <c r="AJ84" s="261">
        <f t="shared" si="19"/>
        <v>1.7958161707918598E-6</v>
      </c>
      <c r="AK84" s="323"/>
    </row>
    <row r="85" spans="1:37" s="257" customFormat="1">
      <c r="A85" s="258" t="s">
        <v>337</v>
      </c>
      <c r="B85" s="261">
        <f>B78/SUM(B$74:B$78)</f>
        <v>0</v>
      </c>
      <c r="C85" s="261">
        <f t="shared" ref="C85:AJ85" si="20">C78/SUM(C$74:C$78)</f>
        <v>2.3826714801444042E-2</v>
      </c>
      <c r="D85" s="261">
        <f t="shared" si="20"/>
        <v>3.2942350885949594E-2</v>
      </c>
      <c r="E85" s="261">
        <f t="shared" si="20"/>
        <v>7.6706003078501783E-2</v>
      </c>
      <c r="F85" s="261">
        <f t="shared" si="20"/>
        <v>0.12094037809015995</v>
      </c>
      <c r="G85" s="261">
        <f t="shared" si="20"/>
        <v>0.1361239261929667</v>
      </c>
      <c r="H85" s="261">
        <f t="shared" si="20"/>
        <v>0.18795672766271268</v>
      </c>
      <c r="I85" s="261">
        <f t="shared" si="20"/>
        <v>0.3116982867822497</v>
      </c>
      <c r="J85" s="261">
        <f t="shared" si="20"/>
        <v>0.3080381284695764</v>
      </c>
      <c r="K85" s="261">
        <f t="shared" si="20"/>
        <v>0.5097313386420359</v>
      </c>
      <c r="L85" s="261">
        <f t="shared" si="20"/>
        <v>0.53665608229117467</v>
      </c>
      <c r="M85" s="261">
        <f t="shared" si="20"/>
        <v>0.53135265867700343</v>
      </c>
      <c r="N85" s="261">
        <f t="shared" si="20"/>
        <v>0.52684495741749993</v>
      </c>
      <c r="O85" s="261">
        <f t="shared" si="20"/>
        <v>0.52051467548446062</v>
      </c>
      <c r="P85" s="262">
        <f t="shared" si="20"/>
        <v>0.51456473248994383</v>
      </c>
      <c r="Q85" s="261">
        <f t="shared" si="20"/>
        <v>0.4969131185982244</v>
      </c>
      <c r="R85" s="261">
        <f t="shared" si="20"/>
        <v>0.49611265889326239</v>
      </c>
      <c r="S85" s="261">
        <f t="shared" si="20"/>
        <v>0.49590230554603515</v>
      </c>
      <c r="T85" s="261">
        <f t="shared" si="20"/>
        <v>0.49401033340545414</v>
      </c>
      <c r="U85" s="261">
        <f t="shared" si="20"/>
        <v>0.4929750639361935</v>
      </c>
      <c r="V85" s="261">
        <f t="shared" si="20"/>
        <v>0.49214808059019605</v>
      </c>
      <c r="W85" s="261">
        <f t="shared" si="20"/>
        <v>0.48462775661525059</v>
      </c>
      <c r="X85" s="261">
        <f t="shared" si="20"/>
        <v>0.47644287819585207</v>
      </c>
      <c r="Y85" s="261">
        <f t="shared" si="20"/>
        <v>0.48403177031030126</v>
      </c>
      <c r="Z85" s="261">
        <f t="shared" si="20"/>
        <v>0.48519092160789773</v>
      </c>
      <c r="AA85" s="261">
        <f t="shared" si="20"/>
        <v>0.48253519094188008</v>
      </c>
      <c r="AB85" s="261">
        <f t="shared" si="20"/>
        <v>0.4829935242318511</v>
      </c>
      <c r="AC85" s="261">
        <f t="shared" si="20"/>
        <v>0.48442584744231576</v>
      </c>
      <c r="AD85" s="261">
        <f t="shared" si="20"/>
        <v>0.48774279232423273</v>
      </c>
      <c r="AE85" s="261">
        <f t="shared" si="20"/>
        <v>0.4885035256192683</v>
      </c>
      <c r="AF85" s="261">
        <f t="shared" si="20"/>
        <v>0.50049891909327682</v>
      </c>
      <c r="AG85" s="261">
        <f t="shared" si="20"/>
        <v>0.50517119049349168</v>
      </c>
      <c r="AH85" s="261">
        <f t="shared" si="20"/>
        <v>0.50952207937605665</v>
      </c>
      <c r="AI85" s="261">
        <f t="shared" si="20"/>
        <v>0.51057483723492159</v>
      </c>
      <c r="AJ85" s="261">
        <f t="shared" si="20"/>
        <v>0.51262319899333786</v>
      </c>
      <c r="AK85" s="323"/>
    </row>
    <row r="86" spans="1:37" s="257" customFormat="1">
      <c r="A86" s="257" t="s">
        <v>341</v>
      </c>
      <c r="B86" s="261">
        <f>SUM(B81:B85)</f>
        <v>1</v>
      </c>
      <c r="C86" s="261">
        <f t="shared" ref="C86:AJ86" si="21">SUM(C81:C85)</f>
        <v>0.99999999999999989</v>
      </c>
      <c r="D86" s="261">
        <f t="shared" si="21"/>
        <v>1.0000000000000002</v>
      </c>
      <c r="E86" s="261">
        <f t="shared" si="21"/>
        <v>1</v>
      </c>
      <c r="F86" s="261">
        <f t="shared" si="21"/>
        <v>1</v>
      </c>
      <c r="G86" s="261">
        <f t="shared" si="21"/>
        <v>1</v>
      </c>
      <c r="H86" s="261">
        <f t="shared" si="21"/>
        <v>1</v>
      </c>
      <c r="I86" s="261">
        <f t="shared" si="21"/>
        <v>1</v>
      </c>
      <c r="J86" s="261">
        <f t="shared" si="21"/>
        <v>1</v>
      </c>
      <c r="K86" s="261">
        <f t="shared" si="21"/>
        <v>1</v>
      </c>
      <c r="L86" s="261">
        <f t="shared" si="21"/>
        <v>1</v>
      </c>
      <c r="M86" s="261">
        <f t="shared" si="21"/>
        <v>1</v>
      </c>
      <c r="N86" s="261">
        <f t="shared" si="21"/>
        <v>1</v>
      </c>
      <c r="O86" s="261">
        <f t="shared" si="21"/>
        <v>1</v>
      </c>
      <c r="P86" s="261">
        <f t="shared" si="21"/>
        <v>0.99999999999999989</v>
      </c>
      <c r="Q86" s="261">
        <f t="shared" si="21"/>
        <v>0.99999999999999989</v>
      </c>
      <c r="R86" s="261">
        <f t="shared" si="21"/>
        <v>1</v>
      </c>
      <c r="S86" s="261">
        <f t="shared" si="21"/>
        <v>1</v>
      </c>
      <c r="T86" s="261">
        <f t="shared" si="21"/>
        <v>1</v>
      </c>
      <c r="U86" s="261">
        <f t="shared" si="21"/>
        <v>0.99999999999999989</v>
      </c>
      <c r="V86" s="261">
        <f t="shared" si="21"/>
        <v>1</v>
      </c>
      <c r="W86" s="261">
        <f t="shared" si="21"/>
        <v>0.99999999999999989</v>
      </c>
      <c r="X86" s="261">
        <f t="shared" si="21"/>
        <v>0.99999999999999989</v>
      </c>
      <c r="Y86" s="261">
        <f t="shared" si="21"/>
        <v>1</v>
      </c>
      <c r="Z86" s="261">
        <f t="shared" si="21"/>
        <v>1</v>
      </c>
      <c r="AA86" s="261">
        <f t="shared" si="21"/>
        <v>0.99999999999999978</v>
      </c>
      <c r="AB86" s="261">
        <f t="shared" si="21"/>
        <v>1</v>
      </c>
      <c r="AC86" s="261">
        <f t="shared" si="21"/>
        <v>1</v>
      </c>
      <c r="AD86" s="261">
        <f t="shared" si="21"/>
        <v>1</v>
      </c>
      <c r="AE86" s="261">
        <f t="shared" si="21"/>
        <v>1</v>
      </c>
      <c r="AF86" s="261">
        <f t="shared" si="21"/>
        <v>1</v>
      </c>
      <c r="AG86" s="261">
        <f t="shared" si="21"/>
        <v>1</v>
      </c>
      <c r="AH86" s="261">
        <f t="shared" si="21"/>
        <v>1</v>
      </c>
      <c r="AI86" s="261">
        <f t="shared" si="21"/>
        <v>1</v>
      </c>
      <c r="AJ86" s="261">
        <f t="shared" si="21"/>
        <v>1</v>
      </c>
      <c r="AK86" s="323"/>
    </row>
    <row r="87" spans="1:37">
      <c r="A87" s="575" t="s">
        <v>630</v>
      </c>
      <c r="B87" s="575"/>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row>
    <row r="88" spans="1:37">
      <c r="A88" s="576" t="s">
        <v>663</v>
      </c>
      <c r="B88" s="576"/>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row>
    <row r="89" spans="1:37">
      <c r="A89" s="576" t="s">
        <v>664</v>
      </c>
      <c r="B89" s="576"/>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row>
    <row r="90" spans="1:37">
      <c r="A90" s="576" t="s">
        <v>665</v>
      </c>
      <c r="B90" s="576"/>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row>
    <row r="91" spans="1:37">
      <c r="A91" s="576" t="s">
        <v>666</v>
      </c>
      <c r="B91" s="576"/>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row>
    <row r="92" spans="1:37">
      <c r="A92" s="576" t="s">
        <v>667</v>
      </c>
      <c r="B92" s="576"/>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row>
    <row r="93" spans="1:37">
      <c r="A93" s="576" t="s">
        <v>668</v>
      </c>
      <c r="B93" s="576"/>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row>
    <row r="94" spans="1:37">
      <c r="A94" s="576" t="s">
        <v>669</v>
      </c>
      <c r="B94" s="576"/>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row>
    <row r="95" spans="1:37">
      <c r="A95" s="576" t="s">
        <v>670</v>
      </c>
      <c r="B95" s="576"/>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row>
    <row r="96" spans="1:37">
      <c r="A96" s="576" t="s">
        <v>671</v>
      </c>
      <c r="B96" s="576"/>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row>
    <row r="97" spans="1:32">
      <c r="A97" s="576" t="s">
        <v>672</v>
      </c>
      <c r="B97" s="576"/>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row>
    <row r="98" spans="1:32">
      <c r="A98" s="576" t="s">
        <v>673</v>
      </c>
      <c r="B98" s="576"/>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row>
    <row r="99" spans="1:32">
      <c r="A99" s="576" t="s">
        <v>674</v>
      </c>
      <c r="B99" s="576"/>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row>
    <row r="100" spans="1:32">
      <c r="A100" s="576" t="s">
        <v>675</v>
      </c>
      <c r="B100" s="576"/>
      <c r="C100" s="576"/>
      <c r="D100" s="576"/>
      <c r="E100" s="576"/>
      <c r="F100" s="576"/>
      <c r="G100" s="576"/>
      <c r="H100" s="576"/>
      <c r="I100" s="576"/>
      <c r="J100" s="576"/>
      <c r="K100" s="576"/>
      <c r="L100" s="576"/>
      <c r="M100" s="576"/>
      <c r="N100" s="576"/>
      <c r="O100" s="576"/>
      <c r="P100" s="576"/>
      <c r="Q100" s="576"/>
      <c r="R100" s="576"/>
      <c r="S100" s="576"/>
      <c r="T100" s="576"/>
      <c r="U100" s="576"/>
      <c r="V100" s="576"/>
      <c r="W100" s="576"/>
      <c r="X100" s="576"/>
      <c r="Y100" s="576"/>
      <c r="Z100" s="576"/>
      <c r="AA100" s="576"/>
      <c r="AB100" s="576"/>
      <c r="AC100" s="576"/>
      <c r="AD100" s="576"/>
      <c r="AE100" s="576"/>
      <c r="AF100" s="576"/>
    </row>
    <row r="101" spans="1:32">
      <c r="A101" s="576" t="s">
        <v>676</v>
      </c>
      <c r="B101" s="576"/>
      <c r="C101" s="576"/>
      <c r="D101" s="576"/>
      <c r="E101" s="576"/>
      <c r="F101" s="576"/>
      <c r="G101" s="576"/>
      <c r="H101" s="576"/>
      <c r="I101" s="576"/>
      <c r="J101" s="576"/>
      <c r="K101" s="576"/>
      <c r="L101" s="576"/>
      <c r="M101" s="576"/>
      <c r="N101" s="576"/>
      <c r="O101" s="576"/>
      <c r="P101" s="576"/>
      <c r="Q101" s="576"/>
      <c r="R101" s="576"/>
      <c r="S101" s="576"/>
      <c r="T101" s="576"/>
      <c r="U101" s="576"/>
      <c r="V101" s="576"/>
      <c r="W101" s="576"/>
      <c r="X101" s="576"/>
      <c r="Y101" s="576"/>
      <c r="Z101" s="576"/>
      <c r="AA101" s="576"/>
      <c r="AB101" s="576"/>
      <c r="AC101" s="576"/>
      <c r="AD101" s="576"/>
      <c r="AE101" s="576"/>
      <c r="AF101" s="576"/>
    </row>
    <row r="102" spans="1:32">
      <c r="A102" s="576" t="s">
        <v>677</v>
      </c>
      <c r="B102" s="576"/>
      <c r="C102" s="576"/>
      <c r="D102" s="576"/>
      <c r="E102" s="576"/>
      <c r="F102" s="576"/>
      <c r="G102" s="576"/>
      <c r="H102" s="576"/>
      <c r="I102" s="576"/>
      <c r="J102" s="576"/>
      <c r="K102" s="576"/>
      <c r="L102" s="576"/>
      <c r="M102" s="576"/>
      <c r="N102" s="576"/>
      <c r="O102" s="576"/>
      <c r="P102" s="576"/>
      <c r="Q102" s="576"/>
      <c r="R102" s="576"/>
      <c r="S102" s="576"/>
      <c r="T102" s="576"/>
      <c r="U102" s="576"/>
      <c r="V102" s="576"/>
      <c r="W102" s="576"/>
      <c r="X102" s="576"/>
      <c r="Y102" s="576"/>
      <c r="Z102" s="576"/>
      <c r="AA102" s="576"/>
      <c r="AB102" s="576"/>
      <c r="AC102" s="576"/>
      <c r="AD102" s="576"/>
      <c r="AE102" s="576"/>
      <c r="AF102" s="576"/>
    </row>
    <row r="103" spans="1:32">
      <c r="A103" s="576" t="s">
        <v>678</v>
      </c>
      <c r="B103" s="576"/>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row>
    <row r="104" spans="1:32">
      <c r="A104" s="576" t="s">
        <v>679</v>
      </c>
      <c r="B104" s="576"/>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row>
    <row r="105" spans="1:32">
      <c r="A105" s="576" t="s">
        <v>680</v>
      </c>
      <c r="B105" s="576"/>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row>
    <row r="106" spans="1:32">
      <c r="A106" s="576" t="s">
        <v>681</v>
      </c>
      <c r="B106" s="576"/>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row>
    <row r="107" spans="1:32">
      <c r="A107" s="576" t="s">
        <v>682</v>
      </c>
      <c r="B107" s="576"/>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row>
    <row r="108" spans="1:32">
      <c r="A108" s="576" t="s">
        <v>634</v>
      </c>
      <c r="B108" s="576"/>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row>
    <row r="109" spans="1:32">
      <c r="A109" s="576" t="s">
        <v>683</v>
      </c>
      <c r="B109" s="576"/>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row>
    <row r="110" spans="1:32">
      <c r="A110" s="576" t="s">
        <v>684</v>
      </c>
      <c r="B110" s="576"/>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row>
    <row r="111" spans="1:32">
      <c r="A111" s="576" t="s">
        <v>641</v>
      </c>
      <c r="B111" s="576"/>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row>
    <row r="112" spans="1:32">
      <c r="A112" s="576" t="s">
        <v>642</v>
      </c>
      <c r="B112" s="576"/>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row>
    <row r="113" spans="1:32">
      <c r="A113" s="576" t="s">
        <v>643</v>
      </c>
      <c r="B113" s="576"/>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row>
    <row r="114" spans="1:32">
      <c r="A114" s="576" t="s">
        <v>685</v>
      </c>
      <c r="B114" s="576"/>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row>
    <row r="115" spans="1:32">
      <c r="A115" s="576" t="s">
        <v>686</v>
      </c>
      <c r="B115" s="576"/>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row>
    <row r="116" spans="1:32">
      <c r="A116" s="576" t="s">
        <v>619</v>
      </c>
      <c r="B116" s="576"/>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row>
    <row r="117" spans="1:32">
      <c r="A117" s="576" t="s">
        <v>620</v>
      </c>
      <c r="B117" s="576"/>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row>
    <row r="118" spans="1:32">
      <c r="A118" s="576" t="s">
        <v>621</v>
      </c>
      <c r="B118" s="576"/>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row>
    <row r="119" spans="1:32">
      <c r="A119" s="576" t="s">
        <v>687</v>
      </c>
      <c r="B119" s="576"/>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row>
    <row r="120" spans="1:32">
      <c r="A120" s="576" t="s">
        <v>688</v>
      </c>
      <c r="B120" s="576"/>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row>
    <row r="121" spans="1:32">
      <c r="A121" s="576" t="s">
        <v>623</v>
      </c>
      <c r="B121" s="576"/>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row>
    <row r="122" spans="1:32">
      <c r="A122" s="576" t="s">
        <v>626</v>
      </c>
      <c r="B122" s="576"/>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row>
  </sheetData>
  <mergeCells count="36">
    <mergeCell ref="A122:AF122"/>
    <mergeCell ref="A117:AF117"/>
    <mergeCell ref="A118:AF118"/>
    <mergeCell ref="A119:AF119"/>
    <mergeCell ref="A120:AF120"/>
    <mergeCell ref="A121:AF121"/>
    <mergeCell ref="A112:AF112"/>
    <mergeCell ref="A113:AF113"/>
    <mergeCell ref="A114:AF114"/>
    <mergeCell ref="A115:AF115"/>
    <mergeCell ref="A116:AF116"/>
    <mergeCell ref="A107:AF107"/>
    <mergeCell ref="A108:AF108"/>
    <mergeCell ref="A109:AF109"/>
    <mergeCell ref="A110:AF110"/>
    <mergeCell ref="A111:AF111"/>
    <mergeCell ref="A102:AF102"/>
    <mergeCell ref="A103:AF103"/>
    <mergeCell ref="A104:AF104"/>
    <mergeCell ref="A105:AF105"/>
    <mergeCell ref="A106:AF106"/>
    <mergeCell ref="A97:AF97"/>
    <mergeCell ref="A98:AF98"/>
    <mergeCell ref="A99:AF99"/>
    <mergeCell ref="A100:AF100"/>
    <mergeCell ref="A101:AF101"/>
    <mergeCell ref="A92:AF92"/>
    <mergeCell ref="A93:AF93"/>
    <mergeCell ref="A94:AF94"/>
    <mergeCell ref="A95:AF95"/>
    <mergeCell ref="A96:AF96"/>
    <mergeCell ref="A87:AF87"/>
    <mergeCell ref="A88:AF88"/>
    <mergeCell ref="A89:AF89"/>
    <mergeCell ref="A90:AF90"/>
    <mergeCell ref="A91:AF9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2015-02-23T18:18:40Z</dcterms:modified>
</cp:coreProperties>
</file>