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3300" yWindow="440" windowWidth="25120" windowHeight="14920" tabRatio="923"/>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27" l="1"/>
  <c r="E38" i="27"/>
  <c r="H38" i="27"/>
  <c r="J38" i="27"/>
  <c r="L38" i="27"/>
  <c r="F38" i="27"/>
  <c r="I38" i="27"/>
  <c r="K38" i="27"/>
  <c r="M38" i="27"/>
  <c r="N38" i="27"/>
  <c r="O36" i="27"/>
  <c r="H35" i="27"/>
  <c r="J35" i="27"/>
  <c r="L35" i="27"/>
  <c r="I35" i="27"/>
  <c r="K35" i="27"/>
  <c r="M35" i="27"/>
  <c r="N35" i="27"/>
  <c r="O35" i="27"/>
  <c r="H34" i="27"/>
  <c r="J34" i="27"/>
  <c r="L34" i="27"/>
  <c r="K34" i="27"/>
  <c r="M34" i="27"/>
  <c r="N34" i="27"/>
  <c r="O34" i="27"/>
  <c r="H33" i="27"/>
  <c r="J33" i="27"/>
  <c r="L33" i="27"/>
  <c r="I33" i="27"/>
  <c r="K33" i="27"/>
  <c r="M33" i="27"/>
  <c r="N33" i="27"/>
  <c r="O33" i="27"/>
  <c r="O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H27" i="27"/>
  <c r="J27" i="27"/>
  <c r="L27" i="27"/>
  <c r="I27" i="27"/>
  <c r="K27" i="27"/>
  <c r="M27" i="27"/>
  <c r="N27" i="27"/>
  <c r="O27" i="27"/>
  <c r="H26" i="27"/>
  <c r="J26" i="27"/>
  <c r="L26" i="27"/>
  <c r="I26" i="27"/>
  <c r="K26" i="27"/>
  <c r="M26" i="27"/>
  <c r="N26" i="27"/>
  <c r="H25" i="27"/>
  <c r="J25" i="27"/>
  <c r="L25" i="27"/>
  <c r="I25" i="27"/>
  <c r="K25" i="27"/>
  <c r="M25" i="27"/>
  <c r="N25" i="27"/>
  <c r="E24" i="27"/>
  <c r="H24" i="27"/>
  <c r="J24" i="27"/>
  <c r="L24" i="27"/>
  <c r="I24" i="27"/>
  <c r="K24" i="27"/>
  <c r="M24" i="27"/>
  <c r="N24" i="27"/>
  <c r="O24" i="27"/>
  <c r="H23" i="27"/>
  <c r="J23" i="27"/>
  <c r="L23" i="27"/>
  <c r="I23" i="27"/>
  <c r="K23" i="27"/>
  <c r="M23" i="27"/>
  <c r="N23" i="27"/>
  <c r="H22" i="27"/>
  <c r="J22" i="27"/>
  <c r="L22" i="27"/>
  <c r="I22" i="27"/>
  <c r="K22" i="27"/>
  <c r="M22" i="27"/>
  <c r="N22" i="27"/>
  <c r="O21" i="27"/>
  <c r="H21" i="27"/>
  <c r="J21" i="27"/>
  <c r="L21" i="27"/>
  <c r="I21" i="27"/>
  <c r="K21" i="27"/>
  <c r="M21" i="27"/>
  <c r="N21" i="27"/>
  <c r="H20" i="27"/>
  <c r="J20" i="27"/>
  <c r="L20" i="27"/>
  <c r="I20" i="27"/>
  <c r="K20" i="27"/>
  <c r="M20" i="27"/>
  <c r="N20" i="27"/>
  <c r="O20" i="27"/>
  <c r="H19" i="27"/>
  <c r="J19" i="27"/>
  <c r="L19" i="27"/>
  <c r="I19" i="27"/>
  <c r="K19" i="27"/>
  <c r="M19" i="27"/>
  <c r="N19" i="27"/>
  <c r="H18" i="27"/>
  <c r="J18" i="27"/>
  <c r="L18" i="27"/>
  <c r="I18" i="27"/>
  <c r="K18" i="27"/>
  <c r="M18" i="27"/>
  <c r="N18" i="27"/>
  <c r="O18" i="27"/>
  <c r="H17" i="27"/>
  <c r="J17" i="27"/>
  <c r="L17" i="27"/>
  <c r="I17" i="27"/>
  <c r="K17" i="27"/>
  <c r="M17" i="27"/>
  <c r="N17" i="27"/>
  <c r="H16" i="27"/>
  <c r="J16" i="27"/>
  <c r="L16" i="27"/>
  <c r="I16" i="27"/>
  <c r="K16" i="27"/>
  <c r="M16" i="27"/>
  <c r="N16" i="27"/>
  <c r="E15" i="27"/>
  <c r="H15" i="27"/>
  <c r="J15" i="27"/>
  <c r="L15" i="27"/>
  <c r="F15" i="27"/>
  <c r="I15" i="27"/>
  <c r="K15" i="27"/>
  <c r="M15" i="27"/>
  <c r="N15" i="27"/>
  <c r="O15" i="27"/>
  <c r="H14" i="27"/>
  <c r="J14" i="27"/>
  <c r="L14" i="27"/>
  <c r="I14" i="27"/>
  <c r="K14" i="27"/>
  <c r="M14" i="27"/>
  <c r="N14" i="27"/>
  <c r="H13" i="27"/>
  <c r="J13" i="27"/>
  <c r="L13" i="27"/>
  <c r="I13" i="27"/>
  <c r="K13" i="27"/>
  <c r="M13" i="27"/>
  <c r="N13" i="27"/>
  <c r="O13" i="27"/>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G52" i="11"/>
  <c r="G58" i="11"/>
  <c r="J52" i="11"/>
  <c r="J58" i="11"/>
  <c r="H13" i="15"/>
  <c r="H14" i="15"/>
  <c r="H29" i="15"/>
  <c r="H100" i="15"/>
  <c r="H30" i="15"/>
  <c r="H101" i="15"/>
  <c r="H32" i="15"/>
  <c r="H103" i="15"/>
  <c r="J54" i="8"/>
  <c r="H13" i="9"/>
  <c r="H38" i="15"/>
  <c r="H108" i="15"/>
  <c r="H113" i="15"/>
  <c r="H43" i="15"/>
  <c r="H46" i="15"/>
  <c r="H47" i="15"/>
  <c r="H116" i="15"/>
  <c r="H48" i="15"/>
  <c r="H117" i="15"/>
  <c r="H118" i="15"/>
  <c r="H127" i="15"/>
  <c r="H128" i="15"/>
  <c r="H130" i="15"/>
  <c r="H135" i="15"/>
  <c r="H140" i="15"/>
  <c r="H143" i="15"/>
  <c r="H144" i="15"/>
  <c r="H145" i="15"/>
  <c r="H249" i="15"/>
  <c r="H252" i="15"/>
  <c r="H179" i="15"/>
  <c r="H8" i="9"/>
  <c r="H43" i="9"/>
  <c r="H47" i="9"/>
  <c r="H52" i="9"/>
  <c r="H55" i="9"/>
  <c r="H61" i="9"/>
  <c r="H65" i="9"/>
  <c r="H70" i="9"/>
  <c r="H73" i="9"/>
  <c r="H176" i="15"/>
  <c r="H182" i="15"/>
  <c r="H185" i="15"/>
  <c r="AJ52" i="11"/>
  <c r="AH8" i="9"/>
  <c r="AJ58" i="11"/>
  <c r="AH13" i="15"/>
  <c r="AH14" i="15"/>
  <c r="D30" i="5"/>
  <c r="C30" i="5"/>
  <c r="AJ54" i="8"/>
  <c r="AH13" i="9"/>
  <c r="E54" i="8"/>
  <c r="F54" i="8"/>
  <c r="G54" i="8"/>
  <c r="H52" i="11"/>
  <c r="H58" i="11"/>
  <c r="H54" i="8"/>
  <c r="I52" i="11"/>
  <c r="I58" i="11"/>
  <c r="I54" i="8"/>
  <c r="K52" i="11"/>
  <c r="K58" i="11"/>
  <c r="K54" i="8"/>
  <c r="L52" i="11"/>
  <c r="L58" i="11"/>
  <c r="L54" i="8"/>
  <c r="M52" i="11"/>
  <c r="M58" i="11"/>
  <c r="M54" i="8"/>
  <c r="N52" i="11"/>
  <c r="N58" i="11"/>
  <c r="N54" i="8"/>
  <c r="O52" i="11"/>
  <c r="O58" i="11"/>
  <c r="O54" i="8"/>
  <c r="P52" i="11"/>
  <c r="P58" i="11"/>
  <c r="P54" i="8"/>
  <c r="Q52" i="11"/>
  <c r="Q58" i="11"/>
  <c r="Q54" i="8"/>
  <c r="R52" i="11"/>
  <c r="R58" i="11"/>
  <c r="R54" i="8"/>
  <c r="S52" i="11"/>
  <c r="S58" i="11"/>
  <c r="S54" i="8"/>
  <c r="T52" i="11"/>
  <c r="T58" i="11"/>
  <c r="T54" i="8"/>
  <c r="U52" i="11"/>
  <c r="U58" i="11"/>
  <c r="U54" i="8"/>
  <c r="V52" i="11"/>
  <c r="V58" i="11"/>
  <c r="V54" i="8"/>
  <c r="W52" i="11"/>
  <c r="W58" i="11"/>
  <c r="W54" i="8"/>
  <c r="X52" i="11"/>
  <c r="X58" i="11"/>
  <c r="X54" i="8"/>
  <c r="Y52" i="11"/>
  <c r="Y58" i="11"/>
  <c r="Y54" i="8"/>
  <c r="Z52" i="11"/>
  <c r="Z58" i="11"/>
  <c r="Z54" i="8"/>
  <c r="AA52" i="11"/>
  <c r="AA58" i="11"/>
  <c r="AA54" i="8"/>
  <c r="AB52" i="11"/>
  <c r="AB58" i="11"/>
  <c r="AB54" i="8"/>
  <c r="AC52" i="11"/>
  <c r="AC58" i="11"/>
  <c r="AC54" i="8"/>
  <c r="AD52" i="11"/>
  <c r="AD58" i="11"/>
  <c r="AD54" i="8"/>
  <c r="AE52" i="11"/>
  <c r="AE58" i="11"/>
  <c r="AE54" i="8"/>
  <c r="AF52" i="11"/>
  <c r="AF58" i="11"/>
  <c r="AF54" i="8"/>
  <c r="AG52" i="11"/>
  <c r="AG58" i="11"/>
  <c r="AG54" i="8"/>
  <c r="AH52" i="11"/>
  <c r="AH58" i="11"/>
  <c r="AH54" i="8"/>
  <c r="AI52" i="11"/>
  <c r="AI58" i="11"/>
  <c r="AI54" i="8"/>
  <c r="D54" i="8"/>
  <c r="N13" i="9"/>
  <c r="N8" i="9"/>
  <c r="N18" i="9"/>
  <c r="N13" i="15"/>
  <c r="N14" i="15"/>
  <c r="D11" i="5"/>
  <c r="D17"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X8" i="9"/>
  <c r="X13" i="15"/>
  <c r="X14" i="15"/>
  <c r="D29" i="5"/>
  <c r="C29" i="5"/>
  <c r="D28" i="5"/>
  <c r="C28" i="5"/>
  <c r="F35" i="5"/>
  <c r="H35" i="5"/>
  <c r="AH26" i="15"/>
  <c r="AH31" i="15"/>
  <c r="D36" i="5"/>
  <c r="C36" i="5"/>
  <c r="F36" i="5"/>
  <c r="H36" i="5"/>
  <c r="AH18" i="15"/>
  <c r="AH32" i="15"/>
  <c r="AH43" i="15"/>
  <c r="F34" i="5"/>
  <c r="H34" i="5"/>
  <c r="AH24" i="15"/>
  <c r="AH30" i="15"/>
  <c r="AH46" i="15"/>
  <c r="AH47" i="15"/>
  <c r="AH48" i="15"/>
  <c r="AH49" i="15"/>
  <c r="AH93" i="15"/>
  <c r="X34" i="15"/>
  <c r="X35" i="15"/>
  <c r="X37" i="15"/>
  <c r="X38" i="15"/>
  <c r="X39" i="15"/>
  <c r="X40" i="15"/>
  <c r="X42" i="15"/>
  <c r="X26" i="15"/>
  <c r="X31" i="15"/>
  <c r="X18" i="15"/>
  <c r="X32" i="15"/>
  <c r="X43" i="15"/>
  <c r="X24" i="15"/>
  <c r="X30" i="15"/>
  <c r="X46" i="15"/>
  <c r="X47" i="15"/>
  <c r="X48" i="15"/>
  <c r="X49" i="15"/>
  <c r="X93" i="15"/>
  <c r="AH78" i="15"/>
  <c r="AH94" i="15"/>
  <c r="X94" i="15"/>
  <c r="AH79" i="15"/>
  <c r="AH87" i="15"/>
  <c r="X87" i="15"/>
  <c r="AH72" i="15"/>
  <c r="C24" i="5"/>
  <c r="E17" i="5"/>
  <c r="N20" i="15"/>
  <c r="N16" i="15"/>
  <c r="N19" i="15"/>
  <c r="N21" i="15"/>
  <c r="N34" i="15"/>
  <c r="E19" i="5"/>
  <c r="N35" i="15"/>
  <c r="E20" i="5"/>
  <c r="N37" i="15"/>
  <c r="E21" i="5"/>
  <c r="N38" i="15"/>
  <c r="E22" i="5"/>
  <c r="N39" i="15"/>
  <c r="E18" i="5"/>
  <c r="N40" i="15"/>
  <c r="E23" i="5"/>
  <c r="N42" i="15"/>
  <c r="N26" i="15"/>
  <c r="N31" i="15"/>
  <c r="N18" i="15"/>
  <c r="N32" i="15"/>
  <c r="N43" i="15"/>
  <c r="N30" i="15"/>
  <c r="N46" i="15"/>
  <c r="N47" i="15"/>
  <c r="N48" i="15"/>
  <c r="N49" i="15"/>
  <c r="N93" i="15"/>
  <c r="X78" i="15"/>
  <c r="N94" i="15"/>
  <c r="X79" i="15"/>
  <c r="N87" i="15"/>
  <c r="X72" i="15"/>
  <c r="H49" i="15"/>
  <c r="H93" i="15"/>
  <c r="N78" i="15"/>
  <c r="H94" i="15"/>
  <c r="N79" i="15"/>
  <c r="H87" i="15"/>
  <c r="N72" i="15"/>
  <c r="H74" i="8"/>
  <c r="H79" i="8"/>
  <c r="I74" i="8"/>
  <c r="I79" i="8"/>
  <c r="J74" i="8"/>
  <c r="J79" i="8"/>
  <c r="K74" i="8"/>
  <c r="K79" i="8"/>
  <c r="L74" i="8"/>
  <c r="L79" i="8"/>
  <c r="M74" i="8"/>
  <c r="M79" i="8"/>
  <c r="N74" i="8"/>
  <c r="N79" i="8"/>
  <c r="O74" i="8"/>
  <c r="O79" i="8"/>
  <c r="P74" i="8"/>
  <c r="P79" i="8"/>
  <c r="Q74" i="8"/>
  <c r="Q79" i="8"/>
  <c r="R74" i="8"/>
  <c r="R79" i="8"/>
  <c r="S74" i="8"/>
  <c r="S79" i="8"/>
  <c r="T74" i="8"/>
  <c r="T79" i="8"/>
  <c r="U74" i="8"/>
  <c r="U79" i="8"/>
  <c r="V74" i="8"/>
  <c r="V79" i="8"/>
  <c r="W74" i="8"/>
  <c r="W79" i="8"/>
  <c r="X74" i="8"/>
  <c r="X79" i="8"/>
  <c r="Y74" i="8"/>
  <c r="Y79" i="8"/>
  <c r="Z74" i="8"/>
  <c r="Z79" i="8"/>
  <c r="AA74" i="8"/>
  <c r="AA79" i="8"/>
  <c r="AB74" i="8"/>
  <c r="AB79" i="8"/>
  <c r="AC74" i="8"/>
  <c r="AC79" i="8"/>
  <c r="AD74" i="8"/>
  <c r="AD79" i="8"/>
  <c r="AE74" i="8"/>
  <c r="AE79" i="8"/>
  <c r="AF74" i="8"/>
  <c r="AF79" i="8"/>
  <c r="AG74" i="8"/>
  <c r="AG79" i="8"/>
  <c r="AH74" i="8"/>
  <c r="AH79" i="8"/>
  <c r="AI74" i="8"/>
  <c r="AI79" i="8"/>
  <c r="AJ74" i="8"/>
  <c r="AJ79" i="8"/>
  <c r="G74" i="8"/>
  <c r="G79" i="8"/>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G54" i="11"/>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H76" i="8"/>
  <c r="G76"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49" i="11"/>
  <c r="H50" i="11"/>
  <c r="H51" i="11"/>
  <c r="I49" i="11"/>
  <c r="I50" i="11"/>
  <c r="I51" i="11"/>
  <c r="J49" i="11"/>
  <c r="J50" i="11"/>
  <c r="J51" i="11"/>
  <c r="K49" i="11"/>
  <c r="K50" i="11"/>
  <c r="K51" i="11"/>
  <c r="L49" i="11"/>
  <c r="L50" i="11"/>
  <c r="L51" i="11"/>
  <c r="M49" i="11"/>
  <c r="M50" i="11"/>
  <c r="M51" i="11"/>
  <c r="N49" i="11"/>
  <c r="N50" i="11"/>
  <c r="N51" i="11"/>
  <c r="O49" i="11"/>
  <c r="O50" i="11"/>
  <c r="O51" i="11"/>
  <c r="P49"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49"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49" i="11"/>
  <c r="AJ50" i="11"/>
  <c r="AJ51" i="11"/>
  <c r="AH16" i="15"/>
  <c r="Z13" i="15"/>
  <c r="Z14" i="15"/>
  <c r="N10" i="9"/>
  <c r="P73" i="8"/>
  <c r="N7" i="9"/>
  <c r="N11" i="9"/>
  <c r="P75" i="8"/>
  <c r="N12" i="9"/>
  <c r="P78" i="8"/>
  <c r="N16" i="9"/>
  <c r="N14" i="9"/>
  <c r="Z73" i="8"/>
  <c r="X7" i="9"/>
  <c r="Z60" i="11"/>
  <c r="X58" i="15"/>
  <c r="AJ60" i="11"/>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AB78" i="8"/>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C78" i="8"/>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D78" i="8"/>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E78" i="8"/>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F78" i="8"/>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G78" i="8"/>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H78" i="8"/>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I78" i="8"/>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AA78" i="8"/>
  <c r="Y16" i="9"/>
  <c r="Y42" i="15"/>
  <c r="Y43" i="15"/>
  <c r="Y30" i="15"/>
  <c r="Y46" i="15"/>
  <c r="AA60" i="11"/>
  <c r="Y47" i="15"/>
  <c r="Y48" i="15"/>
  <c r="Y49" i="15"/>
  <c r="Y86" i="15"/>
  <c r="Y87" i="15"/>
  <c r="Y88" i="15"/>
  <c r="Y89" i="15"/>
  <c r="Y90" i="15"/>
  <c r="Y91" i="15"/>
  <c r="Y92" i="15"/>
  <c r="Y93" i="15"/>
  <c r="Y94" i="15"/>
  <c r="Y95" i="15"/>
  <c r="Y16" i="15"/>
  <c r="G11" i="5"/>
  <c r="E11" i="5"/>
  <c r="H78" i="8"/>
  <c r="I78" i="8"/>
  <c r="J78" i="8"/>
  <c r="K78" i="8"/>
  <c r="L78" i="8"/>
  <c r="M78" i="8"/>
  <c r="N78" i="8"/>
  <c r="O78" i="8"/>
  <c r="Q78" i="8"/>
  <c r="R78" i="8"/>
  <c r="S78" i="8"/>
  <c r="T78" i="8"/>
  <c r="U78" i="8"/>
  <c r="V78" i="8"/>
  <c r="W78" i="8"/>
  <c r="X78" i="8"/>
  <c r="Y78" i="8"/>
  <c r="Z78" i="8"/>
  <c r="AJ78"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8" i="8"/>
  <c r="G77" i="8"/>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7" i="9"/>
  <c r="AH10" i="9"/>
  <c r="AH11" i="9"/>
  <c r="AH12"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14" i="9"/>
  <c r="H39" i="15"/>
  <c r="H7" i="9"/>
  <c r="H31" i="15"/>
  <c r="H10" i="9"/>
  <c r="H34" i="15"/>
  <c r="H11" i="9"/>
  <c r="H35" i="15"/>
  <c r="H12" i="9"/>
  <c r="H37" i="15"/>
  <c r="H16" i="9"/>
  <c r="H42"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3" authorId="0">
      <text>
        <r>
          <rPr>
            <b/>
            <sz val="9"/>
            <color indexed="81"/>
            <rFont val="Tahoma"/>
            <family val="2"/>
          </rPr>
          <t>Max:</t>
        </r>
        <r>
          <rPr>
            <sz val="9"/>
            <color indexed="81"/>
            <rFont val="Tahoma"/>
            <family val="2"/>
          </rPr>
          <t xml:space="preserve">
Kammen04 and 08</t>
        </r>
      </text>
    </comment>
    <comment ref="G13" authorId="0">
      <text>
        <r>
          <rPr>
            <b/>
            <sz val="9"/>
            <color indexed="81"/>
            <rFont val="Tahoma"/>
            <family val="2"/>
          </rPr>
          <t>Max:</t>
        </r>
        <r>
          <rPr>
            <sz val="9"/>
            <color indexed="81"/>
            <rFont val="Tahoma"/>
            <family val="2"/>
          </rPr>
          <t xml:space="preserve">
not specified
</t>
        </r>
      </text>
    </comment>
    <comment ref="F14"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5" authorId="0">
      <text>
        <r>
          <rPr>
            <b/>
            <sz val="9"/>
            <color indexed="81"/>
            <rFont val="Tahoma"/>
            <family val="2"/>
          </rPr>
          <t>Max:</t>
        </r>
        <r>
          <rPr>
            <sz val="9"/>
            <color indexed="81"/>
            <rFont val="Tahoma"/>
            <family val="2"/>
          </rPr>
          <t xml:space="preserve">
not sure about this, conservative assumption for jobs
</t>
        </r>
      </text>
    </comment>
    <comment ref="C17" authorId="0">
      <text>
        <r>
          <rPr>
            <b/>
            <sz val="9"/>
            <color indexed="81"/>
            <rFont val="Tahoma"/>
            <family val="2"/>
          </rPr>
          <t>Max:</t>
        </r>
        <r>
          <rPr>
            <sz val="9"/>
            <color indexed="81"/>
            <rFont val="Tahoma"/>
            <family val="2"/>
          </rPr>
          <t xml:space="preserve">
EPRI 01 capacity 90%
</t>
        </r>
      </text>
    </comment>
    <comment ref="C18" authorId="0">
      <text>
        <r>
          <rPr>
            <b/>
            <sz val="9"/>
            <color indexed="81"/>
            <rFont val="Tahoma"/>
            <family val="2"/>
          </rPr>
          <t>Max:</t>
        </r>
        <r>
          <rPr>
            <sz val="9"/>
            <color indexed="81"/>
            <rFont val="Tahoma"/>
            <family val="2"/>
          </rPr>
          <t xml:space="preserve">
Kammen 08 presentation</t>
        </r>
      </text>
    </comment>
    <comment ref="C20" authorId="0">
      <text>
        <r>
          <rPr>
            <b/>
            <sz val="9"/>
            <color indexed="81"/>
            <rFont val="Tahoma"/>
            <family val="2"/>
          </rPr>
          <t>Max:</t>
        </r>
        <r>
          <rPr>
            <sz val="9"/>
            <color indexed="81"/>
            <rFont val="Tahoma"/>
            <family val="2"/>
          </rPr>
          <t xml:space="preserve">
EPRI 01 cap 55%
</t>
        </r>
      </text>
    </comment>
    <comment ref="O21" authorId="0">
      <text>
        <r>
          <rPr>
            <sz val="9"/>
            <color indexed="81"/>
            <rFont val="Tahoma"/>
            <family val="2"/>
          </rPr>
          <t xml:space="preserve">Karim:
New update from the solar foundation assuming that all other jobs are O&amp;M
</t>
        </r>
      </text>
    </comment>
    <comment ref="C22" authorId="0">
      <text>
        <r>
          <rPr>
            <b/>
            <sz val="9"/>
            <color indexed="81"/>
            <rFont val="Tahoma"/>
            <family val="2"/>
          </rPr>
          <t>Max:</t>
        </r>
        <r>
          <rPr>
            <sz val="9"/>
            <color indexed="81"/>
            <rFont val="Tahoma"/>
            <family val="2"/>
          </rPr>
          <t xml:space="preserve">
Kammen 08 presentation</t>
        </r>
      </text>
    </comment>
    <comment ref="C24" authorId="0">
      <text>
        <r>
          <rPr>
            <b/>
            <sz val="9"/>
            <color indexed="81"/>
            <rFont val="Tahoma"/>
            <family val="2"/>
          </rPr>
          <t>Max:</t>
        </r>
        <r>
          <rPr>
            <sz val="9"/>
            <color indexed="81"/>
            <rFont val="Tahoma"/>
            <family val="2"/>
          </rPr>
          <t xml:space="preserve">
NREL08 cap 40%</t>
        </r>
      </text>
    </comment>
    <comment ref="A25" authorId="0">
      <text>
        <r>
          <rPr>
            <b/>
            <sz val="9"/>
            <color indexed="81"/>
            <rFont val="Tahoma"/>
            <family val="2"/>
          </rPr>
          <t>Max:</t>
        </r>
        <r>
          <rPr>
            <sz val="9"/>
            <color indexed="81"/>
            <rFont val="Tahoma"/>
            <family val="2"/>
          </rPr>
          <t xml:space="preserve">
100 MW parabolic trough plant with 6 hours of storage</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E27" authorId="0">
      <text>
        <r>
          <rPr>
            <b/>
            <sz val="9"/>
            <color indexed="81"/>
            <rFont val="Tahoma"/>
            <family val="2"/>
          </rPr>
          <t>Max:</t>
        </r>
        <r>
          <rPr>
            <sz val="9"/>
            <color indexed="81"/>
            <rFont val="Tahoma"/>
            <family val="2"/>
          </rPr>
          <t xml:space="preserve">
direct CIM; Another 5 is indirect manufacturing
</t>
        </r>
      </text>
    </comment>
    <comment ref="F27" authorId="0">
      <text>
        <r>
          <rPr>
            <b/>
            <sz val="9"/>
            <color indexed="81"/>
            <rFont val="Tahoma"/>
            <family val="2"/>
          </rPr>
          <t>Max:</t>
        </r>
        <r>
          <rPr>
            <sz val="9"/>
            <color indexed="81"/>
            <rFont val="Tahoma"/>
            <family val="2"/>
          </rPr>
          <t xml:space="preserve">
includes 0.07 jobs/MWp for consultants, researchers, financial services</t>
        </r>
      </text>
    </comment>
    <comment ref="E28" authorId="0">
      <text>
        <r>
          <rPr>
            <b/>
            <sz val="9"/>
            <color indexed="81"/>
            <rFont val="Tahoma"/>
            <family val="2"/>
          </rPr>
          <t>Max:</t>
        </r>
        <r>
          <rPr>
            <sz val="9"/>
            <color indexed="81"/>
            <rFont val="Tahoma"/>
            <family val="2"/>
          </rPr>
          <t xml:space="preserve">
direct CIM; Another 5 is indirect manufacturing
</t>
        </r>
      </text>
    </comment>
    <comment ref="C32" authorId="0">
      <text>
        <r>
          <rPr>
            <b/>
            <sz val="9"/>
            <color indexed="81"/>
            <rFont val="Tahoma"/>
            <family val="2"/>
          </rPr>
          <t>Max:</t>
        </r>
        <r>
          <rPr>
            <sz val="9"/>
            <color indexed="81"/>
            <rFont val="Tahoma"/>
            <family val="2"/>
          </rPr>
          <t xml:space="preserve">
take same as Coal</t>
        </r>
      </text>
    </comment>
    <comment ref="C34" authorId="0">
      <text>
        <r>
          <rPr>
            <b/>
            <sz val="9"/>
            <color indexed="81"/>
            <rFont val="Tahoma"/>
            <family val="2"/>
          </rPr>
          <t>Max:</t>
        </r>
        <r>
          <rPr>
            <sz val="9"/>
            <color indexed="81"/>
            <rFont val="Tahoma"/>
            <family val="2"/>
          </rPr>
          <t xml:space="preserve">
kammen 08
</t>
        </r>
      </text>
    </comment>
    <comment ref="C35" authorId="0">
      <text>
        <r>
          <rPr>
            <b/>
            <sz val="9"/>
            <color indexed="81"/>
            <rFont val="Tahoma"/>
            <family val="2"/>
          </rPr>
          <t>Max:</t>
        </r>
        <r>
          <rPr>
            <sz val="9"/>
            <color indexed="81"/>
            <rFont val="Tahoma"/>
            <family val="2"/>
          </rPr>
          <t xml:space="preserve">
page 15
Also Kammen08 ref</t>
        </r>
      </text>
    </comment>
    <comment ref="F35" authorId="0">
      <text>
        <r>
          <rPr>
            <b/>
            <sz val="9"/>
            <color indexed="81"/>
            <rFont val="Tahoma"/>
            <family val="2"/>
          </rPr>
          <t>Max:</t>
        </r>
        <r>
          <rPr>
            <sz val="9"/>
            <color indexed="81"/>
            <rFont val="Tahoma"/>
            <family val="2"/>
          </rPr>
          <t xml:space="preserve">
Non-Fuel O&amp;M only
</t>
        </r>
      </text>
    </comment>
    <comment ref="C36"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<sst xmlns="http://schemas.openxmlformats.org/spreadsheetml/2006/main" count="1326" uniqueCount="760">
  <si>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</si>
  <si>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</si>
  <si>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</si>
  <si>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</si>
  <si>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</si>
  <si>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</si>
  <si>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</si>
  <si>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</si>
  <si>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</si>
  <si>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</si>
  <si>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</si>
  <si>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</si>
  <si>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</si>
  <si>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</si>
  <si>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</si>
  <si>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</si>
  <si>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</si>
  <si>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</si>
  <si>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</si>
  <si>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</si>
  <si>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</si>
  <si>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</si>
  <si>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</si>
  <si>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</si>
  <si>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</si>
  <si>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</si>
  <si>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</si>
  <si>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</si>
  <si>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</si>
  <si>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</si>
  <si>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</si>
  <si>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</si>
  <si>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</si>
  <si>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</si>
  <si>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</si>
  <si>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</si>
  <si>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</si>
  <si>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</si>
  <si>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</si>
  <si>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</si>
  <si>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</si>
  <si>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</si>
  <si>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</si>
  <si>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</si>
  <si>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</si>
  <si>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</si>
  <si>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</si>
  <si>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</si>
  <si>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</si>
  <si>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</si>
  <si>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</si>
  <si>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</si>
  <si>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</si>
  <si>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</si>
  <si>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</si>
  <si>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</si>
  <si>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</si>
  <si>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</si>
  <si>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</si>
  <si>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</si>
  <si>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</si>
  <si>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</si>
  <si>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</si>
  <si>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</si>
  <si>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</si>
  <si>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</si>
  <si>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</si>
  <si>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</si>
  <si>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</si>
  <si>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</si>
  <si>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</si>
  <si>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</si>
  <si>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</si>
  <si>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</si>
  <si>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</si>
  <si>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</si>
  <si>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</si>
  <si>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</si>
  <si>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</si>
  <si>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</si>
  <si>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</si>
  <si>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</si>
  <si>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</si>
  <si>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</si>
  <si>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</si>
  <si>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</si>
  <si>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</si>
  <si>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</si>
  <si>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</si>
  <si>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</si>
  <si>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</si>
  <si>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</si>
  <si>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</si>
  <si>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</si>
  <si>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</si>
  <si>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</si>
  <si>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</si>
  <si>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</si>
  <si>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</si>
  <si>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</si>
  <si>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</si>
  <si>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</si>
  <si>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</si>
  <si>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</si>
  <si>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</si>
  <si>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</si>
  <si>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</si>
  <si>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</si>
  <si>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</si>
  <si>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</si>
  <si>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</si>
  <si>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</si>
  <si>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</si>
  <si>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</si>
  <si>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</si>
  <si>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</si>
  <si>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</si>
  <si>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</si>
  <si>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</si>
  <si>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</si>
  <si>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</si>
  <si>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</si>
  <si>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</si>
  <si>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</si>
  <si>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</si>
  <si>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</si>
  <si>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</si>
  <si>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</si>
  <si>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</si>
  <si>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</si>
  <si>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</si>
  <si>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</si>
  <si>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</si>
  <si>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</si>
  <si>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</si>
  <si>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</si>
  <si>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</si>
  <si>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</si>
  <si>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</si>
  <si>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</si>
  <si>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</si>
  <si>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</si>
  <si>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</si>
  <si>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</si>
  <si>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</si>
  <si>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</si>
  <si>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</si>
  <si>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</si>
  <si>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</si>
  <si>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</si>
  <si>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</si>
  <si>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</si>
  <si>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</si>
  <si>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</si>
  <si>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</si>
  <si>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</si>
  <si>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</si>
  <si>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</si>
  <si>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</si>
  <si>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</si>
  <si>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</si>
  <si>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</si>
  <si>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</si>
  <si>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</si>
  <si>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</si>
  <si>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</si>
  <si>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</si>
  <si>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</si>
  <si>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</si>
  <si>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</si>
  <si>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</si>
  <si>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</si>
  <si>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</si>
  <si>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</si>
  <si>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</si>
  <si>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</si>
  <si>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</si>
  <si>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</si>
  <si>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</si>
  <si>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</si>
  <si>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</si>
  <si>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</si>
  <si>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</si>
  <si>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</si>
  <si>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</si>
  <si>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</si>
  <si>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</si>
  <si>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</si>
  <si>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</si>
  <si>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</si>
  <si>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</si>
  <si>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</si>
  <si>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</si>
  <si>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</si>
  <si>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</si>
  <si>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</si>
  <si>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</si>
  <si>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</si>
  <si>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</si>
  <si>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</si>
  <si>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</si>
  <si>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</si>
  <si>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</si>
  <si>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</si>
  <si>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</si>
  <si>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</si>
  <si>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</si>
  <si>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</si>
  <si>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</si>
  <si>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</si>
  <si>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</si>
  <si>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</si>
  <si>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</si>
  <si>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</si>
  <si>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</si>
  <si>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</si>
  <si>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</si>
  <si>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</si>
  <si>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</si>
  <si>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</si>
  <si>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</si>
  <si>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</si>
  <si>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</si>
  <si>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</si>
  <si>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</si>
  <si>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</si>
  <si>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</si>
  <si>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</si>
  <si>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</si>
  <si>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</si>
  <si>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</si>
  <si>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</si>
  <si>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</si>
  <si>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</si>
  <si>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</si>
  <si>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</si>
  <si>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</si>
  <si>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</si>
  <si>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</si>
  <si>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</si>
  <si>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</si>
  <si>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</si>
  <si>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</si>
  <si>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</si>
  <si>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</si>
  <si>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</si>
  <si>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</si>
  <si>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</si>
  <si>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</si>
  <si>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</si>
  <si>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</si>
  <si>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</si>
  <si>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</si>
  <si>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</si>
  <si>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</si>
  <si>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</si>
  <si>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</si>
  <si>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</si>
  <si>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</si>
  <si>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</si>
  <si>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</si>
  <si>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</si>
  <si>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</si>
  <si>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</si>
  <si>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</si>
  <si>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</si>
  <si>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</si>
  <si>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</si>
  <si>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</si>
  <si>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</si>
  <si>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</si>
  <si>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</si>
  <si>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</si>
  <si>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</si>
  <si>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</si>
  <si>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</si>
  <si>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</si>
  <si>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</si>
  <si>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</si>
  <si>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</si>
  <si>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</si>
  <si>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</si>
  <si>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</si>
  <si>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</si>
  <si>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</si>
  <si>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</si>
  <si>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</si>
  <si>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</si>
  <si>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</si>
  <si>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</si>
  <si>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</si>
  <si>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</si>
  <si>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</si>
  <si>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</si>
  <si>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</si>
  <si>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</si>
  <si>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</si>
  <si>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</si>
  <si>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</si>
  <si>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</si>
  <si>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</si>
  <si>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</si>
  <si>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</si>
  <si>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</si>
  <si>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</si>
  <si>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</si>
  <si>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</si>
  <si>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</si>
  <si>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</si>
  <si>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</si>
  <si>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</si>
  <si>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</si>
  <si>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</si>
  <si>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</si>
  <si>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</si>
  <si>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</si>
  <si>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</si>
  <si>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</si>
  <si>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</si>
  <si>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</si>
  <si>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</si>
  <si>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</si>
  <si>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</si>
  <si>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</si>
  <si>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</si>
  <si>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</si>
  <si>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</si>
  <si>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</si>
  <si>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</si>
  <si>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</si>
  <si>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</si>
  <si>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</si>
  <si>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</si>
  <si>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</si>
  <si>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</si>
  <si>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</si>
  <si>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</si>
  <si>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</si>
  <si>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</si>
  <si>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</si>
  <si>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</si>
  <si>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</si>
  <si>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</si>
  <si>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</si>
  <si>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</si>
  <si>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</si>
  <si>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</si>
  <si>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</si>
  <si>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</si>
  <si>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</si>
  <si>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</si>
  <si>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</si>
  <si>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</si>
  <si>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</si>
  <si>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</si>
  <si>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</si>
  <si>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</si>
  <si>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</si>
  <si>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</si>
  <si>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</si>
  <si>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</si>
  <si>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</si>
  <si>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</si>
  <si>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</si>
  <si>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</si>
  <si>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</si>
  <si>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</si>
  <si>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</si>
  <si>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</si>
  <si>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</si>
  <si>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</si>
  <si>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</si>
  <si>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</si>
  <si>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</si>
  <si>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</si>
  <si>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</si>
  <si>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</si>
  <si>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</si>
  <si>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</si>
  <si>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</si>
  <si>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</si>
  <si>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</si>
  <si>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</si>
  <si>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</si>
  <si>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</si>
  <si>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</si>
  <si>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</si>
  <si>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</si>
  <si>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</si>
  <si>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</si>
  <si>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</si>
  <si>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</si>
  <si>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</si>
  <si>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</si>
  <si>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</si>
  <si>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</si>
  <si>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</si>
  <si>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</si>
  <si>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</si>
  <si>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</si>
  <si>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</si>
  <si>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</si>
  <si>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</si>
  <si>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</si>
  <si>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</si>
  <si>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</si>
  <si>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</si>
  <si>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</si>
  <si>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</si>
  <si>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</si>
  <si>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</si>
  <si>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</si>
  <si>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</si>
  <si>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</si>
  <si>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</si>
  <si>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</si>
  <si>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</si>
  <si>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</si>
  <si>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</si>
  <si>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</si>
  <si>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</si>
  <si>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</si>
  <si>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</si>
  <si>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</si>
  <si>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</si>
  <si>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</si>
  <si>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</si>
  <si>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</si>
  <si>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</si>
  <si>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</si>
  <si>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</si>
  <si>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</si>
  <si>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</si>
  <si>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</si>
  <si>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</si>
  <si>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</si>
  <si>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</si>
  <si>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</si>
  <si>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</si>
  <si>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</si>
  <si>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</si>
  <si>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</si>
  <si>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</si>
  <si>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</si>
  <si>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</si>
  <si>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</si>
  <si>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</si>
  <si>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</si>
  <si>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</si>
  <si>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</si>
  <si>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</si>
  <si>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</si>
  <si>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</si>
  <si>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</si>
  <si>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</si>
  <si>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</si>
  <si>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</si>
  <si>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</si>
  <si>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</si>
  <si>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</si>
  <si>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</si>
  <si>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</si>
  <si>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</si>
  <si>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</si>
  <si>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</si>
  <si>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</si>
  <si>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</si>
  <si>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</si>
  <si>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</si>
  <si>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</si>
  <si>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</si>
  <si>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</si>
  <si>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</si>
  <si>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</si>
  <si>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</si>
  <si>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</si>
  <si>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</si>
  <si>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</si>
  <si>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</si>
  <si>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</si>
  <si>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</si>
  <si>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</si>
  <si>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</si>
  <si>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</si>
  <si>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</si>
  <si>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</si>
  <si>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</si>
  <si>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</si>
  <si>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</si>
  <si>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</si>
  <si>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</si>
  <si>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</si>
  <si>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</si>
  <si>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</si>
  <si>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</si>
  <si>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</si>
  <si>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</si>
  <si>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</si>
  <si>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</si>
  <si>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</si>
  <si>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</si>
  <si>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</si>
  <si>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</si>
  <si>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</si>
  <si>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</si>
  <si>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</si>
  <si>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</si>
  <si>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</si>
  <si>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</si>
  <si>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</si>
  <si>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</si>
  <si>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</si>
  <si>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</si>
  <si>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</si>
  <si>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</si>
  <si>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</si>
  <si>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</si>
  <si>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</si>
  <si>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</si>
  <si>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</si>
  <si>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</si>
  <si>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</si>
  <si>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</si>
  <si>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</si>
  <si>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</si>
  <si>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</si>
  <si>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</si>
  <si>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</si>
  <si>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</si>
  <si>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</si>
  <si>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</si>
  <si>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</si>
  <si>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</si>
  <si>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</si>
  <si>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</si>
  <si>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</si>
  <si>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</si>
  <si>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</si>
  <si>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</si>
  <si>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</si>
  <si>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</si>
  <si>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</si>
  <si>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</si>
  <si>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</si>
  <si>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</si>
  <si>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</si>
  <si>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</si>
  <si>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</si>
  <si>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</si>
  <si>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</si>
  <si>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</si>
  <si>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</si>
  <si>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</si>
  <si>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</si>
  <si>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</si>
  <si>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</si>
  <si>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</si>
  <si>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</si>
  <si>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</si>
  <si>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</si>
  <si>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</si>
  <si>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</si>
  <si>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</si>
  <si>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</si>
  <si>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</si>
  <si>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</si>
  <si>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</si>
  <si>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</si>
  <si>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</si>
  <si>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</si>
  <si>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</si>
  <si>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</si>
  <si>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</si>
  <si>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</si>
  <si>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</si>
  <si>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</si>
  <si>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</si>
  <si>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</si>
  <si>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</si>
  <si>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</si>
  <si>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</si>
  <si>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</si>
  <si>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</si>
  <si>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</si>
  <si>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</si>
  <si>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</si>
  <si>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</si>
  <si>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</si>
  <si>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</si>
  <si>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</si>
  <si>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</si>
  <si>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</si>
  <si>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</si>
  <si>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</si>
  <si>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</si>
  <si>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</si>
  <si>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</si>
  <si>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</si>
  <si>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</si>
  <si>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</si>
  <si>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</si>
  <si>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</si>
  <si>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</si>
  <si>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</si>
  <si>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</si>
  <si>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</si>
  <si>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</si>
  <si>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</si>
  <si>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</si>
  <si>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</si>
  <si>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</si>
  <si>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</si>
  <si>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</si>
  <si>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</si>
  <si>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</si>
  <si>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</si>
  <si>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</si>
  <si>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</si>
  <si>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</si>
  <si>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</si>
  <si>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</si>
  <si>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</si>
  <si>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</si>
  <si>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</si>
  <si>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</si>
  <si>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</si>
  <si>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</si>
  <si>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</si>
  <si>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</si>
  <si>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</si>
  <si>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</si>
  <si>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</si>
  <si>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</si>
  <si>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</si>
  <si>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</si>
  <si>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</si>
  <si>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</si>
  <si>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</si>
  <si>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</si>
  <si>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</si>
  <si>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</si>
  <si>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</si>
  <si>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</si>
  <si>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</si>
  <si>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</si>
  <si>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</si>
  <si>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</si>
  <si>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</si>
  <si>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</si>
  <si>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</si>
  <si>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</si>
  <si>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</si>
  <si>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</si>
  <si>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</si>
  <si>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</si>
  <si>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</si>
  <si>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</si>
  <si>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</si>
  <si>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</si>
  <si>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</si>
  <si>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</si>
  <si>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</si>
  <si>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</si>
  <si>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</si>
  <si>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</si>
  <si>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</si>
  <si>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</si>
  <si>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</si>
  <si>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</si>
  <si>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</si>
  <si>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</si>
  <si>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</si>
  <si>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</si>
  <si>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</si>
  <si>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</si>
  <si>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</si>
  <si>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</si>
  <si>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</si>
  <si>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</si>
  <si>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</si>
  <si>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</si>
  <si>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</si>
  <si>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</si>
  <si>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</si>
  <si>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</si>
  <si>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</si>
  <si>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</si>
  <si>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</si>
  <si>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</si>
  <si>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</si>
  <si>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</si>
  <si>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</si>
  <si>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</si>
  <si>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</si>
  <si>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</si>
  <si>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</si>
  <si>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</si>
  <si>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</si>
  <si>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</si>
  <si>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</si>
  <si>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</si>
  <si>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</si>
  <si>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</si>
  <si>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</si>
  <si>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</si>
  <si>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</si>
  <si>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</si>
  <si>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</si>
  <si>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</si>
  <si>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</si>
  <si>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</si>
  <si>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</si>
  <si>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</si>
  <si>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</si>
  <si>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</si>
  <si>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</si>
  <si>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</si>
  <si>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</si>
  <si>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</si>
  <si>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</si>
  <si>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</si>
  <si>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</si>
  <si>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</si>
  <si>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</si>
  <si>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</si>
  <si>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</si>
  <si>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</si>
  <si>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</si>
  <si>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</si>
  <si>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</si>
  <si>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</si>
  <si>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</si>
  <si>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</si>
  <si>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</si>
  <si>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</si>
  <si>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</si>
  <si>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</si>
  <si>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</si>
  <si>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</si>
  <si>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</si>
  <si>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</si>
  <si>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</si>
  <si>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</si>
  <si>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</si>
  <si>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Generation from EIA Midwest region from EIA</t>
  </si>
  <si>
    <t xml:space="preserve">    Natural Ga0</t>
  </si>
  <si>
    <t>Wood/Wood Wa0te</t>
  </si>
  <si>
    <t>Total Electricity Generation by Fuel from EIA forRFC east and west</t>
  </si>
  <si>
    <t>Fossil</t>
  </si>
  <si>
    <t xml:space="preserve">    Other Gase0</t>
  </si>
  <si>
    <t>Pumped storage</t>
  </si>
  <si>
    <t>Energy source</t>
  </si>
  <si>
    <t>MSW Biogenic/Landfill Ga0</t>
  </si>
  <si>
    <t>Other Biomass0</t>
  </si>
  <si>
    <t>Total Electricity Generation by Fuel by computation for Maryland</t>
  </si>
  <si>
    <t>Contribution of Maryland</t>
  </si>
  <si>
    <t>Proportion for Maryland</t>
  </si>
  <si>
    <t>Proportion for solar</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</si>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</sst>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3"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
      <sz val="10"/>
      <name val="Verdana"/>
    </font>
  </fonts>
  <fills count="11">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0C0C0"/>
        <bgColor rgb="FF000000"/>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
      <left style="thin">
        <color auto="1"/>
      </left>
      <right/>
      <top/>
      <bottom/>
      <diagonal/>
    </border>
  </borders>
  <cellStyleXfs count="32">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4">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0" fontId="52" fillId="10" borderId="17" xfId="0" applyFont="1" applyFill="1" applyBorder="1"/>
    <xf numFmtId="0" fontId="52" fillId="10" borderId="27" xfId="0" applyFont="1" applyFill="1" applyBorder="1"/>
    <xf numFmtId="0" fontId="0" fillId="2" borderId="0" xfId="0" applyFill="1"/>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168" fontId="28" fillId="2" borderId="53" xfId="0" applyNumberFormat="1" applyFont="1" applyFill="1" applyBorder="1" applyAlignment="1">
      <alignment wrapText="1"/>
    </xf>
    <xf numFmtId="0" fontId="1" fillId="0" borderId="0" xfId="0" applyFont="1"/>
    <xf numFmtId="9" fontId="1" fillId="0" borderId="0" xfId="6" applyNumberFormat="1" applyFont="1"/>
    <xf numFmtId="2" fontId="1" fillId="0" borderId="0" xfId="0" applyNumberFormat="1" applyFont="1"/>
    <xf numFmtId="0" fontId="0" fillId="0" borderId="0" xfId="0" applyAlignment="1">
      <alignment horizontal="center"/>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15" fillId="5" borderId="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 fillId="0" borderId="57" xfId="0" applyFont="1" applyBorder="1"/>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0" fontId="1" fillId="0" borderId="0" xfId="0"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cellXfs>
  <cellStyles count="32">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0874600"/>
        <c:axId val="2111721784"/>
      </c:lineChart>
      <c:catAx>
        <c:axId val="211087460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721784"/>
        <c:crosses val="autoZero"/>
        <c:auto val="1"/>
        <c:lblAlgn val="ctr"/>
        <c:lblOffset val="100"/>
        <c:noMultiLvlLbl val="0"/>
      </c:catAx>
      <c:valAx>
        <c:axId val="2111721784"/>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087460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76728056"/>
        <c:axId val="2108532440"/>
      </c:lineChart>
      <c:catAx>
        <c:axId val="207672805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08532440"/>
        <c:crosses val="autoZero"/>
        <c:auto val="1"/>
        <c:lblAlgn val="ctr"/>
        <c:lblOffset val="100"/>
        <c:noMultiLvlLbl val="0"/>
      </c:catAx>
      <c:valAx>
        <c:axId val="2108532440"/>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6728056"/>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381000</xdr:colOff>
      <xdr:row>7</xdr:row>
      <xdr:rowOff>12700</xdr:rowOff>
    </xdr:to>
    <xdr:sp macro="" textlink="">
      <xdr:nvSpPr>
        <xdr:cNvPr id="4" name="AutoShape 406"/>
        <xdr:cNvSpPr>
          <a:spLocks noChangeAspect="1" noChangeArrowheads="1"/>
        </xdr:cNvSpPr>
      </xdr:nvSpPr>
      <xdr:spPr bwMode="auto">
        <a:xfrm>
          <a:off x="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abSelected="1" topLeftCell="B4" zoomScale="80" zoomScaleNormal="80" zoomScalePageLayoutView="80" workbookViewId="0">
      <selection activeCell="C14" sqref="C14"/>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9"/>
      <c r="B1" s="539"/>
      <c r="C1" s="539"/>
      <c r="D1" s="539"/>
      <c r="E1" s="539"/>
      <c r="F1" s="539"/>
      <c r="G1" s="539"/>
      <c r="H1" s="539"/>
      <c r="I1" s="539"/>
      <c r="J1" s="539"/>
      <c r="K1" s="539"/>
      <c r="L1" s="539"/>
      <c r="M1" s="539"/>
      <c r="N1" s="539"/>
      <c r="O1" s="539"/>
      <c r="P1" s="539"/>
      <c r="Q1" s="539"/>
      <c r="R1" s="539"/>
      <c r="S1" s="539"/>
      <c r="T1" s="539"/>
    </row>
    <row r="2" spans="1:20" ht="113.25" customHeight="1">
      <c r="A2" s="539"/>
      <c r="B2" s="539"/>
      <c r="C2" s="539"/>
      <c r="D2" s="539"/>
      <c r="E2" s="539"/>
      <c r="F2" s="539"/>
      <c r="G2" s="539"/>
      <c r="H2" s="539"/>
      <c r="I2" s="539"/>
      <c r="J2" s="539"/>
      <c r="K2" s="539"/>
      <c r="L2" s="539"/>
      <c r="M2" s="539"/>
      <c r="N2" s="539"/>
      <c r="O2" s="539"/>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707</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382</v>
      </c>
      <c r="C7" s="210" t="s">
        <v>554</v>
      </c>
      <c r="D7" s="114">
        <f>'Output - Jobs vs Yr (BAU)'!X4/'Output - Jobs vs Yr (BAU)'!C4-1</f>
        <v>0.22931206242160251</v>
      </c>
      <c r="E7" s="92" t="s">
        <v>518</v>
      </c>
      <c r="F7" s="109"/>
      <c r="G7" s="109"/>
      <c r="H7" s="29" t="s">
        <v>0</v>
      </c>
      <c r="I7" s="29"/>
      <c r="J7" s="29"/>
      <c r="K7" s="29"/>
      <c r="L7" s="29"/>
      <c r="M7" s="7" t="s">
        <v>0</v>
      </c>
      <c r="N7" t="s">
        <v>0</v>
      </c>
      <c r="O7" t="s">
        <v>0</v>
      </c>
      <c r="P7" t="s">
        <v>0</v>
      </c>
    </row>
    <row r="8" spans="1:20" ht="15" thickBot="1">
      <c r="B8" s="1" t="s">
        <v>367</v>
      </c>
      <c r="C8" s="109"/>
      <c r="D8" s="104" t="s">
        <v>342</v>
      </c>
      <c r="E8" s="498" t="s">
        <v>717</v>
      </c>
      <c r="F8" s="109"/>
      <c r="G8" s="498" t="s">
        <v>718</v>
      </c>
      <c r="H8"/>
      <c r="I8"/>
      <c r="J8"/>
      <c r="K8"/>
      <c r="L8"/>
      <c r="M8" t="s">
        <v>0</v>
      </c>
      <c r="N8" t="s">
        <v>0</v>
      </c>
      <c r="O8" s="111" t="s">
        <v>0</v>
      </c>
      <c r="P8" s="31" t="s">
        <v>0</v>
      </c>
    </row>
    <row r="9" spans="1:20" ht="15.75" hidden="1" customHeight="1" thickBot="1">
      <c r="B9" s="43" t="s">
        <v>367</v>
      </c>
      <c r="C9" s="110"/>
      <c r="D9" s="114" t="e">
        <f>'Output - Jobs vs Yr (BAU)'!X6/'Output - Jobs vs Yr (BAU)'!C6-1</f>
        <v>#DIV/0!</v>
      </c>
      <c r="E9" s="109"/>
      <c r="F9" s="109"/>
      <c r="G9" s="109"/>
      <c r="H9"/>
      <c r="I9"/>
      <c r="J9"/>
      <c r="K9"/>
      <c r="L9"/>
      <c r="M9"/>
      <c r="O9" s="102"/>
    </row>
    <row r="10" spans="1:20" ht="15.75" hidden="1" customHeight="1" thickBot="1">
      <c r="B10" s="93" t="s">
        <v>351</v>
      </c>
      <c r="C10" s="110"/>
      <c r="D10" s="43"/>
      <c r="E10" s="109"/>
      <c r="F10" s="109"/>
      <c r="G10" s="109"/>
      <c r="H10"/>
      <c r="I10"/>
      <c r="J10"/>
      <c r="K10"/>
      <c r="L10"/>
      <c r="M10"/>
      <c r="O10" s="102"/>
    </row>
    <row r="11" spans="1:20" ht="15" thickBot="1">
      <c r="B11" t="s">
        <v>379</v>
      </c>
      <c r="C11" s="523">
        <v>0.1</v>
      </c>
      <c r="D11" s="125">
        <f>'Output - Jobs vs Yr (BAU)'!N18/'Output -Jobs vs Yr'!N14</f>
        <v>6.2297533266886862E-2</v>
      </c>
      <c r="E11" s="497">
        <f>(7.7/3)^(1/6)</f>
        <v>1.1701141873017888</v>
      </c>
      <c r="F11" s="109"/>
      <c r="G11" s="494">
        <f>(12.5/3)^(1/6)</f>
        <v>1.2685223586294079</v>
      </c>
      <c r="H11"/>
      <c r="I11"/>
      <c r="J11"/>
      <c r="K11"/>
      <c r="L11"/>
      <c r="M11" t="s">
        <v>0</v>
      </c>
      <c r="N11" t="s">
        <v>0</v>
      </c>
      <c r="O11" s="111" t="s">
        <v>0</v>
      </c>
      <c r="P11" s="31" t="s">
        <v>0</v>
      </c>
    </row>
    <row r="12" spans="1:20" ht="15" thickBot="1">
      <c r="B12" t="s">
        <v>380</v>
      </c>
      <c r="C12" s="209">
        <v>0.15</v>
      </c>
      <c r="D12" s="125">
        <f>'Output - Jobs vs Yr (BAU)'!X18/'Output -Jobs vs Yr'!X14</f>
        <v>9.7069153380981155E-2</v>
      </c>
      <c r="E12" s="497">
        <f>(D12/D11)^(1/10)</f>
        <v>1.0453483524948333</v>
      </c>
      <c r="F12" s="109"/>
      <c r="G12" s="495">
        <f>(C12/C11)^(1/10)</f>
        <v>1.0413797439924106</v>
      </c>
      <c r="H12"/>
      <c r="I12"/>
      <c r="J12"/>
      <c r="K12"/>
      <c r="L12"/>
      <c r="M12" t="s">
        <v>0</v>
      </c>
      <c r="N12" t="s">
        <v>0</v>
      </c>
      <c r="O12" s="111" t="s">
        <v>0</v>
      </c>
      <c r="P12" s="31" t="s">
        <v>0</v>
      </c>
    </row>
    <row r="13" spans="1:20" ht="15" thickBot="1">
      <c r="B13" t="s">
        <v>577</v>
      </c>
      <c r="C13" s="210">
        <v>0.21</v>
      </c>
      <c r="D13" s="172">
        <f>'Output - Jobs vs Yr (BAU)'!AH18/'Output -Jobs vs Yr'!AH14</f>
        <v>0.11719218961487241</v>
      </c>
      <c r="E13" s="497">
        <f>(D13/D12)^(1/10)</f>
        <v>1.0190177353455483</v>
      </c>
      <c r="F13" s="109"/>
      <c r="G13" s="496">
        <f>(C13/C12)^(1/10)</f>
        <v>1.0342196941293802</v>
      </c>
      <c r="H13"/>
      <c r="I13"/>
      <c r="J13"/>
      <c r="K13"/>
      <c r="L13"/>
      <c r="M13"/>
      <c r="O13" s="111"/>
      <c r="P13" s="31"/>
    </row>
    <row r="14" spans="1:20">
      <c r="B14" t="s">
        <v>578</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712</v>
      </c>
      <c r="O15" s="31" t="s">
        <v>712</v>
      </c>
      <c r="P15" s="31" t="s">
        <v>713</v>
      </c>
      <c r="Q15" t="s">
        <v>710</v>
      </c>
    </row>
    <row r="16" spans="1:20" ht="15" thickBot="1">
      <c r="B16" s="32" t="s">
        <v>362</v>
      </c>
      <c r="C16" s="106" t="s">
        <v>365</v>
      </c>
      <c r="D16" s="104" t="s">
        <v>534</v>
      </c>
      <c r="E16" s="104" t="s">
        <v>363</v>
      </c>
      <c r="F16" s="104" t="s">
        <v>358</v>
      </c>
      <c r="G16" s="104" t="s">
        <v>544</v>
      </c>
      <c r="H16" s="104" t="s">
        <v>363</v>
      </c>
      <c r="I16" s="104" t="s">
        <v>706</v>
      </c>
      <c r="J16" s="104" t="s">
        <v>705</v>
      </c>
      <c r="K16" s="104" t="s">
        <v>363</v>
      </c>
      <c r="L16" s="104"/>
      <c r="M16" s="44" t="s">
        <v>257</v>
      </c>
      <c r="N16" s="291">
        <v>2020</v>
      </c>
      <c r="O16" s="291">
        <v>2030</v>
      </c>
      <c r="P16" s="291">
        <v>2040</v>
      </c>
      <c r="Q16" s="198">
        <v>2031</v>
      </c>
    </row>
    <row r="17" spans="2:17" ht="15" thickBot="1">
      <c r="B17" t="s">
        <v>352</v>
      </c>
      <c r="C17" s="195">
        <f>D17*$C$11/$D$11</f>
        <v>4.4743768508883876E-2</v>
      </c>
      <c r="D17" s="126">
        <f>'Output - Jobs vs Yr (BAU)'!N10/'Output -Jobs vs Yr'!$N$14</f>
        <v>2.7874264071680779E-2</v>
      </c>
      <c r="E17" s="105">
        <f t="shared" ref="E17:E23" si="0">IF($C$24&lt;&gt;0,C17/$C$24,0)</f>
        <v>0.44743768508883885</v>
      </c>
      <c r="F17" s="172">
        <f>C17*$C$12/$C$11</f>
        <v>6.7115652763325803E-2</v>
      </c>
      <c r="G17" s="105">
        <f>'Output - Jobs vs Yr (BAU)'!X10/'Output - Jobs vs Yr (BAU)'!X24</f>
        <v>4.7626136185924685E-2</v>
      </c>
      <c r="H17" s="105">
        <f t="shared" ref="H17:H23" si="1">G17/$G$24</f>
        <v>0.5072730031344852</v>
      </c>
      <c r="I17" s="172">
        <f>F17*$C$13/$C$12</f>
        <v>9.3961913868656127E-2</v>
      </c>
      <c r="J17" s="105">
        <f>'Output - Jobs vs Yr (BAU)'!AH10/'Output - Jobs vs Yr (BAU)'!AH24</f>
        <v>4.9926040190164701E-2</v>
      </c>
      <c r="K17" s="105">
        <f>J17/$J$24</f>
        <v>0.44779777734014642</v>
      </c>
      <c r="L17" s="105"/>
      <c r="M17" s="45" t="s">
        <v>259</v>
      </c>
      <c r="N17" s="86">
        <f>HLOOKUP(N16,'Output -Jobs vs Yr'!$H$175:$AH$184,9)</f>
        <v>411.71470106816378</v>
      </c>
      <c r="O17" s="86">
        <f>HLOOKUP(O16,'Output -Jobs vs Yr'!$H$175:$AH$184,9)</f>
        <v>455.5605831640496</v>
      </c>
      <c r="P17" s="86">
        <f>HLOOKUP(P16,'Output -Jobs vs Yr'!$H$175:$AH$184,9)</f>
        <v>609.29464184272001</v>
      </c>
      <c r="Q17" s="86">
        <f>HLOOKUP(Q16,'Output -Jobs vs Yr'!$H$175:$AH$184,9)</f>
        <v>447.66018751227057</v>
      </c>
    </row>
    <row r="18" spans="2:17" ht="15" thickBot="1">
      <c r="B18" s="4" t="s">
        <v>353</v>
      </c>
      <c r="C18" s="195">
        <f>D18*$C$11/$D$11</f>
        <v>3.1393145380744933E-7</v>
      </c>
      <c r="D18" s="126">
        <f>'Output - Jobs vs Yr (BAU)'!N15/'Output -Jobs vs Yr'!$N$14</f>
        <v>1.955715518709173E-7</v>
      </c>
      <c r="E18" s="105">
        <f t="shared" si="0"/>
        <v>3.1393145380744942E-6</v>
      </c>
      <c r="F18" s="172">
        <f t="shared" ref="F18:F23" si="2">C18*$C$12/$C$11</f>
        <v>4.7089718071117395E-7</v>
      </c>
      <c r="G18" s="105">
        <f>'Output - Jobs vs Yr (BAU)'!X15/'Output - Jobs vs Yr (BAU)'!X24</f>
        <v>1.8084689602824047E-7</v>
      </c>
      <c r="H18" s="105">
        <f t="shared" si="1"/>
        <v>1.9262269712088842E-6</v>
      </c>
      <c r="I18" s="172">
        <f t="shared" ref="I18:I24" si="3">F18*$C$13/$C$12</f>
        <v>6.5925605299564352E-7</v>
      </c>
      <c r="J18" s="105">
        <f>'Output - Jobs vs Yr (BAU)'!AH15/'Output - Jobs vs Yr (BAU)'!AH24</f>
        <v>1.7008309865770611E-7</v>
      </c>
      <c r="K18" s="105">
        <f t="shared" ref="K18:K24" si="4">J18/$J$24</f>
        <v>1.5255132041705466E-6</v>
      </c>
      <c r="L18" s="105"/>
      <c r="M18" s="46" t="s">
        <v>260</v>
      </c>
      <c r="N18" s="87">
        <f>HLOOKUP(N16,'Output -Jobs vs Yr'!$H$175:$AH$184,10)</f>
        <v>370.54279755734842</v>
      </c>
      <c r="O18" s="87">
        <f>HLOOKUP(O16,'Output -Jobs vs Yr'!$H$175:$AH$184,10)</f>
        <v>410.00384485979703</v>
      </c>
      <c r="P18" s="87">
        <f>HLOOKUP(P16,'Output -Jobs vs Yr'!$H$175:$AH$184,10)</f>
        <v>548.36418201635206</v>
      </c>
      <c r="Q18" s="87">
        <f>HLOOKUP(Q16,'Output -Jobs vs Yr'!$H$175:$AH$184,10)</f>
        <v>402.89345876118659</v>
      </c>
    </row>
    <row r="19" spans="2:17" ht="15" thickBot="1">
      <c r="B19" s="4" t="s">
        <v>354</v>
      </c>
      <c r="C19" s="195">
        <f>D19*$C$11/$D$11</f>
        <v>3.1393145380744934E-13</v>
      </c>
      <c r="D19" s="126">
        <f>'Output - Jobs vs Yr (BAU)'!N11/'Output -Jobs vs Yr'!$N$14</f>
        <v>1.9557155187091731E-13</v>
      </c>
      <c r="E19" s="105">
        <f t="shared" si="0"/>
        <v>3.139314538074494E-12</v>
      </c>
      <c r="F19" s="172">
        <f t="shared" si="2"/>
        <v>4.7089718071117395E-13</v>
      </c>
      <c r="G19" s="105">
        <f>'Output - Jobs vs Yr (BAU)'!X11/'Output - Jobs vs Yr (BAU)'!X24</f>
        <v>1.8084689602824047E-13</v>
      </c>
      <c r="H19" s="105">
        <f t="shared" si="1"/>
        <v>1.9262269712088845E-12</v>
      </c>
      <c r="I19" s="172">
        <f t="shared" si="3"/>
        <v>6.5925605299564358E-13</v>
      </c>
      <c r="J19" s="105">
        <f>'Output - Jobs vs Yr (BAU)'!AH11/'Output - Jobs vs Yr (BAU)'!AH24</f>
        <v>1.7008309865770613E-13</v>
      </c>
      <c r="K19" s="105">
        <f t="shared" si="4"/>
        <v>1.5255132041705468E-12</v>
      </c>
      <c r="L19" s="105"/>
      <c r="M19" s="46" t="s">
        <v>261</v>
      </c>
      <c r="N19" s="87">
        <f>HLOOKUP(N16,'Output -Jobs vs Yr'!$H$175:$AH$184,8)</f>
        <v>782.25749862551129</v>
      </c>
      <c r="O19" s="87">
        <f>HLOOKUP(O16,'Output -Jobs vs Yr'!$H$175:$AH$184,8)</f>
        <v>865.56442802384845</v>
      </c>
      <c r="P19" s="87">
        <f>HLOOKUP(P16,'Output -Jobs vs Yr'!$H$175:$AH$184,8)</f>
        <v>1157.6588238590739</v>
      </c>
      <c r="Q19" s="87">
        <f>HLOOKUP(Q16,'Output -Jobs vs Yr'!$H$175:$AH$184,8)</f>
        <v>850.55364627345807</v>
      </c>
    </row>
    <row r="20" spans="2:17" ht="15" thickBot="1">
      <c r="B20" s="4" t="s">
        <v>51</v>
      </c>
      <c r="C20" s="195">
        <f>D20*$C$11/$D$11</f>
        <v>2.3132450058338555E-2</v>
      </c>
      <c r="D20" s="126">
        <f>'Output - Jobs vs Yr (BAU)'!N12/'Output -Jobs vs Yr'!$N$14</f>
        <v>1.4410945770539448E-2</v>
      </c>
      <c r="E20" s="105">
        <f t="shared" si="0"/>
        <v>0.23132450058338561</v>
      </c>
      <c r="F20" s="172">
        <f t="shared" si="2"/>
        <v>3.4698675087507826E-2</v>
      </c>
      <c r="G20" s="105">
        <f>'Output - Jobs vs Yr (BAU)'!X12/'Output - Jobs vs Yr (BAU)'!X24</f>
        <v>1.3462838250212808E-2</v>
      </c>
      <c r="H20" s="105">
        <f t="shared" si="1"/>
        <v>0.14339467647005122</v>
      </c>
      <c r="I20" s="172">
        <f t="shared" si="3"/>
        <v>4.8578145122510956E-2</v>
      </c>
      <c r="J20" s="105">
        <f>'Output - Jobs vs Yr (BAU)'!AH12/'Output - Jobs vs Yr (BAU)'!AH24</f>
        <v>1.2918954831061816E-2</v>
      </c>
      <c r="K20" s="105">
        <f t="shared" si="4"/>
        <v>0.11587298405546037</v>
      </c>
      <c r="L20" s="105"/>
      <c r="M20" s="47" t="s">
        <v>458</v>
      </c>
      <c r="N20" s="88">
        <f>HLOOKUP(N16,'Output -Jobs vs Yr'!$H$175:$AH$188,11)-HLOOKUP(N16,'Output -Jobs vs Yr'!$H$175:$AH$188,14)</f>
        <v>698.93855548521424</v>
      </c>
      <c r="O20" s="88">
        <f>HLOOKUP(O16,'Output -Jobs vs Yr'!$H$175:$AH$188,11)-HLOOKUP(O16,'Output -Jobs vs Yr'!$H$175:$AH$188,14)</f>
        <v>9616.4629864080525</v>
      </c>
      <c r="P20" s="88">
        <f>HLOOKUP(P16,'Output -Jobs vs Yr'!$H$175:$AH$188,11)-HLOOKUP(P16,'Output -Jobs vs Yr'!$H$175:$AH$188,14)</f>
        <v>19362.743436433386</v>
      </c>
      <c r="Q20" s="88">
        <f>HLOOKUP(Q16,'Output -Jobs vs Yr'!$H$175:$AH$188,11)-HLOOKUP(Q16,'Output -Jobs vs Yr'!$H$175:$AH$188,14)</f>
        <v>10467.016632681511</v>
      </c>
    </row>
    <row r="21" spans="2:17" ht="15" thickBot="1">
      <c r="B21" t="s">
        <v>355</v>
      </c>
      <c r="C21" s="195">
        <f t="shared" ref="C21:C23" si="5">D21*$C$11/$D$11</f>
        <v>3.2104313803035633E-2</v>
      </c>
      <c r="D21" s="126">
        <f>'Output - Jobs vs Yr (BAU)'!N13/'Output -Jobs vs Yr'!$N$14</f>
        <v>2.0000195571551874E-2</v>
      </c>
      <c r="E21" s="105">
        <f t="shared" si="0"/>
        <v>0.32104313803035639</v>
      </c>
      <c r="F21" s="172">
        <f t="shared" si="2"/>
        <v>4.8156470704553443E-2</v>
      </c>
      <c r="G21" s="105">
        <f>'Output - Jobs vs Yr (BAU)'!X13/'Output - Jobs vs Yr (BAU)'!X24</f>
        <v>3.2786301075917589E-2</v>
      </c>
      <c r="H21" s="105">
        <f t="shared" si="1"/>
        <v>0.34921172995275196</v>
      </c>
      <c r="I21" s="172">
        <f t="shared" si="3"/>
        <v>6.7419058986374819E-2</v>
      </c>
      <c r="J21" s="105">
        <f>'Output - Jobs vs Yr (BAU)'!AH13/'Output - Jobs vs Yr (BAU)'!AH24</f>
        <v>4.8636254468937171E-2</v>
      </c>
      <c r="K21" s="105">
        <f t="shared" si="4"/>
        <v>0.43622940185891756</v>
      </c>
      <c r="L21" s="105"/>
      <c r="N21" s="160"/>
    </row>
    <row r="22" spans="2:17" ht="15" thickBot="1">
      <c r="B22" s="4" t="s">
        <v>356</v>
      </c>
      <c r="C22" s="195">
        <f t="shared" si="5"/>
        <v>3.1393145380744933E-7</v>
      </c>
      <c r="D22" s="126">
        <f>'Output - Jobs vs Yr (BAU)'!N14/'Output -Jobs vs Yr'!$N$14</f>
        <v>1.955715518709173E-7</v>
      </c>
      <c r="E22" s="105">
        <f t="shared" si="0"/>
        <v>3.1393145380744942E-6</v>
      </c>
      <c r="F22" s="172">
        <f t="shared" si="2"/>
        <v>4.7089718071117395E-7</v>
      </c>
      <c r="G22" s="105">
        <f>'Output - Jobs vs Yr (BAU)'!X14/'Output - Jobs vs Yr (BAU)'!X24</f>
        <v>1.8084689602824047E-7</v>
      </c>
      <c r="H22" s="105">
        <f t="shared" si="1"/>
        <v>1.9262269712088842E-6</v>
      </c>
      <c r="I22" s="172">
        <f t="shared" si="3"/>
        <v>6.5925605299564352E-7</v>
      </c>
      <c r="J22" s="105">
        <f>'Output - Jobs vs Yr (BAU)'!AH14/'Output - Jobs vs Yr (BAU)'!AH24</f>
        <v>1.7008309865770611E-7</v>
      </c>
      <c r="K22" s="105">
        <f t="shared" si="4"/>
        <v>1.5255132041705466E-6</v>
      </c>
      <c r="L22" s="105"/>
      <c r="O22" t="s">
        <v>0</v>
      </c>
    </row>
    <row r="23" spans="2:17" ht="15" thickBot="1">
      <c r="B23" t="s">
        <v>357</v>
      </c>
      <c r="C23" s="195">
        <f t="shared" si="5"/>
        <v>1.8839766520373982E-5</v>
      </c>
      <c r="D23" s="126">
        <f>'Output - Jobs vs Yr (BAU)'!N16/'Output -Jobs vs Yr'!$N$14</f>
        <v>1.1736709815433794E-5</v>
      </c>
      <c r="E23" s="105">
        <f t="shared" si="0"/>
        <v>1.8839766520373986E-4</v>
      </c>
      <c r="F23" s="172">
        <f t="shared" si="2"/>
        <v>2.825964978056097E-5</v>
      </c>
      <c r="G23" s="105">
        <f>'Output - Jobs vs Yr (BAU)'!X16/'Output - Jobs vs Yr (BAU)'!X24</f>
        <v>1.0960132364817283E-5</v>
      </c>
      <c r="H23" s="105">
        <f t="shared" si="1"/>
        <v>1.1673798684293551E-4</v>
      </c>
      <c r="I23" s="172">
        <f t="shared" si="3"/>
        <v>3.9563509692785354E-5</v>
      </c>
      <c r="J23" s="105">
        <f>'Output - Jobs vs Yr (BAU)'!AH16/'Output - Jobs vs Yr (BAU)'!AH24</f>
        <v>1.079087004970222E-5</v>
      </c>
      <c r="K23" s="105">
        <f t="shared" si="4"/>
        <v>9.6785717541743392E-5</v>
      </c>
      <c r="L23" s="105"/>
      <c r="M23" s="44"/>
      <c r="N23" s="197"/>
      <c r="O23" t="s">
        <v>0</v>
      </c>
    </row>
    <row r="24" spans="2:17">
      <c r="B24" s="108" t="s">
        <v>369</v>
      </c>
      <c r="C24" s="137">
        <f t="shared" ref="C24:H24" si="6">SUM(C17:C23)</f>
        <v>9.9999999999999978E-2</v>
      </c>
      <c r="D24" s="205">
        <f t="shared" si="6"/>
        <v>6.2297533266886848E-2</v>
      </c>
      <c r="E24" s="200">
        <f t="shared" si="6"/>
        <v>1</v>
      </c>
      <c r="F24" s="200">
        <f t="shared" si="6"/>
        <v>0.14999999999999997</v>
      </c>
      <c r="G24" s="200">
        <f t="shared" si="6"/>
        <v>9.3886597338392802E-2</v>
      </c>
      <c r="H24" s="105">
        <f t="shared" si="6"/>
        <v>1</v>
      </c>
      <c r="I24" s="172">
        <f t="shared" si="3"/>
        <v>0.20999999999999996</v>
      </c>
      <c r="J24" s="105">
        <f>SUM(J17:J23)</f>
        <v>0.11149238052658079</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10%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372</v>
      </c>
      <c r="C27" s="107"/>
      <c r="D27" s="200" t="s">
        <v>342</v>
      </c>
      <c r="E27" s="107"/>
      <c r="F27" s="98"/>
      <c r="G27" s="134" t="s">
        <v>0</v>
      </c>
      <c r="H27" s="135" t="s">
        <v>0</v>
      </c>
      <c r="I27" s="135"/>
      <c r="J27" s="135"/>
      <c r="K27" s="135"/>
      <c r="L27" s="135"/>
      <c r="M27"/>
    </row>
    <row r="28" spans="2:17" ht="15" thickBot="1">
      <c r="B28" t="s">
        <v>370</v>
      </c>
      <c r="C28" s="208">
        <f>D28</f>
        <v>0.33672884693169863</v>
      </c>
      <c r="D28" s="105">
        <f>('Output - Jobs vs Yr (BAU)'!N8+'Output - Jobs vs Yr (BAU)'!N7)/'Output -Jobs vs Yr'!N14</f>
        <v>0.33672884693169863</v>
      </c>
      <c r="E28" s="136" t="s">
        <v>0</v>
      </c>
      <c r="F28" s="98"/>
      <c r="G28" s="98" t="s">
        <v>0</v>
      </c>
      <c r="H28" s="135" t="s">
        <v>0</v>
      </c>
      <c r="I28" s="135"/>
      <c r="J28" s="135"/>
      <c r="K28" s="135"/>
      <c r="L28" s="135"/>
      <c r="M28"/>
    </row>
    <row r="29" spans="2:17" ht="15" thickBot="1">
      <c r="B29" t="s">
        <v>371</v>
      </c>
      <c r="C29" s="278">
        <f>D29</f>
        <v>0.32619615488889775</v>
      </c>
      <c r="D29" s="105">
        <f>('Output - Jobs vs Yr (BAU)'!X8+'Output - Jobs vs Yr (BAU)'!X7)/'Output -Jobs vs Yr'!X14</f>
        <v>0.32619615488889775</v>
      </c>
      <c r="E29" s="107"/>
      <c r="F29" s="98"/>
      <c r="G29" s="96"/>
      <c r="H29"/>
      <c r="I29"/>
      <c r="J29"/>
      <c r="K29"/>
      <c r="L29"/>
    </row>
    <row r="30" spans="2:17" ht="15" thickBot="1">
      <c r="B30" t="s">
        <v>579</v>
      </c>
      <c r="C30" s="210">
        <f>D30</f>
        <v>0.31559745490452495</v>
      </c>
      <c r="D30" s="105">
        <f>('Output - Jobs vs Yr (BAU)'!AH8+'Output - Jobs vs Yr (BAU)'!AH7)/'Output -Jobs vs Yr'!AH14</f>
        <v>0.31559745490452495</v>
      </c>
      <c r="E30" s="107"/>
      <c r="F30" s="98"/>
      <c r="G30" s="96"/>
      <c r="H30"/>
      <c r="I30"/>
      <c r="J30"/>
      <c r="K30"/>
      <c r="L30"/>
    </row>
    <row r="31" spans="2:17">
      <c r="B31" t="s">
        <v>580</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373</v>
      </c>
      <c r="C33" s="107"/>
      <c r="D33" s="200" t="s">
        <v>342</v>
      </c>
      <c r="E33" s="200" t="s">
        <v>536</v>
      </c>
      <c r="F33" s="201" t="s">
        <v>358</v>
      </c>
      <c r="G33" s="202" t="s">
        <v>342</v>
      </c>
      <c r="H33" s="201" t="s">
        <v>706</v>
      </c>
      <c r="I33" s="202" t="s">
        <v>342</v>
      </c>
      <c r="J33" s="163"/>
      <c r="K33" s="163"/>
      <c r="L33" s="163"/>
      <c r="M33" s="7" t="s">
        <v>0</v>
      </c>
    </row>
    <row r="34" spans="1:18" ht="15" thickBot="1">
      <c r="B34" s="4" t="s">
        <v>366</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6.7643471432606433E-2</v>
      </c>
      <c r="D35" s="105">
        <f>'Output - Jobs vs Yr (BAU)'!N7/'Output -Jobs vs Yr'!N14</f>
        <v>6.7643471432606433E-2</v>
      </c>
      <c r="E35" s="203">
        <f>C35</f>
        <v>6.7643471432606433E-2</v>
      </c>
      <c r="F35" s="200">
        <f>C35*$C$29/$C$28</f>
        <v>6.5527621068737371E-2</v>
      </c>
      <c r="G35" s="204">
        <f>'Output - Jobs vs Yr (BAU)'!X7/'Output - Jobs vs Yr (BAU)'!X24</f>
        <v>6.6675486786448371E-2</v>
      </c>
      <c r="H35" s="200">
        <f>F35*$C$30/$C$29</f>
        <v>6.339851075891853E-2</v>
      </c>
      <c r="I35" s="204">
        <f>'Output - Jobs vs Yr (BAU)'!AH7/'Output - Jobs vs Yr (BAU)'!AH24</f>
        <v>6.623190478062467E-2</v>
      </c>
      <c r="J35"/>
      <c r="K35"/>
      <c r="L35"/>
    </row>
    <row r="36" spans="1:18" ht="15" thickBot="1">
      <c r="B36" s="4" t="s">
        <v>364</v>
      </c>
      <c r="C36" s="209">
        <f>D36</f>
        <v>0.26908537549909223</v>
      </c>
      <c r="D36" s="105">
        <f>'Output - Jobs vs Yr (BAU)'!N8/'Output -Jobs vs Yr'!N14</f>
        <v>0.26908537549909223</v>
      </c>
      <c r="E36" s="203">
        <f>C36</f>
        <v>0.26908537549909223</v>
      </c>
      <c r="F36" s="200">
        <f>C36*$C$29/$C$28</f>
        <v>0.26066853382016036</v>
      </c>
      <c r="G36" s="204">
        <f>'Output - Jobs vs Yr (BAU)'!X8/'Output - Jobs vs Yr (BAU)'!X24</f>
        <v>0.24882584376689323</v>
      </c>
      <c r="H36" s="200">
        <f>F36*$C$30/$C$29</f>
        <v>0.2521989441456064</v>
      </c>
      <c r="I36" s="204">
        <f>'Output - Jobs vs Yr (BAU)'!AH8/'Output - Jobs vs Yr (BAU)'!AH24</f>
        <v>0.23401601831962185</v>
      </c>
      <c r="J36"/>
      <c r="K36"/>
      <c r="L36"/>
    </row>
    <row r="37" spans="1:18">
      <c r="B37" s="4" t="s">
        <v>368</v>
      </c>
      <c r="C37" s="138">
        <f>SUM(C35:C36)+'Output -Jobs vs Yr'!N30/'Output -Jobs vs Yr'!N49</f>
        <v>0.33672884693169869</v>
      </c>
      <c r="D37" s="105">
        <f>SUM(D34:D36)</f>
        <v>0.33672884693169869</v>
      </c>
      <c r="E37" s="203">
        <f>SUM(E34:E36)</f>
        <v>0.33672884693169869</v>
      </c>
      <c r="F37" s="203">
        <f>SUM(F34:F36)</f>
        <v>0.32619615488889775</v>
      </c>
      <c r="G37" s="203">
        <f>SUM(G34:G36)</f>
        <v>0.31550133055334162</v>
      </c>
      <c r="H37" s="200">
        <f>C37*$C$30/$C$28</f>
        <v>0.31559745490452501</v>
      </c>
      <c r="I37" s="203">
        <f>SUM(I34:I36)</f>
        <v>0.30024792310024651</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33,7%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375</v>
      </c>
      <c r="C40" s="105">
        <f>C24</f>
        <v>9.9999999999999978E-2</v>
      </c>
      <c r="D40" s="105" t="s">
        <v>0</v>
      </c>
      <c r="E40" s="105" t="s">
        <v>0</v>
      </c>
      <c r="F40" s="105" t="s">
        <v>0</v>
      </c>
      <c r="G40" s="103" t="s">
        <v>0</v>
      </c>
      <c r="H40"/>
      <c r="I40"/>
      <c r="J40"/>
      <c r="K40"/>
      <c r="L40"/>
    </row>
    <row r="41" spans="1:18">
      <c r="B41" s="4" t="s">
        <v>374</v>
      </c>
      <c r="C41" s="105">
        <f>C24+C37</f>
        <v>0.43672884693169867</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522</v>
      </c>
      <c r="F44" s="28"/>
      <c r="G44" s="1"/>
      <c r="H44" s="49">
        <v>9</v>
      </c>
      <c r="I44" s="277"/>
      <c r="J44" s="277"/>
      <c r="K44" s="277"/>
      <c r="L44"/>
      <c r="M44" s="12">
        <f t="shared" ref="M44:M61" si="7">C44+H44*C44</f>
        <v>0.37999999999999995</v>
      </c>
      <c r="N44" s="28" t="s">
        <v>522</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522</v>
      </c>
    </row>
    <row r="46" spans="1:18" s="1" customFormat="1" ht="15" thickBot="1">
      <c r="A46"/>
      <c r="B46" s="4" t="s">
        <v>121</v>
      </c>
      <c r="C46" s="84">
        <v>0.21</v>
      </c>
      <c r="D46" s="4" t="s">
        <v>0</v>
      </c>
      <c r="E46" s="28" t="s">
        <v>523</v>
      </c>
      <c r="F46" s="28"/>
      <c r="H46" s="49">
        <v>0.9</v>
      </c>
      <c r="I46" s="277"/>
      <c r="J46" s="277"/>
      <c r="K46" s="277"/>
      <c r="L46"/>
      <c r="M46" s="12">
        <f t="shared" si="7"/>
        <v>0.39900000000000002</v>
      </c>
      <c r="N46" s="28" t="s">
        <v>523</v>
      </c>
      <c r="O46"/>
      <c r="P46"/>
      <c r="Q46"/>
      <c r="R46"/>
    </row>
    <row r="47" spans="1:18" s="1" customFormat="1" ht="15" thickBot="1">
      <c r="A47"/>
      <c r="B47" s="4" t="s">
        <v>118</v>
      </c>
      <c r="C47" s="42">
        <v>0.18</v>
      </c>
      <c r="D47" s="4"/>
      <c r="E47" s="28" t="s">
        <v>523</v>
      </c>
      <c r="F47" s="28"/>
      <c r="H47" s="49">
        <v>0.9</v>
      </c>
      <c r="I47" s="277"/>
      <c r="J47" s="277"/>
      <c r="K47" s="277"/>
      <c r="L47"/>
      <c r="M47" s="12">
        <f t="shared" si="7"/>
        <v>0.34199999999999997</v>
      </c>
      <c r="N47" s="28" t="s">
        <v>523</v>
      </c>
      <c r="O47"/>
      <c r="P47"/>
      <c r="Q47"/>
    </row>
    <row r="48" spans="1:18" ht="15" thickBot="1">
      <c r="B48" s="4" t="s">
        <v>49</v>
      </c>
      <c r="C48" s="42">
        <v>0.15</v>
      </c>
      <c r="D48" s="4"/>
      <c r="E48" s="28" t="s">
        <v>523</v>
      </c>
      <c r="F48" s="28"/>
      <c r="G48" s="1"/>
      <c r="H48" s="49">
        <v>0.9</v>
      </c>
      <c r="I48" s="277"/>
      <c r="J48" s="277"/>
      <c r="K48" s="277"/>
      <c r="L48"/>
      <c r="M48" s="12">
        <f t="shared" si="7"/>
        <v>0.28500000000000003</v>
      </c>
      <c r="N48" s="28" t="s">
        <v>523</v>
      </c>
    </row>
    <row r="49" spans="1:17" s="1" customFormat="1" ht="15" thickBot="1">
      <c r="A49"/>
      <c r="B49" s="4" t="s">
        <v>50</v>
      </c>
      <c r="C49" s="42">
        <v>0.25</v>
      </c>
      <c r="D49" s="4" t="s">
        <v>0</v>
      </c>
      <c r="E49" s="28" t="s">
        <v>523</v>
      </c>
      <c r="F49" s="28"/>
      <c r="H49" s="49">
        <v>0.9</v>
      </c>
      <c r="I49" s="277"/>
      <c r="J49" s="277"/>
      <c r="K49" s="277"/>
      <c r="L49"/>
      <c r="M49" s="12">
        <f t="shared" si="7"/>
        <v>0.47499999999999998</v>
      </c>
      <c r="N49" s="28" t="s">
        <v>523</v>
      </c>
      <c r="O49" t="s">
        <v>0</v>
      </c>
      <c r="P49"/>
      <c r="Q49"/>
    </row>
    <row r="50" spans="1:17" s="1" customFormat="1" ht="15.75" hidden="1" customHeight="1" thickBot="1">
      <c r="A50"/>
      <c r="B50" s="4" t="s">
        <v>119</v>
      </c>
      <c r="C50" s="42">
        <v>0.11</v>
      </c>
      <c r="D50" s="4"/>
      <c r="E50" s="28" t="s">
        <v>523</v>
      </c>
      <c r="F50" s="28"/>
      <c r="G50" s="110"/>
      <c r="H50" s="49">
        <v>0.8</v>
      </c>
      <c r="I50" s="277"/>
      <c r="J50" s="277"/>
      <c r="K50" s="277"/>
      <c r="L50"/>
      <c r="M50" s="12">
        <f t="shared" si="7"/>
        <v>0.19800000000000001</v>
      </c>
      <c r="N50" s="28" t="s">
        <v>523</v>
      </c>
      <c r="O50" t="s">
        <v>0</v>
      </c>
      <c r="P50"/>
      <c r="Q50"/>
    </row>
    <row r="51" spans="1:17" s="1" customFormat="1" ht="15" thickBot="1">
      <c r="A51"/>
      <c r="B51" s="4" t="s">
        <v>343</v>
      </c>
      <c r="C51" s="42">
        <v>0.27</v>
      </c>
      <c r="D51" s="4"/>
      <c r="E51" s="28" t="s">
        <v>523</v>
      </c>
      <c r="F51" s="28"/>
      <c r="G51" s="110"/>
      <c r="H51" s="49">
        <v>0.9</v>
      </c>
      <c r="I51" s="277"/>
      <c r="J51" s="277"/>
      <c r="K51" s="277"/>
      <c r="L51"/>
      <c r="M51" s="12">
        <f t="shared" si="7"/>
        <v>0.51300000000000001</v>
      </c>
      <c r="N51" s="28" t="s">
        <v>523</v>
      </c>
      <c r="O51" t="s">
        <v>0</v>
      </c>
      <c r="P51"/>
      <c r="Q51"/>
    </row>
    <row r="52" spans="1:17" s="1" customFormat="1" ht="15" thickBot="1">
      <c r="A52"/>
      <c r="B52" s="4" t="s">
        <v>51</v>
      </c>
      <c r="C52" s="42">
        <v>0.15</v>
      </c>
      <c r="D52" s="4"/>
      <c r="E52" s="28" t="s">
        <v>523</v>
      </c>
      <c r="F52" s="28"/>
      <c r="G52" s="110"/>
      <c r="H52" s="49">
        <v>0.9</v>
      </c>
      <c r="I52" s="277"/>
      <c r="J52" s="277"/>
      <c r="K52" s="277"/>
      <c r="L52"/>
      <c r="M52" s="12">
        <f t="shared" si="7"/>
        <v>0.28500000000000003</v>
      </c>
      <c r="N52" s="28" t="s">
        <v>523</v>
      </c>
      <c r="O52" t="s">
        <v>0</v>
      </c>
      <c r="P52"/>
      <c r="Q52"/>
    </row>
    <row r="53" spans="1:17" ht="15" thickBot="1">
      <c r="B53" s="4" t="s">
        <v>59</v>
      </c>
      <c r="C53" s="42">
        <v>0.14000000000000001</v>
      </c>
      <c r="D53" s="4"/>
      <c r="E53" s="28" t="s">
        <v>523</v>
      </c>
      <c r="F53" s="28"/>
      <c r="G53" s="110"/>
      <c r="H53" s="49">
        <v>0.9</v>
      </c>
      <c r="I53" s="277"/>
      <c r="J53" s="277"/>
      <c r="K53" s="277"/>
      <c r="L53"/>
      <c r="M53" s="161">
        <f t="shared" si="7"/>
        <v>0.26600000000000001</v>
      </c>
      <c r="N53" s="28" t="s">
        <v>523</v>
      </c>
    </row>
    <row r="54" spans="1:17" ht="15" thickBot="1">
      <c r="B54" s="4" t="s">
        <v>347</v>
      </c>
      <c r="C54" s="84">
        <v>0.79</v>
      </c>
      <c r="D54" s="4" t="s">
        <v>0</v>
      </c>
      <c r="E54" s="28" t="s">
        <v>523</v>
      </c>
      <c r="F54" s="28"/>
      <c r="G54" s="110"/>
      <c r="H54" s="49">
        <v>0.9</v>
      </c>
      <c r="I54" s="277"/>
      <c r="J54" s="277"/>
      <c r="K54" s="277"/>
      <c r="L54"/>
      <c r="M54" s="12">
        <f t="shared" si="7"/>
        <v>1.5010000000000001</v>
      </c>
      <c r="N54" s="28" t="s">
        <v>523</v>
      </c>
    </row>
    <row r="55" spans="1:17" ht="15" thickBot="1">
      <c r="B55" s="4" t="s">
        <v>348</v>
      </c>
      <c r="C55" s="84">
        <v>0.23</v>
      </c>
      <c r="D55" s="4"/>
      <c r="E55" s="28" t="s">
        <v>523</v>
      </c>
      <c r="F55" s="28"/>
      <c r="G55" s="110"/>
      <c r="H55" s="49">
        <v>0.9</v>
      </c>
      <c r="I55" s="277"/>
      <c r="J55" s="277"/>
      <c r="K55" s="277"/>
      <c r="L55"/>
      <c r="M55" s="12">
        <f t="shared" si="7"/>
        <v>0.43700000000000006</v>
      </c>
      <c r="N55" s="28" t="s">
        <v>523</v>
      </c>
    </row>
    <row r="56" spans="1:17" ht="15.75" hidden="1" customHeight="1" thickBot="1">
      <c r="B56" s="4" t="s">
        <v>120</v>
      </c>
      <c r="C56" s="42">
        <v>0.11</v>
      </c>
      <c r="D56" s="4"/>
      <c r="E56" s="28" t="s">
        <v>523</v>
      </c>
      <c r="F56" s="28"/>
      <c r="G56" s="110"/>
      <c r="H56" s="49">
        <v>0.8</v>
      </c>
      <c r="I56" s="277"/>
      <c r="J56" s="277"/>
      <c r="K56" s="277"/>
      <c r="L56"/>
      <c r="M56" s="12">
        <f t="shared" si="7"/>
        <v>0.19800000000000001</v>
      </c>
      <c r="N56" s="28"/>
    </row>
    <row r="57" spans="1:17" ht="15" thickBot="1">
      <c r="B57" s="4" t="s">
        <v>53</v>
      </c>
      <c r="C57" s="84">
        <v>0.17</v>
      </c>
      <c r="D57" s="4" t="s">
        <v>0</v>
      </c>
      <c r="E57" s="28" t="s">
        <v>523</v>
      </c>
      <c r="F57" s="28"/>
      <c r="G57" s="110"/>
      <c r="H57" s="49">
        <v>0.9</v>
      </c>
      <c r="I57" s="277"/>
      <c r="J57" s="277"/>
      <c r="K57" s="277"/>
      <c r="L57"/>
      <c r="M57" s="12">
        <f t="shared" si="7"/>
        <v>0.32300000000000006</v>
      </c>
      <c r="N57" s="28" t="s">
        <v>523</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523</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523</v>
      </c>
      <c r="F60" s="28"/>
      <c r="G60" s="110"/>
      <c r="H60" s="49">
        <v>0.9</v>
      </c>
      <c r="I60" s="277"/>
      <c r="J60" s="277"/>
      <c r="K60" s="277"/>
      <c r="L60"/>
      <c r="M60" s="161">
        <f t="shared" si="7"/>
        <v>0.20900000000000002</v>
      </c>
      <c r="N60" s="28" t="s">
        <v>523</v>
      </c>
    </row>
    <row r="61" spans="1:17" ht="15" thickBot="1">
      <c r="B61" s="4" t="s">
        <v>76</v>
      </c>
      <c r="C61" s="42">
        <v>0.11</v>
      </c>
      <c r="D61" s="4"/>
      <c r="E61" s="28" t="s">
        <v>523</v>
      </c>
      <c r="F61" s="28"/>
      <c r="G61" s="110"/>
      <c r="H61" s="49">
        <v>0.9</v>
      </c>
      <c r="I61" s="277"/>
      <c r="J61" s="277"/>
      <c r="K61" s="277"/>
      <c r="L61"/>
      <c r="M61" s="12">
        <f t="shared" si="7"/>
        <v>0.20900000000000002</v>
      </c>
      <c r="N61" s="28" t="s">
        <v>523</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704</v>
      </c>
    </row>
    <row r="2" spans="1:37">
      <c r="A2" s="272" t="s">
        <v>656</v>
      </c>
    </row>
    <row r="3" spans="1:37">
      <c r="A3" s="272" t="s">
        <v>657</v>
      </c>
    </row>
    <row r="5" spans="1:37">
      <c r="A5" s="6" t="s">
        <v>185</v>
      </c>
    </row>
    <row r="6" spans="1:37">
      <c r="A6" s="6" t="s">
        <v>184</v>
      </c>
    </row>
    <row r="9" spans="1:37">
      <c r="AK9" s="300" t="s">
        <v>714</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581</v>
      </c>
      <c r="AB10" s="300" t="s">
        <v>582</v>
      </c>
      <c r="AC10" s="300" t="s">
        <v>583</v>
      </c>
      <c r="AD10" s="300" t="s">
        <v>584</v>
      </c>
      <c r="AE10" s="300" t="s">
        <v>585</v>
      </c>
      <c r="AF10" s="300" t="s">
        <v>586</v>
      </c>
      <c r="AG10" s="300" t="s">
        <v>587</v>
      </c>
      <c r="AH10" s="300" t="s">
        <v>588</v>
      </c>
      <c r="AI10" s="300" t="s">
        <v>589</v>
      </c>
      <c r="AJ10" s="300" t="s">
        <v>590</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690</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691</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692</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694</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693</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695</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696</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697</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698</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699</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700</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701</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702</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703</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594</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72" t="s">
        <v>595</v>
      </c>
      <c r="B78" s="572"/>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298"/>
      <c r="AH78" s="298"/>
      <c r="AI78" s="298"/>
      <c r="AJ78" s="298"/>
      <c r="AK78" s="298"/>
    </row>
    <row r="79" spans="1:37" customFormat="1" ht="15" customHeight="1">
      <c r="A79" s="573" t="s">
        <v>596</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297"/>
      <c r="AH79" s="297"/>
      <c r="AI79" s="297"/>
      <c r="AJ79" s="297"/>
      <c r="AK79" s="297"/>
    </row>
    <row r="80" spans="1:37" customFormat="1" ht="15" customHeight="1">
      <c r="A80" s="573" t="s">
        <v>597</v>
      </c>
      <c r="B80" s="573"/>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297"/>
      <c r="AH80" s="297"/>
      <c r="AI80" s="297"/>
      <c r="AJ80" s="297"/>
      <c r="AK80" s="297"/>
    </row>
    <row r="81" spans="1:37" customFormat="1" ht="15" customHeight="1">
      <c r="A81" s="573" t="s">
        <v>598</v>
      </c>
      <c r="B81" s="573"/>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297"/>
      <c r="AH81" s="297"/>
      <c r="AI81" s="297"/>
      <c r="AJ81" s="297"/>
      <c r="AK81" s="297"/>
    </row>
    <row r="82" spans="1:37" customFormat="1" ht="15" customHeight="1">
      <c r="A82" s="573" t="s">
        <v>599</v>
      </c>
      <c r="B82" s="573"/>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297"/>
      <c r="AH82" s="297"/>
      <c r="AI82" s="297"/>
      <c r="AJ82" s="297"/>
      <c r="AK82" s="297"/>
    </row>
    <row r="83" spans="1:37" customFormat="1" ht="15" customHeight="1">
      <c r="A83" s="573" t="s">
        <v>600</v>
      </c>
      <c r="B83" s="573"/>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297"/>
      <c r="AH83" s="297"/>
      <c r="AI83" s="297"/>
      <c r="AJ83" s="297"/>
      <c r="AK83" s="297"/>
    </row>
    <row r="84" spans="1:37" customFormat="1" ht="15" customHeight="1">
      <c r="A84" s="573" t="s">
        <v>601</v>
      </c>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297"/>
      <c r="AH84" s="297"/>
      <c r="AI84" s="297"/>
      <c r="AJ84" s="297"/>
      <c r="AK84" s="297"/>
    </row>
    <row r="85" spans="1:37" customFormat="1" ht="15" customHeight="1">
      <c r="A85" s="573" t="s">
        <v>602</v>
      </c>
      <c r="B85" s="573"/>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297"/>
      <c r="AH85" s="297"/>
      <c r="AI85" s="297"/>
      <c r="AJ85" s="297"/>
      <c r="AK85" s="297"/>
    </row>
    <row r="86" spans="1:37" customFormat="1" ht="15" customHeight="1">
      <c r="A86" s="573" t="s">
        <v>603</v>
      </c>
      <c r="B86" s="573"/>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297"/>
      <c r="AH86" s="297"/>
      <c r="AI86" s="297"/>
      <c r="AJ86" s="297"/>
      <c r="AK86" s="297"/>
    </row>
    <row r="87" spans="1:37" customFormat="1" ht="15" customHeight="1">
      <c r="A87" s="573" t="s">
        <v>604</v>
      </c>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297"/>
      <c r="AH87" s="297"/>
      <c r="AI87" s="297"/>
      <c r="AJ87" s="297"/>
      <c r="AK87" s="297"/>
    </row>
    <row r="88" spans="1:37" customFormat="1" ht="15" customHeight="1">
      <c r="A88" s="573" t="s">
        <v>605</v>
      </c>
      <c r="B88" s="573"/>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297"/>
      <c r="AH88" s="297"/>
      <c r="AI88" s="297"/>
      <c r="AJ88" s="297"/>
      <c r="AK88" s="297"/>
    </row>
    <row r="89" spans="1:37" customFormat="1" ht="15" customHeight="1">
      <c r="A89" s="573" t="s">
        <v>606</v>
      </c>
      <c r="B89" s="573"/>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297"/>
      <c r="AH89" s="297"/>
      <c r="AI89" s="297"/>
      <c r="AJ89" s="297"/>
      <c r="AK89" s="297"/>
    </row>
    <row r="90" spans="1:37" customFormat="1" ht="15" customHeight="1">
      <c r="A90" s="573" t="s">
        <v>607</v>
      </c>
      <c r="B90" s="573"/>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297"/>
      <c r="AH90" s="297"/>
      <c r="AI90" s="297"/>
      <c r="AJ90" s="297"/>
      <c r="AK90" s="297"/>
    </row>
    <row r="91" spans="1:37" customFormat="1" ht="15" customHeight="1">
      <c r="A91" s="573" t="s">
        <v>608</v>
      </c>
      <c r="B91" s="573"/>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297"/>
      <c r="AH91" s="297"/>
      <c r="AI91" s="297"/>
      <c r="AJ91" s="297"/>
      <c r="AK91" s="297"/>
    </row>
    <row r="92" spans="1:37" customFormat="1" ht="15" customHeight="1">
      <c r="A92" s="573" t="s">
        <v>609</v>
      </c>
      <c r="B92" s="573"/>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297"/>
      <c r="AH92" s="297"/>
      <c r="AI92" s="297"/>
      <c r="AJ92" s="297"/>
      <c r="AK92" s="297"/>
    </row>
    <row r="93" spans="1:37" customFormat="1" ht="15" customHeight="1">
      <c r="A93" s="573" t="s">
        <v>610</v>
      </c>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297"/>
      <c r="AH93" s="297"/>
      <c r="AI93" s="297"/>
      <c r="AJ93" s="297"/>
      <c r="AK93" s="297"/>
    </row>
    <row r="94" spans="1:37" customFormat="1" ht="15" customHeight="1">
      <c r="A94" s="573" t="s">
        <v>611</v>
      </c>
      <c r="B94" s="573"/>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297"/>
      <c r="AH94" s="297"/>
      <c r="AI94" s="297"/>
      <c r="AJ94" s="297"/>
      <c r="AK94" s="297"/>
    </row>
    <row r="95" spans="1:37" customFormat="1" ht="15" customHeight="1">
      <c r="A95" s="573" t="s">
        <v>612</v>
      </c>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297"/>
      <c r="AH95" s="297"/>
      <c r="AI95" s="297"/>
      <c r="AJ95" s="297"/>
      <c r="AK95" s="297"/>
    </row>
    <row r="96" spans="1:37" customFormat="1" ht="15" customHeight="1">
      <c r="A96" s="573" t="s">
        <v>613</v>
      </c>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297"/>
      <c r="AH96" s="297"/>
      <c r="AI96" s="297"/>
      <c r="AJ96" s="297"/>
      <c r="AK96" s="297"/>
    </row>
    <row r="97" spans="1:37" customFormat="1" ht="15" customHeight="1">
      <c r="A97" s="573" t="s">
        <v>614</v>
      </c>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297"/>
      <c r="AH97" s="297"/>
      <c r="AI97" s="297"/>
      <c r="AJ97" s="297"/>
      <c r="AK97" s="297"/>
    </row>
    <row r="98" spans="1:37" customFormat="1" ht="15" customHeight="1">
      <c r="A98" s="573" t="s">
        <v>615</v>
      </c>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297"/>
      <c r="AH98" s="297"/>
      <c r="AI98" s="297"/>
      <c r="AJ98" s="297"/>
      <c r="AK98" s="297"/>
    </row>
    <row r="99" spans="1:37" customFormat="1" ht="15" customHeight="1">
      <c r="A99" s="573" t="s">
        <v>616</v>
      </c>
      <c r="B99" s="573"/>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297"/>
      <c r="AH99" s="297"/>
      <c r="AI99" s="297"/>
      <c r="AJ99" s="297"/>
      <c r="AK99" s="297"/>
    </row>
    <row r="100" spans="1:37" customFormat="1" ht="15" customHeight="1">
      <c r="A100" s="573" t="s">
        <v>617</v>
      </c>
      <c r="B100" s="573"/>
      <c r="C100" s="573"/>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c r="AG100" s="297"/>
      <c r="AH100" s="297"/>
      <c r="AI100" s="297"/>
      <c r="AJ100" s="297"/>
      <c r="AK100" s="297"/>
    </row>
    <row r="101" spans="1:37" customFormat="1" ht="15" customHeight="1">
      <c r="A101" s="573" t="s">
        <v>618</v>
      </c>
      <c r="B101" s="573"/>
      <c r="C101" s="573"/>
      <c r="D101" s="573"/>
      <c r="E101" s="573"/>
      <c r="F101" s="573"/>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297"/>
      <c r="AH101" s="297"/>
      <c r="AI101" s="297"/>
      <c r="AJ101" s="297"/>
      <c r="AK101" s="297"/>
    </row>
    <row r="102" spans="1:37" customFormat="1" ht="15" customHeight="1">
      <c r="A102" s="573" t="s">
        <v>619</v>
      </c>
      <c r="B102" s="573"/>
      <c r="C102" s="573"/>
      <c r="D102" s="573"/>
      <c r="E102" s="573"/>
      <c r="F102" s="573"/>
      <c r="G102" s="573"/>
      <c r="H102" s="573"/>
      <c r="I102" s="573"/>
      <c r="J102" s="573"/>
      <c r="K102" s="573"/>
      <c r="L102" s="573"/>
      <c r="M102" s="573"/>
      <c r="N102" s="573"/>
      <c r="O102" s="573"/>
      <c r="P102" s="573"/>
      <c r="Q102" s="573"/>
      <c r="R102" s="573"/>
      <c r="S102" s="573"/>
      <c r="T102" s="573"/>
      <c r="U102" s="573"/>
      <c r="V102" s="573"/>
      <c r="W102" s="573"/>
      <c r="X102" s="573"/>
      <c r="Y102" s="573"/>
      <c r="Z102" s="573"/>
      <c r="AA102" s="573"/>
      <c r="AB102" s="573"/>
      <c r="AC102" s="573"/>
      <c r="AD102" s="573"/>
      <c r="AE102" s="573"/>
      <c r="AF102" s="573"/>
      <c r="AG102" s="297"/>
      <c r="AH102" s="297"/>
      <c r="AI102" s="297"/>
      <c r="AJ102" s="297"/>
      <c r="AK102" s="297"/>
    </row>
    <row r="103" spans="1:37" customFormat="1" ht="15" customHeight="1">
      <c r="A103" s="573" t="s">
        <v>620</v>
      </c>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297"/>
      <c r="AH103" s="297"/>
      <c r="AI103" s="297"/>
      <c r="AJ103" s="297"/>
      <c r="AK103" s="297"/>
    </row>
    <row r="104" spans="1:37" customFormat="1" ht="15" customHeight="1">
      <c r="A104" s="573" t="s">
        <v>621</v>
      </c>
      <c r="B104" s="573"/>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297"/>
      <c r="AH104" s="297"/>
      <c r="AI104" s="297"/>
      <c r="AJ104" s="297"/>
      <c r="AK104" s="297"/>
    </row>
    <row r="105" spans="1:37" customFormat="1" ht="15" customHeight="1">
      <c r="A105" s="573" t="s">
        <v>622</v>
      </c>
      <c r="B105" s="573"/>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297"/>
      <c r="AH105" s="297"/>
      <c r="AI105" s="297"/>
      <c r="AJ105" s="297"/>
      <c r="AK105" s="297"/>
    </row>
    <row r="106" spans="1:37" customFormat="1" ht="15" customHeight="1">
      <c r="A106" s="573" t="s">
        <v>623</v>
      </c>
      <c r="B106" s="573"/>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297"/>
      <c r="AH106" s="297"/>
      <c r="AI106" s="297"/>
      <c r="AJ106" s="297"/>
      <c r="AK106" s="297"/>
    </row>
    <row r="107" spans="1:37" customFormat="1" ht="15" customHeight="1">
      <c r="A107" s="573" t="s">
        <v>624</v>
      </c>
      <c r="B107" s="573"/>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297"/>
      <c r="AH107" s="297"/>
      <c r="AI107" s="297"/>
      <c r="AJ107" s="297"/>
      <c r="AK107" s="297"/>
    </row>
    <row r="108" spans="1:37" customFormat="1" ht="15" customHeight="1">
      <c r="A108" s="573" t="s">
        <v>625</v>
      </c>
      <c r="B108" s="573"/>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297"/>
      <c r="AH108" s="297"/>
      <c r="AI108" s="297"/>
      <c r="AJ108" s="297"/>
      <c r="AK108" s="297"/>
    </row>
    <row r="109" spans="1:37" customFormat="1" ht="15" customHeight="1">
      <c r="A109" s="573" t="s">
        <v>626</v>
      </c>
      <c r="B109" s="573"/>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297"/>
      <c r="AH109" s="297"/>
      <c r="AI109" s="297"/>
      <c r="AJ109" s="297"/>
      <c r="AK109" s="297"/>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528</v>
      </c>
    </row>
    <row r="4" spans="1:2">
      <c r="A4" t="s">
        <v>551</v>
      </c>
    </row>
    <row r="5" spans="1:2">
      <c r="B5" t="s">
        <v>527</v>
      </c>
    </row>
    <row r="7" spans="1:2">
      <c r="A7" t="s">
        <v>715</v>
      </c>
    </row>
    <row r="9" spans="1:2">
      <c r="A9" t="s">
        <v>526</v>
      </c>
    </row>
    <row r="10" spans="1:2">
      <c r="B10" t="s">
        <v>520</v>
      </c>
    </row>
    <row r="12" spans="1:2">
      <c r="A12" t="s">
        <v>709</v>
      </c>
    </row>
    <row r="14" spans="1:2">
      <c r="A14" t="s">
        <v>519</v>
      </c>
    </row>
    <row r="15" spans="1:2">
      <c r="B15" t="s">
        <v>521</v>
      </c>
    </row>
    <row r="17" spans="1:1">
      <c r="A17" t="s">
        <v>524</v>
      </c>
    </row>
    <row r="19" spans="1:1">
      <c r="A19" t="s">
        <v>525</v>
      </c>
    </row>
    <row r="21" spans="1:1">
      <c r="A21" t="s">
        <v>550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32"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9"/>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row>
    <row r="2" spans="1:38" hidden="1">
      <c r="A2" s="539"/>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row>
    <row r="3" spans="1:38" hidden="1">
      <c r="A3" s="539"/>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row>
    <row r="4" spans="1:38" hidden="1">
      <c r="A4" s="539"/>
      <c r="B4" s="539"/>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row>
    <row r="5" spans="1:38" hidden="1">
      <c r="A5" s="539"/>
      <c r="B5" s="539"/>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row>
    <row r="6" spans="1:38" hidden="1">
      <c r="A6" s="539"/>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row>
    <row r="7" spans="1:38" ht="23.25" hidden="1" customHeight="1">
      <c r="A7" s="539"/>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row>
    <row r="8" spans="1:38" s="159" customFormat="1" ht="15.75" hidden="1" customHeight="1">
      <c r="A8" s="539"/>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row>
    <row r="9" spans="1:38" ht="21" hidden="1" customHeight="1">
      <c r="A9" s="539"/>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43506</v>
      </c>
      <c r="D13" s="330">
        <f>EIA_electricity_aeo2014!F58*1000</f>
        <v>43392</v>
      </c>
      <c r="E13" s="330">
        <f>EIA_electricity_aeo2014!G58*1000</f>
        <v>48918.910366223405</v>
      </c>
      <c r="F13" s="330">
        <f>EIA_electricity_aeo2014!H58*1000</f>
        <v>46072.539257874196</v>
      </c>
      <c r="G13" s="330">
        <f>EIA_electricity_aeo2014!I58*1000</f>
        <v>48464.083165928132</v>
      </c>
      <c r="H13" s="286">
        <f>EIA_electricity_aeo2014!J58*1000</f>
        <v>48531.247214676434</v>
      </c>
      <c r="I13" s="83">
        <f>EIA_electricity_aeo2014!K58*1000</f>
        <v>49056.346450497382</v>
      </c>
      <c r="J13" s="83">
        <f>EIA_electricity_aeo2014!L58*1000</f>
        <v>49841.107076736189</v>
      </c>
      <c r="K13" s="83">
        <f>EIA_electricity_aeo2014!M58*1000</f>
        <v>50843.949967429304</v>
      </c>
      <c r="L13" s="83">
        <f>EIA_electricity_aeo2014!N58*1000</f>
        <v>51315.544356487204</v>
      </c>
      <c r="M13" s="83">
        <f>EIA_electricity_aeo2014!O58*1000</f>
        <v>51149.851957443658</v>
      </c>
      <c r="N13" s="177">
        <f>EIA_electricity_aeo2014!P58*1000</f>
        <v>51132.181057704547</v>
      </c>
      <c r="O13" s="83">
        <f>EIA_electricity_aeo2014!Q58*1000</f>
        <v>51319.102118871808</v>
      </c>
      <c r="P13" s="83">
        <f>EIA_electricity_aeo2014!R58*1000</f>
        <v>51601.510758195334</v>
      </c>
      <c r="Q13" s="83">
        <f>EIA_electricity_aeo2014!S58*1000</f>
        <v>52332.541292067042</v>
      </c>
      <c r="R13" s="83">
        <f>EIA_electricity_aeo2014!T58*1000</f>
        <v>52443.08662981508</v>
      </c>
      <c r="S13" s="83">
        <f>EIA_electricity_aeo2014!U58*1000</f>
        <v>52710.458768280922</v>
      </c>
      <c r="T13" s="83">
        <f>EIA_electricity_aeo2014!V58*1000</f>
        <v>53070.812668612838</v>
      </c>
      <c r="U13" s="83">
        <f>EIA_electricity_aeo2014!W58*1000</f>
        <v>53202.377930221941</v>
      </c>
      <c r="V13" s="83">
        <f>EIA_electricity_aeo2014!X58*1000</f>
        <v>53230.936722546321</v>
      </c>
      <c r="W13" s="83">
        <f>EIA_electricity_aeo2014!Y58*1000</f>
        <v>53346.852404763886</v>
      </c>
      <c r="X13" s="184">
        <f>EIA_electricity_aeo2014!Z58*1000</f>
        <v>53482.450587714236</v>
      </c>
      <c r="Y13" s="174">
        <f>EIA_electricity_aeo2014!AA58*1000</f>
        <v>53995.25590368417</v>
      </c>
      <c r="Z13" s="174">
        <f>EIA_electricity_aeo2014!AB58*1000</f>
        <v>54387.057340069987</v>
      </c>
      <c r="AA13" s="174">
        <f>EIA_electricity_aeo2014!AC58*1000</f>
        <v>54742.880565703199</v>
      </c>
      <c r="AB13" s="174">
        <f>EIA_electricity_aeo2014!AD58*1000</f>
        <v>55088.577594269424</v>
      </c>
      <c r="AC13" s="174">
        <f>EIA_electricity_aeo2014!AE58*1000</f>
        <v>55336.194650813195</v>
      </c>
      <c r="AD13" s="174">
        <f>EIA_electricity_aeo2014!AF58*1000</f>
        <v>55576.566863151944</v>
      </c>
      <c r="AE13" s="174">
        <f>EIA_electricity_aeo2014!AG58*1000</f>
        <v>55756.607218303463</v>
      </c>
      <c r="AF13" s="174">
        <f>EIA_electricity_aeo2014!AH58*1000</f>
        <v>55880.187486256771</v>
      </c>
      <c r="AG13" s="174">
        <f>EIA_electricity_aeo2014!AI58*1000</f>
        <v>55873.596158027758</v>
      </c>
      <c r="AH13" s="184">
        <f>EIA_electricity_aeo2014!AJ58*1000</f>
        <v>55935.221251030511</v>
      </c>
      <c r="AI13" s="115">
        <f>X13/C13-1</f>
        <v>0.22931206242160251</v>
      </c>
      <c r="AJ13" s="165">
        <f>(1+AJ11)^21-1</f>
        <v>0.24007814276920247</v>
      </c>
      <c r="AK13" s="168">
        <f>(1+AK11)^21-1</f>
        <v>0.11389489977934208</v>
      </c>
      <c r="AL13" s="121"/>
    </row>
    <row r="14" spans="1:38" s="20" customFormat="1">
      <c r="A14" s="20" t="s">
        <v>131</v>
      </c>
      <c r="B14" s="33"/>
      <c r="C14" s="330">
        <f>EIA_electricity_aeo2014!E58 * 1000</f>
        <v>43506</v>
      </c>
      <c r="D14" s="330">
        <f>IF(Inputs!$C$7="BAU",'Output -Jobs vs Yr'!D13,C14+($X$14-$C$14)/($X$11-$C$11) )</f>
        <v>43392</v>
      </c>
      <c r="E14" s="330">
        <f>IF(Inputs!$C$7="BAU",'Output -Jobs vs Yr'!E13,D14+($X$14-$C$14)/($X$11-$C$11) )</f>
        <v>48918.910366223405</v>
      </c>
      <c r="F14" s="330">
        <f>IF(Inputs!$C$7="BAU",'Output -Jobs vs Yr'!F13,E14+($X$14-$C$14)/($X$11-$C$11) )</f>
        <v>46072.539257874196</v>
      </c>
      <c r="G14" s="330">
        <f>IF(Inputs!$C$7="BAU",'Output -Jobs vs Yr'!G13,F14+($X$14-$C$14)/($X$11-$C$11) )</f>
        <v>48464.083165928132</v>
      </c>
      <c r="H14" s="286">
        <f>EIA_electricity_aeo2014!J58*1000</f>
        <v>48531.247214676434</v>
      </c>
      <c r="I14" s="83">
        <f>IF(Inputs!$C$7="BAU",'Output -Jobs vs Yr'!I13,H14+($X$14-$C$14)/($X$11-$C$11) )</f>
        <v>49056.346450497382</v>
      </c>
      <c r="J14" s="83">
        <f>IF(Inputs!$C$7="BAU",'Output -Jobs vs Yr'!J13,I14+($X$14-$C$14)/($X$11-$C$11) )</f>
        <v>49841.107076736189</v>
      </c>
      <c r="K14" s="83">
        <f>IF(Inputs!$C$7="BAU",'Output -Jobs vs Yr'!K13,J14+($X$14-$C$14)/($X$11-$C$11) )</f>
        <v>50843.949967429304</v>
      </c>
      <c r="L14" s="83">
        <f>IF(Inputs!$C$7="BAU",'Output -Jobs vs Yr'!L13,K14+($X$14-$C$14)/($X$11-$C$11) )</f>
        <v>51315.544356487204</v>
      </c>
      <c r="M14" s="83">
        <f>IF(Inputs!$C$7="BAU",'Output -Jobs vs Yr'!M13,L14+($X$14-$C$14)/($X$11-$C$11) )</f>
        <v>51149.851957443658</v>
      </c>
      <c r="N14" s="177">
        <f>IF(Inputs!$C$7="BAU",'Output -Jobs vs Yr'!N13,M14+($X$14-$C$14)/($X$11-$C$11) )</f>
        <v>51132.181057704547</v>
      </c>
      <c r="O14" s="83">
        <f>IF(Inputs!$C$7="BAU",'Output -Jobs vs Yr'!O13,N14+($X$14-$C$14)/($X$11-$C$11) )</f>
        <v>51319.102118871808</v>
      </c>
      <c r="P14" s="83">
        <f>IF(Inputs!$C$7="BAU",'Output -Jobs vs Yr'!P13,O14+($X$14-$C$14)/($X$11-$C$11) )</f>
        <v>51601.510758195334</v>
      </c>
      <c r="Q14" s="83">
        <f>IF(Inputs!$C$7="BAU",'Output -Jobs vs Yr'!Q13,P14+($X$14-$C$14)/($X$11-$C$11) )</f>
        <v>52332.541292067042</v>
      </c>
      <c r="R14" s="83">
        <f>IF(Inputs!$C$7="BAU",'Output -Jobs vs Yr'!R13,Q14+($X$14-$C$14)/($X$11-$C$11) )</f>
        <v>52443.08662981508</v>
      </c>
      <c r="S14" s="83">
        <f>IF(Inputs!$C$7="BAU",'Output -Jobs vs Yr'!S13,R14+($X$14-$C$14)/($X$11-$C$11) )</f>
        <v>52710.458768280922</v>
      </c>
      <c r="T14" s="83">
        <f>IF(Inputs!$C$7="BAU",'Output -Jobs vs Yr'!T13,S14+($X$14-$C$14)/($X$11-$C$11) )</f>
        <v>53070.812668612838</v>
      </c>
      <c r="U14" s="83">
        <f>IF(Inputs!$C$7="BAU",'Output -Jobs vs Yr'!U13,T14+($X$14-$C$14)/($X$11-$C$11) )</f>
        <v>53202.377930221941</v>
      </c>
      <c r="V14" s="83">
        <f>IF(Inputs!$C$7="BAU",'Output -Jobs vs Yr'!V13,U14+($X$14-$C$14)/($X$11-$C$11) )</f>
        <v>53230.936722546321</v>
      </c>
      <c r="W14" s="83">
        <f>IF(Inputs!$C$7="BAU",'Output -Jobs vs Yr'!W13,V14+($X$14-$C$14)/($X$11-$C$11) )</f>
        <v>53346.852404763886</v>
      </c>
      <c r="X14" s="184">
        <f>IF(Inputs!$C$7="BAU",'Output -Jobs vs Yr'!X13,C14*(1+Inputs!C7) )</f>
        <v>53482.450587714236</v>
      </c>
      <c r="Y14" s="174">
        <f>IF(Inputs!$C$7="BAU",'Output -Jobs vs Yr'!Y13,D14*(1+Inputs!D7) )</f>
        <v>53995.25590368417</v>
      </c>
      <c r="Z14" s="174">
        <f>IF(Inputs!$C$7="BAU",'Output -Jobs vs Yr'!Z13,E14*(1+Inputs!E7) )</f>
        <v>54387.057340069987</v>
      </c>
      <c r="AA14" s="174">
        <f>IF(Inputs!$C$7="BAU",'Output -Jobs vs Yr'!AA13,F14*(1+Inputs!F7) )</f>
        <v>54742.880565703199</v>
      </c>
      <c r="AB14" s="174">
        <f>IF(Inputs!$C$7="BAU",'Output -Jobs vs Yr'!AB13,G14*(1+Inputs!G7) )</f>
        <v>55088.577594269424</v>
      </c>
      <c r="AC14" s="174">
        <f>IF(Inputs!$C$7="BAU",'Output -Jobs vs Yr'!AC13,H14*(1+Inputs!H7) )</f>
        <v>55336.194650813195</v>
      </c>
      <c r="AD14" s="174">
        <f>IF(Inputs!$C$7="BAU",'Output -Jobs vs Yr'!AD13,I14*(1+Inputs!L7) )</f>
        <v>55576.566863151944</v>
      </c>
      <c r="AE14" s="174">
        <f>IF(Inputs!$C$7="BAU",'Output -Jobs vs Yr'!AE13,J14*(1+Inputs!M7) )</f>
        <v>55756.607218303463</v>
      </c>
      <c r="AF14" s="174">
        <f>IF(Inputs!$C$7="BAU",'Output -Jobs vs Yr'!AF13,K14*(1+Inputs!N7) )</f>
        <v>55880.187486256771</v>
      </c>
      <c r="AG14" s="174">
        <f>IF(Inputs!$C$7="BAU",'Output -Jobs vs Yr'!AG13,L14*(1+Inputs!O7) )</f>
        <v>55873.596158027758</v>
      </c>
      <c r="AH14" s="184">
        <f>IF(Inputs!$C$7="BAU",'Output -Jobs vs Yr'!AH13,M14*(1+Inputs!P7) )</f>
        <v>55935.221251030511</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1.2765149634533171E-2</v>
      </c>
      <c r="D16" s="381">
        <f t="shared" si="1"/>
        <v>1.5411216474030261E-2</v>
      </c>
      <c r="E16" s="381">
        <f t="shared" si="1"/>
        <v>1.9987303149843642E-2</v>
      </c>
      <c r="F16" s="381">
        <f t="shared" si="1"/>
        <v>2.5961553193620163E-2</v>
      </c>
      <c r="G16" s="381">
        <f t="shared" si="1"/>
        <v>3.4645813342076809E-2</v>
      </c>
      <c r="H16" s="381">
        <f t="shared" si="1"/>
        <v>2.4012551716252183E-2</v>
      </c>
      <c r="I16" s="381">
        <f t="shared" si="1"/>
        <v>2.8934467696187613E-2</v>
      </c>
      <c r="J16" s="381">
        <f t="shared" si="1"/>
        <v>3.5600907615149995E-2</v>
      </c>
      <c r="K16" s="381">
        <f t="shared" si="1"/>
        <v>4.4937902840806766E-2</v>
      </c>
      <c r="L16" s="381">
        <f t="shared" si="1"/>
        <v>6.0999426852019041E-2</v>
      </c>
      <c r="M16" s="381">
        <f t="shared" si="1"/>
        <v>7.5168346972748892E-2</v>
      </c>
      <c r="N16" s="381">
        <f>Inputs!C11</f>
        <v>0.1</v>
      </c>
      <c r="O16" s="381">
        <f t="shared" ref="O16:W16" si="2">O95</f>
        <v>0.10429386177196764</v>
      </c>
      <c r="P16" s="381">
        <f t="shared" si="2"/>
        <v>0.10862159061789729</v>
      </c>
      <c r="Q16" s="381">
        <f t="shared" si="2"/>
        <v>0.11312577924022861</v>
      </c>
      <c r="R16" s="381">
        <f t="shared" si="2"/>
        <v>0.11781765344574942</v>
      </c>
      <c r="S16" s="381">
        <f t="shared" si="2"/>
        <v>0.12270214594313084</v>
      </c>
      <c r="T16" s="381">
        <f t="shared" si="2"/>
        <v>0.12778740579900572</v>
      </c>
      <c r="U16" s="381">
        <f t="shared" si="2"/>
        <v>0.13308327012698112</v>
      </c>
      <c r="V16" s="381">
        <f t="shared" si="2"/>
        <v>0.138597977743112</v>
      </c>
      <c r="W16" s="381">
        <f t="shared" si="2"/>
        <v>0.14433959909332705</v>
      </c>
      <c r="X16" s="382">
        <f>Inputs!C12</f>
        <v>0.15</v>
      </c>
      <c r="Y16" s="383">
        <f>Y95</f>
        <v>0.15546631673985845</v>
      </c>
      <c r="Z16" s="383">
        <f t="shared" ref="Z16:AG16" si="3">Z95</f>
        <v>0.16079090418026856</v>
      </c>
      <c r="AA16" s="383">
        <f t="shared" si="3"/>
        <v>0.16629716165431968</v>
      </c>
      <c r="AB16" s="383">
        <f t="shared" si="3"/>
        <v>0.17199115763052578</v>
      </c>
      <c r="AC16" s="383">
        <f t="shared" si="3"/>
        <v>0.17787996329587824</v>
      </c>
      <c r="AD16" s="383">
        <f t="shared" si="3"/>
        <v>0.1839696301945998</v>
      </c>
      <c r="AE16" s="383">
        <f t="shared" si="3"/>
        <v>0.19026745184824354</v>
      </c>
      <c r="AF16" s="383">
        <f t="shared" si="3"/>
        <v>0.19678055974853931</v>
      </c>
      <c r="AG16" s="383">
        <f t="shared" si="3"/>
        <v>0.20351697122881854</v>
      </c>
      <c r="AH16" s="382">
        <f>Inputs!C13</f>
        <v>0.21</v>
      </c>
      <c r="AI16" s="384" t="s">
        <v>0</v>
      </c>
      <c r="AJ16" s="385"/>
      <c r="AK16" s="386"/>
      <c r="AL16" s="387"/>
    </row>
    <row r="17" spans="1:37" s="281" customFormat="1">
      <c r="A17" s="281" t="s">
        <v>115</v>
      </c>
      <c r="B17" s="282"/>
      <c r="C17" s="337"/>
      <c r="D17" s="332">
        <f>D16/C16-1</f>
        <v>0.20728835268321233</v>
      </c>
      <c r="E17" s="332">
        <f t="shared" ref="E17:M17" si="4">E16/D16-1</f>
        <v>0.29693221709815276</v>
      </c>
      <c r="F17" s="332">
        <f t="shared" si="4"/>
        <v>0.2989022580479177</v>
      </c>
      <c r="G17" s="332">
        <f t="shared" si="4"/>
        <v>0.3345046455306353</v>
      </c>
      <c r="H17" s="284"/>
      <c r="I17" s="284">
        <f t="shared" si="4"/>
        <v>0.20497263423296141</v>
      </c>
      <c r="J17" s="284">
        <f t="shared" si="4"/>
        <v>0.2303978766418</v>
      </c>
      <c r="K17" s="284">
        <f t="shared" si="4"/>
        <v>0.26226846030418072</v>
      </c>
      <c r="L17" s="284">
        <f t="shared" si="4"/>
        <v>0.35741596727623182</v>
      </c>
      <c r="M17" s="284">
        <f t="shared" si="4"/>
        <v>0.23227956149658269</v>
      </c>
      <c r="N17" s="284">
        <f>N16/M16-1</f>
        <v>0.33034720101339254</v>
      </c>
      <c r="O17" s="284">
        <f>O16/N16-1</f>
        <v>4.2938617719676442E-2</v>
      </c>
      <c r="P17" s="284">
        <f t="shared" ref="P17:X17" si="5">P16/O16-1</f>
        <v>4.1495527851792113E-2</v>
      </c>
      <c r="Q17" s="284">
        <f t="shared" si="5"/>
        <v>4.1466789398949988E-2</v>
      </c>
      <c r="R17" s="284">
        <f t="shared" si="5"/>
        <v>4.1474845406875405E-2</v>
      </c>
      <c r="S17" s="284">
        <f t="shared" si="5"/>
        <v>4.1458069775855311E-2</v>
      </c>
      <c r="T17" s="284">
        <f t="shared" si="5"/>
        <v>4.1443935774617691E-2</v>
      </c>
      <c r="U17" s="284">
        <f t="shared" si="5"/>
        <v>4.1442772038937647E-2</v>
      </c>
      <c r="V17" s="284">
        <f t="shared" si="5"/>
        <v>4.1438023057811968E-2</v>
      </c>
      <c r="W17" s="284">
        <f t="shared" si="5"/>
        <v>4.1426443904232224E-2</v>
      </c>
      <c r="X17" s="283">
        <f t="shared" si="5"/>
        <v>3.9215855816622014E-2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0.3344366294304234</v>
      </c>
      <c r="D18" s="332">
        <f t="shared" ref="D18:G18" si="6">($N$18-$C$18)/($N$11-$C$11)+C18</f>
        <v>0.32849560634575692</v>
      </c>
      <c r="E18" s="332">
        <f t="shared" si="6"/>
        <v>0.32255458326109043</v>
      </c>
      <c r="F18" s="332">
        <f t="shared" si="6"/>
        <v>0.31661356017642395</v>
      </c>
      <c r="G18" s="332">
        <f t="shared" si="6"/>
        <v>0.31067253709175746</v>
      </c>
      <c r="H18" s="284">
        <f>H32/H14</f>
        <v>0.30256306035257741</v>
      </c>
      <c r="I18" s="172">
        <f>($N$18-$H$18)/($N$11-$H$11)+H18</f>
        <v>0.2969834462103299</v>
      </c>
      <c r="J18" s="172">
        <f t="shared" ref="J18:M18" si="7">($N$18-$H$18)/($N$11-$H$11)+I18</f>
        <v>0.2914038320680824</v>
      </c>
      <c r="K18" s="172">
        <f t="shared" si="7"/>
        <v>0.2858242179258349</v>
      </c>
      <c r="L18" s="172">
        <f t="shared" si="7"/>
        <v>0.2802446037835874</v>
      </c>
      <c r="M18" s="172">
        <f t="shared" si="7"/>
        <v>0.2746649896413399</v>
      </c>
      <c r="N18" s="180">
        <f>Inputs!C36</f>
        <v>0.26908537549909223</v>
      </c>
      <c r="O18" s="91">
        <f t="shared" ref="O18:W18" si="8">($X$18-$N$18)/($X$11-$N$11)+N18</f>
        <v>0.26824369133119902</v>
      </c>
      <c r="P18" s="91">
        <f t="shared" si="8"/>
        <v>0.26740200716330581</v>
      </c>
      <c r="Q18" s="91">
        <f t="shared" si="8"/>
        <v>0.2665603229954126</v>
      </c>
      <c r="R18" s="91">
        <f t="shared" si="8"/>
        <v>0.26571863882751939</v>
      </c>
      <c r="S18" s="22">
        <f t="shared" si="8"/>
        <v>0.26487695465962618</v>
      </c>
      <c r="T18" s="91">
        <f t="shared" si="8"/>
        <v>0.26403527049173298</v>
      </c>
      <c r="U18" s="91">
        <f t="shared" si="8"/>
        <v>0.26319358632383977</v>
      </c>
      <c r="V18" s="91">
        <f t="shared" si="8"/>
        <v>0.26235190215594656</v>
      </c>
      <c r="W18" s="91">
        <f t="shared" si="8"/>
        <v>0.26151021798805335</v>
      </c>
      <c r="X18" s="185">
        <f>Inputs!F36</f>
        <v>0.26066853382016036</v>
      </c>
      <c r="Y18" s="172">
        <f>($AH$18-$X$18)/($AH$11-$X$11)+X18</f>
        <v>0.25982157485270496</v>
      </c>
      <c r="Z18" s="172">
        <f t="shared" ref="Z18:AG18" si="9">($AH$18-$X$18)/($AH$11-$X$11)+Y18</f>
        <v>0.25897461588524956</v>
      </c>
      <c r="AA18" s="172">
        <f t="shared" si="9"/>
        <v>0.25812765691779416</v>
      </c>
      <c r="AB18" s="172">
        <f t="shared" si="9"/>
        <v>0.25728069795033875</v>
      </c>
      <c r="AC18" s="172">
        <f t="shared" si="9"/>
        <v>0.25643373898288335</v>
      </c>
      <c r="AD18" s="172">
        <f t="shared" si="9"/>
        <v>0.25558678001542795</v>
      </c>
      <c r="AE18" s="172">
        <f t="shared" si="9"/>
        <v>0.25473982104797255</v>
      </c>
      <c r="AF18" s="172">
        <f t="shared" si="9"/>
        <v>0.25389286208051715</v>
      </c>
      <c r="AG18" s="172">
        <f t="shared" si="9"/>
        <v>0.25304590311306174</v>
      </c>
      <c r="AH18" s="185">
        <f>Inputs!H36</f>
        <v>0.2521989441456064</v>
      </c>
      <c r="AK18"/>
    </row>
    <row r="19" spans="1:37" s="281" customFormat="1">
      <c r="A19" s="281" t="s">
        <v>114</v>
      </c>
      <c r="B19" s="285"/>
      <c r="C19" s="330">
        <f t="shared" ref="C19:AH19" si="10">C16*C14</f>
        <v>555.36060000000009</v>
      </c>
      <c r="D19" s="330">
        <f t="shared" si="10"/>
        <v>668.72350524112107</v>
      </c>
      <c r="E19" s="330">
        <f t="shared" si="10"/>
        <v>977.75709124973582</v>
      </c>
      <c r="F19" s="330">
        <f t="shared" si="10"/>
        <v>1196.1146787084542</v>
      </c>
      <c r="G19" s="330">
        <f t="shared" si="10"/>
        <v>1679.0775791616329</v>
      </c>
      <c r="H19" s="286">
        <f t="shared" si="10"/>
        <v>1165.3590835966374</v>
      </c>
      <c r="I19" s="286">
        <f t="shared" si="10"/>
        <v>1419.4192716649043</v>
      </c>
      <c r="J19" s="286">
        <f t="shared" si="10"/>
        <v>1774.3886484756836</v>
      </c>
      <c r="K19" s="286">
        <f t="shared" si="10"/>
        <v>2284.8204836791783</v>
      </c>
      <c r="L19" s="286">
        <f t="shared" si="10"/>
        <v>3130.2187943450799</v>
      </c>
      <c r="M19" s="286">
        <f t="shared" si="10"/>
        <v>3844.8498195418638</v>
      </c>
      <c r="N19" s="287">
        <f t="shared" si="10"/>
        <v>5113.2181057704547</v>
      </c>
      <c r="O19" s="286">
        <f t="shared" si="10"/>
        <v>5352.2673426471083</v>
      </c>
      <c r="P19" s="286">
        <f t="shared" si="10"/>
        <v>5605.0381768417164</v>
      </c>
      <c r="Q19" s="286">
        <f t="shared" si="10"/>
        <v>5920.1595132865241</v>
      </c>
      <c r="R19" s="286">
        <f t="shared" si="10"/>
        <v>6178.7214061769682</v>
      </c>
      <c r="S19" s="286">
        <f t="shared" si="10"/>
        <v>6467.686404514986</v>
      </c>
      <c r="T19" s="286">
        <f t="shared" si="10"/>
        <v>6781.7814745670421</v>
      </c>
      <c r="U19" s="286">
        <f t="shared" si="10"/>
        <v>7080.3464334854652</v>
      </c>
      <c r="V19" s="286">
        <f t="shared" si="10"/>
        <v>7377.700183116478</v>
      </c>
      <c r="W19" s="286">
        <f t="shared" si="10"/>
        <v>7700.0632889945091</v>
      </c>
      <c r="X19" s="287">
        <f>Inputs!C12*'Output -Jobs vs Yr'!X14</f>
        <v>8022.3675881571353</v>
      </c>
      <c r="Y19" s="286">
        <f t="shared" si="10"/>
        <v>8394.4435567718756</v>
      </c>
      <c r="Z19" s="286">
        <f t="shared" si="10"/>
        <v>8744.9441254139656</v>
      </c>
      <c r="AA19" s="286">
        <f t="shared" si="10"/>
        <v>9103.5856588578608</v>
      </c>
      <c r="AB19" s="286">
        <f t="shared" si="10"/>
        <v>9474.7482326574427</v>
      </c>
      <c r="AC19" s="286">
        <f t="shared" si="10"/>
        <v>9843.2002734202251</v>
      </c>
      <c r="AD19" s="286">
        <f t="shared" si="10"/>
        <v>10224.400453299513</v>
      </c>
      <c r="AE19" s="286">
        <f t="shared" si="10"/>
        <v>10608.667579129982</v>
      </c>
      <c r="AF19" s="286">
        <f t="shared" si="10"/>
        <v>10996.134572398929</v>
      </c>
      <c r="AG19" s="286">
        <f t="shared" si="10"/>
        <v>11371.22506174396</v>
      </c>
      <c r="AH19" s="287">
        <f t="shared" si="10"/>
        <v>11746.396462716406</v>
      </c>
    </row>
    <row r="20" spans="1:37" s="20" customFormat="1">
      <c r="A20" s="20" t="s">
        <v>211</v>
      </c>
      <c r="B20" s="33"/>
      <c r="C20" s="330">
        <f>'Output - Jobs vs Yr (BAU)'!C18</f>
        <v>555.36059999999998</v>
      </c>
      <c r="D20" s="330">
        <f>'Output - Jobs vs Yr (BAU)'!D18</f>
        <v>583.85799999999995</v>
      </c>
      <c r="E20" s="330">
        <f>'Output - Jobs vs Yr (BAU)'!E18</f>
        <v>786.52171756989765</v>
      </c>
      <c r="F20" s="330">
        <f>'Output - Jobs vs Yr (BAU)'!F18</f>
        <v>856.60693033234656</v>
      </c>
      <c r="G20" s="330">
        <f>'Output - Jobs vs Yr (BAU)'!G18</f>
        <v>1082.5091260299005</v>
      </c>
      <c r="H20" s="286">
        <f>'Output - Jobs vs Yr (BAU)'!H18</f>
        <v>1164.3590835966372</v>
      </c>
      <c r="I20" s="83">
        <f>'Output - Jobs vs Yr (BAU)'!I18</f>
        <v>1280.7947488104264</v>
      </c>
      <c r="J20" s="83">
        <f>'Output - Jobs vs Yr (BAU)'!J18</f>
        <v>1506.2750349751052</v>
      </c>
      <c r="K20" s="83">
        <f>'Output - Jobs vs Yr (BAU)'!K18</f>
        <v>2005.7911968797234</v>
      </c>
      <c r="L20" s="83">
        <f>'Output - Jobs vs Yr (BAU)'!L18</f>
        <v>2759.5591487581546</v>
      </c>
      <c r="M20" s="83">
        <f>'Output - Jobs vs Yr (BAU)'!M18</f>
        <v>2943.9515644674098</v>
      </c>
      <c r="N20" s="177">
        <f>'Output - Jobs vs Yr (BAU)'!N18</f>
        <v>3185.4087504508311</v>
      </c>
      <c r="O20" s="83">
        <f>'Output - Jobs vs Yr (BAU)'!O18</f>
        <v>3256.5886572058985</v>
      </c>
      <c r="P20" s="83">
        <f>'Output - Jobs vs Yr (BAU)'!P18</f>
        <v>3375.9068663778426</v>
      </c>
      <c r="Q20" s="83">
        <f>'Output - Jobs vs Yr (BAU)'!Q18</f>
        <v>3855.7458627811802</v>
      </c>
      <c r="R20" s="83">
        <f>'Output - Jobs vs Yr (BAU)'!R18</f>
        <v>3976.3461916444553</v>
      </c>
      <c r="S20" s="83">
        <f>'Output - Jobs vs Yr (BAU)'!S18</f>
        <v>4284.8814647850368</v>
      </c>
      <c r="T20" s="83">
        <f>'Output - Jobs vs Yr (BAU)'!T18</f>
        <v>4425.3557107268171</v>
      </c>
      <c r="U20" s="83">
        <f>'Output - Jobs vs Yr (BAU)'!U18</f>
        <v>4524.6034245182009</v>
      </c>
      <c r="V20" s="83">
        <f>'Output - Jobs vs Yr (BAU)'!V18</f>
        <v>4669.0889249800484</v>
      </c>
      <c r="W20" s="83">
        <f>'Output - Jobs vs Yr (BAU)'!W18</f>
        <v>4802.6534649457362</v>
      </c>
      <c r="X20" s="184">
        <f>'Output - Jobs vs Yr (BAU)'!X18</f>
        <v>5191.4961992895787</v>
      </c>
      <c r="Y20" s="174">
        <f>'Output - Jobs vs Yr (BAU)'!Y18</f>
        <v>5488.907960726453</v>
      </c>
      <c r="Z20" s="174">
        <f>'Output - Jobs vs Yr (BAU)'!Z18</f>
        <v>5662.0760565223436</v>
      </c>
      <c r="AA20" s="174">
        <f>'Output - Jobs vs Yr (BAU)'!AA18</f>
        <v>5781.6310894945973</v>
      </c>
      <c r="AB20" s="174">
        <f>'Output - Jobs vs Yr (BAU)'!AB18</f>
        <v>5913.9350632932437</v>
      </c>
      <c r="AC20" s="174">
        <f>'Output - Jobs vs Yr (BAU)'!AC18</f>
        <v>6021.0468874096878</v>
      </c>
      <c r="AD20" s="174">
        <f>'Output - Jobs vs Yr (BAU)'!AD18</f>
        <v>6114.6849096265269</v>
      </c>
      <c r="AE20" s="174">
        <f>'Output - Jobs vs Yr (BAU)'!AE18</f>
        <v>6235.6481714351066</v>
      </c>
      <c r="AF20" s="174">
        <f>'Output - Jobs vs Yr (BAU)'!AF18</f>
        <v>6354.5715621731269</v>
      </c>
      <c r="AG20" s="174">
        <f>'Output - Jobs vs Yr (BAU)'!AG18</f>
        <v>6448.4013722416903</v>
      </c>
      <c r="AH20" s="184">
        <f>'Output - Jobs vs Yr (BAU)'!AH18</f>
        <v>6555.1710550006082</v>
      </c>
    </row>
    <row r="21" spans="1:37" s="20" customFormat="1">
      <c r="A21" s="20" t="s">
        <v>116</v>
      </c>
      <c r="B21" s="33"/>
      <c r="C21" s="330">
        <f t="shared" ref="C21:AH21" si="11">MAX(C19:C20)</f>
        <v>555.36060000000009</v>
      </c>
      <c r="D21" s="330">
        <f t="shared" si="11"/>
        <v>668.72350524112107</v>
      </c>
      <c r="E21" s="330">
        <f t="shared" si="11"/>
        <v>977.75709124973582</v>
      </c>
      <c r="F21" s="330">
        <f t="shared" si="11"/>
        <v>1196.1146787084542</v>
      </c>
      <c r="G21" s="330">
        <f t="shared" si="11"/>
        <v>1679.0775791616329</v>
      </c>
      <c r="H21" s="286">
        <f t="shared" si="11"/>
        <v>1165.3590835966374</v>
      </c>
      <c r="I21" s="83">
        <f t="shared" si="11"/>
        <v>1419.4192716649043</v>
      </c>
      <c r="J21" s="83">
        <f t="shared" si="11"/>
        <v>1774.3886484756836</v>
      </c>
      <c r="K21" s="83">
        <f t="shared" si="11"/>
        <v>2284.8204836791783</v>
      </c>
      <c r="L21" s="83">
        <f t="shared" si="11"/>
        <v>3130.2187943450799</v>
      </c>
      <c r="M21" s="83">
        <f t="shared" si="11"/>
        <v>3844.8498195418638</v>
      </c>
      <c r="N21" s="177">
        <f t="shared" si="11"/>
        <v>5113.2181057704547</v>
      </c>
      <c r="O21" s="83">
        <f t="shared" si="11"/>
        <v>5352.2673426471083</v>
      </c>
      <c r="P21" s="83">
        <f t="shared" si="11"/>
        <v>5605.0381768417164</v>
      </c>
      <c r="Q21" s="83">
        <f t="shared" si="11"/>
        <v>5920.1595132865241</v>
      </c>
      <c r="R21" s="83">
        <f t="shared" si="11"/>
        <v>6178.7214061769682</v>
      </c>
      <c r="S21" s="83">
        <f t="shared" si="11"/>
        <v>6467.686404514986</v>
      </c>
      <c r="T21" s="83">
        <f t="shared" si="11"/>
        <v>6781.7814745670421</v>
      </c>
      <c r="U21" s="83">
        <f t="shared" si="11"/>
        <v>7080.3464334854652</v>
      </c>
      <c r="V21" s="83">
        <f t="shared" si="11"/>
        <v>7377.700183116478</v>
      </c>
      <c r="W21" s="83">
        <f t="shared" si="11"/>
        <v>7700.0632889945091</v>
      </c>
      <c r="X21" s="184">
        <f t="shared" si="11"/>
        <v>8022.3675881571353</v>
      </c>
      <c r="Y21" s="174">
        <f t="shared" si="11"/>
        <v>8394.4435567718756</v>
      </c>
      <c r="Z21" s="174">
        <f t="shared" si="11"/>
        <v>8744.9441254139656</v>
      </c>
      <c r="AA21" s="174">
        <f t="shared" si="11"/>
        <v>9103.5856588578608</v>
      </c>
      <c r="AB21" s="174">
        <f t="shared" si="11"/>
        <v>9474.7482326574427</v>
      </c>
      <c r="AC21" s="174">
        <f t="shared" si="11"/>
        <v>9843.2002734202251</v>
      </c>
      <c r="AD21" s="174">
        <f t="shared" si="11"/>
        <v>10224.400453299513</v>
      </c>
      <c r="AE21" s="174">
        <f t="shared" si="11"/>
        <v>10608.667579129982</v>
      </c>
      <c r="AF21" s="174">
        <f t="shared" si="11"/>
        <v>10996.134572398929</v>
      </c>
      <c r="AG21" s="174">
        <f t="shared" si="11"/>
        <v>11371.22506174396</v>
      </c>
      <c r="AH21" s="184">
        <f t="shared" si="11"/>
        <v>11746.396462716406</v>
      </c>
      <c r="AI21" s="99"/>
    </row>
    <row r="22" spans="1:37" s="20" customFormat="1">
      <c r="A22" s="20" t="s">
        <v>378</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537</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538</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539</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381</v>
      </c>
      <c r="B26" s="33"/>
      <c r="C26" s="332">
        <f>C31/C14</f>
        <v>4.3419068634211376E-2</v>
      </c>
      <c r="D26" s="332">
        <f t="shared" ref="D26:G26" si="21">C26+($N$26-$C$26)/($N$11-$C$11)</f>
        <v>4.562128707042911E-2</v>
      </c>
      <c r="E26" s="332">
        <f t="shared" si="21"/>
        <v>4.7823505506646845E-2</v>
      </c>
      <c r="F26" s="332">
        <f t="shared" si="21"/>
        <v>5.0025723942864579E-2</v>
      </c>
      <c r="G26" s="332">
        <f t="shared" si="21"/>
        <v>5.2227942379082314E-2</v>
      </c>
      <c r="H26" s="284">
        <f>H31/H14</f>
        <v>5.9896655391883685E-2</v>
      </c>
      <c r="I26" s="91">
        <f>H26+($N$26-$H$26)/($N$11-$H$11)</f>
        <v>6.118779139867081E-2</v>
      </c>
      <c r="J26" s="172">
        <f t="shared" ref="J26:M26" si="22">I26+($N$26-$H$26)/($N$11-$H$11)</f>
        <v>6.2478927405457935E-2</v>
      </c>
      <c r="K26" s="172">
        <f t="shared" si="22"/>
        <v>6.3770063412245059E-2</v>
      </c>
      <c r="L26" s="172">
        <f t="shared" si="22"/>
        <v>6.5061199419032184E-2</v>
      </c>
      <c r="M26" s="172">
        <f t="shared" si="22"/>
        <v>6.6352335425819309E-2</v>
      </c>
      <c r="N26" s="180">
        <f>Inputs!C35</f>
        <v>6.7643471432606433E-2</v>
      </c>
      <c r="O26" s="91">
        <f t="shared" ref="O26:W26" si="23">N26+($X$26-$N$26)/($X$11-$N$11)</f>
        <v>6.7431886396219526E-2</v>
      </c>
      <c r="P26" s="91">
        <f t="shared" si="23"/>
        <v>6.7220301359832618E-2</v>
      </c>
      <c r="Q26" s="91">
        <f t="shared" si="23"/>
        <v>6.7008716323445711E-2</v>
      </c>
      <c r="R26" s="91">
        <f t="shared" si="23"/>
        <v>6.6797131287058803E-2</v>
      </c>
      <c r="S26" s="22">
        <f t="shared" si="23"/>
        <v>6.6585546250671895E-2</v>
      </c>
      <c r="T26" s="91">
        <f t="shared" si="23"/>
        <v>6.6373961214284988E-2</v>
      </c>
      <c r="U26" s="91">
        <f t="shared" si="23"/>
        <v>6.616237617789808E-2</v>
      </c>
      <c r="V26" s="91">
        <f t="shared" si="23"/>
        <v>6.5950791141511172E-2</v>
      </c>
      <c r="W26" s="91">
        <f t="shared" si="23"/>
        <v>6.5739206105124265E-2</v>
      </c>
      <c r="X26" s="185">
        <f>Inputs!F35</f>
        <v>6.5527621068737371E-2</v>
      </c>
      <c r="Y26" s="172">
        <f>X26+($AH$26-$X$26)/($AH$11-$X$11)</f>
        <v>6.5314710037755491E-2</v>
      </c>
      <c r="Z26" s="172">
        <f t="shared" ref="Z26:AG26" si="24">Y26+($AH$26-$X$26)/($AH$11-$X$11)</f>
        <v>6.5101799006773611E-2</v>
      </c>
      <c r="AA26" s="172">
        <f t="shared" si="24"/>
        <v>6.4888887975791731E-2</v>
      </c>
      <c r="AB26" s="172">
        <f t="shared" si="24"/>
        <v>6.4675976944809851E-2</v>
      </c>
      <c r="AC26" s="172">
        <f t="shared" si="24"/>
        <v>6.4463065913827972E-2</v>
      </c>
      <c r="AD26" s="172">
        <f t="shared" si="24"/>
        <v>6.4250154882846092E-2</v>
      </c>
      <c r="AE26" s="172">
        <f t="shared" si="24"/>
        <v>6.4037243851864212E-2</v>
      </c>
      <c r="AF26" s="172">
        <f t="shared" si="24"/>
        <v>6.3824332820882332E-2</v>
      </c>
      <c r="AG26" s="172">
        <f t="shared" si="24"/>
        <v>6.3611421789900452E-2</v>
      </c>
      <c r="AH26" s="185">
        <f>Inputs!H35</f>
        <v>6.339851075891853E-2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0.33146250091029805</v>
      </c>
      <c r="T27" s="13"/>
      <c r="U27" s="13"/>
      <c r="V27" s="13"/>
      <c r="W27" s="13"/>
      <c r="X27" s="176"/>
      <c r="Y27"/>
      <c r="Z27"/>
      <c r="AA27"/>
      <c r="AB27"/>
      <c r="AC27"/>
      <c r="AD27"/>
      <c r="AE27"/>
      <c r="AF27"/>
      <c r="AG27"/>
      <c r="AH27" s="280"/>
      <c r="AI27" s="24"/>
    </row>
    <row r="28" spans="1:37" s="1" customFormat="1">
      <c r="A28" s="1" t="s">
        <v>377</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376</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1888.99</v>
      </c>
      <c r="D31" s="330">
        <f t="shared" ref="D31:AH31" si="27">D26*D14</f>
        <v>1979.59888856006</v>
      </c>
      <c r="E31" s="330">
        <f t="shared" si="27"/>
        <v>2339.4737792782485</v>
      </c>
      <c r="F31" s="330">
        <f t="shared" si="27"/>
        <v>2304.8121302612053</v>
      </c>
      <c r="G31" s="330">
        <f t="shared" si="27"/>
        <v>2531.1793430451476</v>
      </c>
      <c r="H31" s="286">
        <f>'Output - Jobs vs Yr (BAU)'!H7</f>
        <v>2906.8593901557892</v>
      </c>
      <c r="I31" s="174">
        <f t="shared" si="27"/>
        <v>3001.6494933939589</v>
      </c>
      <c r="J31" s="174">
        <f t="shared" si="27"/>
        <v>3114.0189108550562</v>
      </c>
      <c r="K31" s="174">
        <f t="shared" si="27"/>
        <v>3242.3219135519817</v>
      </c>
      <c r="L31" s="174">
        <f t="shared" si="27"/>
        <v>3338.6508646736056</v>
      </c>
      <c r="M31" s="174">
        <f t="shared" si="27"/>
        <v>3393.9121340613019</v>
      </c>
      <c r="N31" s="184">
        <f t="shared" si="27"/>
        <v>3458.7582286636975</v>
      </c>
      <c r="O31" s="174">
        <f t="shared" si="27"/>
        <v>3460.5438640357524</v>
      </c>
      <c r="P31" s="174">
        <f t="shared" si="27"/>
        <v>3468.6691037885353</v>
      </c>
      <c r="Q31" s="174">
        <f t="shared" si="27"/>
        <v>3506.7364139251295</v>
      </c>
      <c r="R31" s="174">
        <f t="shared" si="27"/>
        <v>3503.047742710356</v>
      </c>
      <c r="S31" s="174">
        <f t="shared" si="27"/>
        <v>3509.7546902095032</v>
      </c>
      <c r="T31" s="174">
        <f t="shared" si="27"/>
        <v>3522.5200616770931</v>
      </c>
      <c r="U31" s="174">
        <f t="shared" si="27"/>
        <v>3519.9957421780468</v>
      </c>
      <c r="V31" s="174">
        <f t="shared" si="27"/>
        <v>3510.6223900556497</v>
      </c>
      <c r="W31" s="174">
        <f t="shared" si="27"/>
        <v>3506.9797252964172</v>
      </c>
      <c r="X31" s="184">
        <f t="shared" si="27"/>
        <v>3504.5777559392086</v>
      </c>
      <c r="Y31" s="174">
        <f t="shared" si="27"/>
        <v>3526.6844827635368</v>
      </c>
      <c r="Z31" s="174">
        <f t="shared" si="27"/>
        <v>3540.6952755231077</v>
      </c>
      <c r="AA31" s="174">
        <f t="shared" si="27"/>
        <v>3552.204644500061</v>
      </c>
      <c r="AB31" s="174">
        <f t="shared" si="27"/>
        <v>3562.9075744093379</v>
      </c>
      <c r="AC31" s="174">
        <f t="shared" si="27"/>
        <v>3567.1407631957859</v>
      </c>
      <c r="AD31" s="174">
        <f t="shared" si="27"/>
        <v>3570.8030288143641</v>
      </c>
      <c r="AE31" s="174">
        <f t="shared" si="27"/>
        <v>3570.4994527911113</v>
      </c>
      <c r="AF31" s="174">
        <f t="shared" si="27"/>
        <v>3566.5156842161564</v>
      </c>
      <c r="AG31" s="174">
        <f t="shared" si="27"/>
        <v>3554.1988921268653</v>
      </c>
      <c r="AH31" s="184">
        <f t="shared" si="27"/>
        <v>3546.2097262859461</v>
      </c>
      <c r="AI31" s="127"/>
    </row>
    <row r="32" spans="1:37">
      <c r="A32" s="9" t="s">
        <v>59</v>
      </c>
      <c r="B32" s="35">
        <v>0</v>
      </c>
      <c r="C32" s="330">
        <f>EIA_electricity_aeo2014!E52*1000</f>
        <v>14550</v>
      </c>
      <c r="D32" s="330">
        <f t="shared" ref="D32:AH32" si="28">D18*D14</f>
        <v>14254.081350555085</v>
      </c>
      <c r="E32" s="330">
        <f t="shared" si="28"/>
        <v>15779.018746763828</v>
      </c>
      <c r="F32" s="330">
        <f t="shared" si="28"/>
        <v>14587.190680803606</v>
      </c>
      <c r="G32" s="330">
        <f t="shared" si="28"/>
        <v>15056.459674984826</v>
      </c>
      <c r="H32" s="286">
        <f>EIA_electricity_aeo2014!J52*1000</f>
        <v>14683.76268</v>
      </c>
      <c r="I32" s="174">
        <f t="shared" si="28"/>
        <v>14568.922827356597</v>
      </c>
      <c r="J32" s="174">
        <f t="shared" si="28"/>
        <v>14523.889596676545</v>
      </c>
      <c r="K32" s="174">
        <f t="shared" si="28"/>
        <v>14532.43223570076</v>
      </c>
      <c r="L32" s="174">
        <f t="shared" si="28"/>
        <v>14380.904396122862</v>
      </c>
      <c r="M32" s="174">
        <f t="shared" si="28"/>
        <v>14049.073558047332</v>
      </c>
      <c r="N32" s="184">
        <f t="shared" si="28"/>
        <v>13758.922139999999</v>
      </c>
      <c r="O32" s="174">
        <f t="shared" si="28"/>
        <v>13766.025388168931</v>
      </c>
      <c r="P32" s="174">
        <f t="shared" si="28"/>
        <v>13798.347549400351</v>
      </c>
      <c r="Q32" s="174">
        <f t="shared" si="28"/>
        <v>13949.779109984158</v>
      </c>
      <c r="R32" s="174">
        <f t="shared" si="28"/>
        <v>13935.105595188144</v>
      </c>
      <c r="S32" s="174">
        <f t="shared" si="28"/>
        <v>13961.785797254041</v>
      </c>
      <c r="T32" s="174">
        <f t="shared" si="28"/>
        <v>14012.56637817328</v>
      </c>
      <c r="U32" s="174">
        <f t="shared" si="28"/>
        <v>14002.524648411416</v>
      </c>
      <c r="V32" s="174">
        <f t="shared" si="28"/>
        <v>13965.237502702856</v>
      </c>
      <c r="W32" s="174">
        <f t="shared" si="28"/>
        <v>13950.747001346312</v>
      </c>
      <c r="X32" s="184">
        <f t="shared" si="28"/>
        <v>13941.191979808644</v>
      </c>
      <c r="Y32" s="174">
        <f t="shared" si="28"/>
        <v>14029.132423470037</v>
      </c>
      <c r="Z32" s="174">
        <f t="shared" si="28"/>
        <v>14084.867283773667</v>
      </c>
      <c r="AA32" s="174">
        <f t="shared" si="28"/>
        <v>14130.651493355617</v>
      </c>
      <c r="AB32" s="174">
        <f t="shared" si="28"/>
        <v>14173.227692545031</v>
      </c>
      <c r="AC32" s="174">
        <f t="shared" si="28"/>
        <v>14190.067295392657</v>
      </c>
      <c r="AD32" s="174">
        <f t="shared" si="28"/>
        <v>14204.635768865139</v>
      </c>
      <c r="AE32" s="174">
        <f t="shared" si="28"/>
        <v>14203.428145032718</v>
      </c>
      <c r="AF32" s="174">
        <f t="shared" si="28"/>
        <v>14187.580734481631</v>
      </c>
      <c r="AG32" s="174">
        <f t="shared" si="28"/>
        <v>14138.584599982631</v>
      </c>
      <c r="AH32" s="184">
        <f t="shared" si="28"/>
        <v>14106.803740060779</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175</v>
      </c>
      <c r="D34" s="330">
        <f>MAX(D58*D$14,'Output - Jobs vs Yr (BAU)'!D10)</f>
        <v>249.86480640440035</v>
      </c>
      <c r="E34" s="330">
        <f>MAX(E58*E$14,'Output - Jobs vs Yr (BAU)'!E10)</f>
        <v>403.25403867044548</v>
      </c>
      <c r="F34" s="330">
        <f>MAX(F58*F$14,'Output - Jobs vs Yr (BAU)'!F10)</f>
        <v>543.68910257843868</v>
      </c>
      <c r="G34" s="330">
        <f>MAX(G58*G$14,'Output - Jobs vs Yr (BAU)'!G10)</f>
        <v>818.71926471333597</v>
      </c>
      <c r="H34" s="286">
        <f>'Output - Jobs vs Yr (BAU)'!H10</f>
        <v>252.29859914035592</v>
      </c>
      <c r="I34" s="286">
        <f>MAX(I58*I$14,'Output - Jobs vs Yr (BAU)'!I10)</f>
        <v>365.08594656846367</v>
      </c>
      <c r="J34" s="286">
        <f>MAX(J58*J$14,'Output - Jobs vs Yr (BAU)'!J10)</f>
        <v>530.99951524670871</v>
      </c>
      <c r="K34" s="286">
        <f>MAX(K58*K$14,'Output - Jobs vs Yr (BAU)'!K10)</f>
        <v>785.13743038702228</v>
      </c>
      <c r="L34" s="286">
        <f>MAX(L58*L$14,'Output - Jobs vs Yr (BAU)'!L10)</f>
        <v>1303.515307755054</v>
      </c>
      <c r="M34" s="286">
        <f>MAX(M58*M$14,'Output - Jobs vs Yr (BAU)'!M10)</f>
        <v>1598.7126511733045</v>
      </c>
      <c r="N34" s="287">
        <f>MAX(Inputs!$E17*N$21,'Output - Jobs vs Yr (BAU)'!N10)</f>
        <v>2287.8464726002699</v>
      </c>
      <c r="O34" s="286">
        <f>MAX(O58*O$14,'Output - Jobs vs Yr (BAU)'!O10)</f>
        <v>2391.2266082899023</v>
      </c>
      <c r="P34" s="286">
        <f>MAX(P58*P$14,'Output - Jobs vs Yr (BAU)'!P10)</f>
        <v>2503.8783675148243</v>
      </c>
      <c r="Q34" s="286">
        <f>MAX(Q58*Q$14,'Output - Jobs vs Yr (BAU)'!Q10)</f>
        <v>2644.428091130701</v>
      </c>
      <c r="R34" s="286">
        <f>MAX(R58*R$14,'Output - Jobs vs Yr (BAU)'!R10)</f>
        <v>2759.6709882527002</v>
      </c>
      <c r="S34" s="286">
        <f>MAX(S58*S$14,'Output - Jobs vs Yr (BAU)'!S10)</f>
        <v>2888.5173804956744</v>
      </c>
      <c r="T34" s="286">
        <f>MAX(T58*T$14,'Output - Jobs vs Yr (BAU)'!T10)</f>
        <v>3028.6079138524938</v>
      </c>
      <c r="U34" s="286">
        <f>MAX(U58*U$14,'Output - Jobs vs Yr (BAU)'!U10)</f>
        <v>3161.7496902345088</v>
      </c>
      <c r="V34" s="286">
        <f>MAX(V58*V$14,'Output - Jobs vs Yr (BAU)'!V10)</f>
        <v>3294.3495259368074</v>
      </c>
      <c r="W34" s="286">
        <f>MAX(W58*W$14,'Output - Jobs vs Yr (BAU)'!W10)</f>
        <v>3438.1394901038325</v>
      </c>
      <c r="X34" s="287">
        <f>Inputs!F17*'Output -Jobs vs Yr'!$X$14</f>
        <v>3589.5095825767589</v>
      </c>
      <c r="Y34" s="286">
        <f>MAX(Y58*Y$14,'Output - Jobs vs Yr (BAU)'!Y10)</f>
        <v>3747.9365143193272</v>
      </c>
      <c r="Z34" s="286">
        <f>MAX(Z58*Z$14,'Output - Jobs vs Yr (BAU)'!Z10)</f>
        <v>3904.3162396897765</v>
      </c>
      <c r="AA34" s="286">
        <f>MAX(AA58*AA$14,'Output - Jobs vs Yr (BAU)'!AA10)</f>
        <v>4064.3385395055357</v>
      </c>
      <c r="AB34" s="286">
        <f>MAX(AB58*AB$14,'Output - Jobs vs Yr (BAU)'!AB10)</f>
        <v>4229.9632246329475</v>
      </c>
      <c r="AC34" s="286">
        <f>MAX(AC58*AC$14,'Output - Jobs vs Yr (BAU)'!AC10)</f>
        <v>4394.3751151330162</v>
      </c>
      <c r="AD34" s="286">
        <f>MAX(AD58*AD$14,'Output - Jobs vs Yr (BAU)'!AD10)</f>
        <v>4564.4910034885661</v>
      </c>
      <c r="AE34" s="286">
        <f>MAX(AE58*AE$14,'Output - Jobs vs Yr (BAU)'!AE10)</f>
        <v>4735.9791590408022</v>
      </c>
      <c r="AF34" s="286">
        <f>MAX(AF58*AF$14,'Output - Jobs vs Yr (BAU)'!AF10)</f>
        <v>4908.8990558723044</v>
      </c>
      <c r="AG34" s="286">
        <f>MAX(AG58*AG$14,'Output - Jobs vs Yr (BAU)'!AG10)</f>
        <v>5076.2812384385961</v>
      </c>
      <c r="AH34" s="287">
        <f>Inputs!I17*'Output -Jobs vs Yr'!$AH$14</f>
        <v>5255.7804414135526</v>
      </c>
      <c r="AI34" s="127"/>
    </row>
    <row r="35" spans="1:36" s="20" customFormat="1">
      <c r="A35" s="9" t="s">
        <v>50</v>
      </c>
      <c r="B35" s="35">
        <v>1</v>
      </c>
      <c r="C35" s="330">
        <f>EIA_RE_aeo2014!E74*1000</f>
        <v>0</v>
      </c>
      <c r="D35" s="330">
        <f>MAX(D59*D$14,'Output - Jobs vs Yr (BAU)'!D11)</f>
        <v>0</v>
      </c>
      <c r="E35" s="330">
        <f>MAX(E59*E$14,'Output - Jobs vs Yr (BAU)'!E11)</f>
        <v>1E-8</v>
      </c>
      <c r="F35" s="330">
        <f>MAX(F59*F$14,'Output - Jobs vs Yr (BAU)'!F11)</f>
        <v>1E-8</v>
      </c>
      <c r="G35" s="330">
        <f>MAX(G59*G$14,'Output - Jobs vs Yr (BAU)'!G11)</f>
        <v>1E-8</v>
      </c>
      <c r="H35" s="286">
        <f>'Output - Jobs vs Yr (BAU)'!H11</f>
        <v>1E-8</v>
      </c>
      <c r="I35" s="286">
        <f>MAX(I59*I$14,'Output - Jobs vs Yr (BAU)'!I11)</f>
        <v>1.0843008422186257E-8</v>
      </c>
      <c r="J35" s="286">
        <f>MAX(J59*J$14,'Output - Jobs vs Yr (BAU)'!J11)</f>
        <v>1.181730167518291E-8</v>
      </c>
      <c r="K35" s="286">
        <f>MAX(K59*K$14,'Output - Jobs vs Yr (BAU)'!K11)</f>
        <v>1.2931412694997224E-8</v>
      </c>
      <c r="L35" s="286">
        <f>MAX(L59*L$14,'Output - Jobs vs Yr (BAU)'!L11)</f>
        <v>1.4000117380977231E-8</v>
      </c>
      <c r="M35" s="286">
        <f>MAX(M59*M$14,'Output - Jobs vs Yr (BAU)'!M11)</f>
        <v>1.4969357660332319E-8</v>
      </c>
      <c r="N35" s="287">
        <f>MAX(Inputs!$E19*N$21,'Output - Jobs vs Yr (BAU)'!N11)</f>
        <v>1.6051999935790913E-8</v>
      </c>
      <c r="O35" s="286">
        <f>MAX(O59*O$14,'Output - Jobs vs Yr (BAU)'!O11)</f>
        <v>1.677733616412882E-8</v>
      </c>
      <c r="P35" s="286">
        <f>MAX(P59*P$14,'Output - Jobs vs Yr (BAU)'!P11)</f>
        <v>1.7567724004179099E-8</v>
      </c>
      <c r="Q35" s="286">
        <f>MAX(Q59*Q$14,'Output - Jobs vs Yr (BAU)'!Q11)</f>
        <v>1.8553849682399673E-8</v>
      </c>
      <c r="R35" s="286">
        <f>MAX(R59*R$14,'Output - Jobs vs Yr (BAU)'!R11)</f>
        <v>1.9362417477204627E-8</v>
      </c>
      <c r="S35" s="286">
        <f>MAX(S59*S$14,'Output - Jobs vs Yr (BAU)'!S11)</f>
        <v>2.0266430182943766E-8</v>
      </c>
      <c r="T35" s="286">
        <f>MAX(T59*T$14,'Output - Jobs vs Yr (BAU)'!T11)</f>
        <v>2.1249334088157635E-8</v>
      </c>
      <c r="U35" s="286">
        <f>MAX(U59*U$14,'Output - Jobs vs Yr (BAU)'!U11)</f>
        <v>2.2183484089711784E-8</v>
      </c>
      <c r="V35" s="286">
        <f>MAX(V59*V$14,'Output - Jobs vs Yr (BAU)'!V11)</f>
        <v>2.311383172434131E-8</v>
      </c>
      <c r="W35" s="286">
        <f>MAX(W59*W$14,'Output - Jobs vs Yr (BAU)'!W11)</f>
        <v>2.4122691594624988E-8</v>
      </c>
      <c r="X35" s="287">
        <f>Inputs!F19*'Output -Jobs vs Yr'!$X$14</f>
        <v>2.5184735199279303E-8</v>
      </c>
      <c r="Y35" s="286">
        <f>MAX(Y59*Y$14,'Output - Jobs vs Yr (BAU)'!Y11)</f>
        <v>2.6296291035134374E-8</v>
      </c>
      <c r="Z35" s="286">
        <f>MAX(Z59*Z$14,'Output - Jobs vs Yr (BAU)'!Z11)</f>
        <v>2.7393483251337791E-8</v>
      </c>
      <c r="AA35" s="286">
        <f>MAX(AA59*AA$14,'Output - Jobs vs Yr (BAU)'!AA11)</f>
        <v>2.8516232516697463E-8</v>
      </c>
      <c r="AB35" s="286">
        <f>MAX(AB59*AB$14,'Output - Jobs vs Yr (BAU)'!AB11)</f>
        <v>2.9678289266077565E-8</v>
      </c>
      <c r="AC35" s="286">
        <f>MAX(AC59*AC$14,'Output - Jobs vs Yr (BAU)'!AC11)</f>
        <v>3.0831836799689313E-8</v>
      </c>
      <c r="AD35" s="286">
        <f>MAX(AD59*AD$14,'Output - Jobs vs Yr (BAU)'!AD11)</f>
        <v>3.2025404751762904E-8</v>
      </c>
      <c r="AE35" s="286">
        <f>MAX(AE59*AE$14,'Output - Jobs vs Yr (BAU)'!AE11)</f>
        <v>3.3228600811848513E-8</v>
      </c>
      <c r="AF35" s="286">
        <f>MAX(AF59*AF$14,'Output - Jobs vs Yr (BAU)'!AF11)</f>
        <v>3.4441842262303658E-8</v>
      </c>
      <c r="AG35" s="286">
        <f>MAX(AG59*AG$14,'Output - Jobs vs Yr (BAU)'!AG11)</f>
        <v>3.561622997405992E-8</v>
      </c>
      <c r="AH35" s="287">
        <f>Inputs!I19*'Output -Jobs vs Yr'!$AH$14</f>
        <v>3.6875633185392422E-8</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376</v>
      </c>
      <c r="D37" s="330">
        <f>MAX(D61*D$14,'Output - Jobs vs Yr (BAU)'!D12)</f>
        <v>407</v>
      </c>
      <c r="E37" s="330">
        <f>MAX(E61*E$14,'Output - Jobs vs Yr (BAU)'!E12)</f>
        <v>549.57504508092086</v>
      </c>
      <c r="F37" s="330">
        <f>MAX(F61*F$14,'Output - Jobs vs Yr (BAU)'!F12)</f>
        <v>605.80591553475131</v>
      </c>
      <c r="G37" s="330">
        <f>MAX(G61*G$14,'Output - Jobs vs Yr (BAU)'!G12)</f>
        <v>738.57251298014194</v>
      </c>
      <c r="H37" s="286">
        <f>'Output - Jobs vs Yr (BAU)'!H12</f>
        <v>741.57886253345828</v>
      </c>
      <c r="I37" s="118">
        <f>MAX(I61*I$14,'Output - Jobs vs Yr (BAU)'!I12)</f>
        <v>803.24009868644907</v>
      </c>
      <c r="J37" s="118">
        <f>MAX(J61*J$14,'Output - Jobs vs Yr (BAU)'!J12)</f>
        <v>874.48457107323088</v>
      </c>
      <c r="K37" s="118">
        <f>MAX(K61*K$14,'Output - Jobs vs Yr (BAU)'!K12)</f>
        <v>955.91228779794028</v>
      </c>
      <c r="L37" s="118">
        <f>MAX(L61*L$14,'Output - Jobs vs Yr (BAU)'!L12)</f>
        <v>1033.8130080483863</v>
      </c>
      <c r="M37" s="118">
        <f>MAX(M61*M$14,'Output - Jobs vs Yr (BAU)'!M12)</f>
        <v>1104.2101216836732</v>
      </c>
      <c r="N37" s="184">
        <f>MAX(Inputs!$E20*N$21,'Output - Jobs vs Yr (BAU)'!N12)</f>
        <v>1182.8126246912755</v>
      </c>
      <c r="O37" s="174">
        <f>MAX(O61*O$14,'Output - Jobs vs Yr (BAU)'!O12)</f>
        <v>1236.2599740219398</v>
      </c>
      <c r="P37" s="174">
        <f>MAX(P61*P$14,'Output - Jobs vs Yr (BAU)'!P12)</f>
        <v>1294.5007365034703</v>
      </c>
      <c r="Q37" s="174">
        <f>MAX(Q61*Q$14,'Output - Jobs vs Yr (BAU)'!Q12)</f>
        <v>1367.1646977791509</v>
      </c>
      <c r="R37" s="174">
        <f>MAX(R61*R$14,'Output - Jobs vs Yr (BAU)'!R12)</f>
        <v>1426.7450740213442</v>
      </c>
      <c r="S37" s="174">
        <f>MAX(S61*S$14,'Output - Jobs vs Yr (BAU)'!S12)</f>
        <v>1493.3584334473817</v>
      </c>
      <c r="T37" s="174">
        <f>MAX(T61*T$14,'Output - Jobs vs Yr (BAU)'!T12)</f>
        <v>1565.7849941622935</v>
      </c>
      <c r="U37" s="174">
        <f>MAX(U61*U$14,'Output - Jobs vs Yr (BAU)'!U12)</f>
        <v>1634.6190596752135</v>
      </c>
      <c r="V37" s="174">
        <f>MAX(V61*V$14,'Output - Jobs vs Yr (BAU)'!V12)</f>
        <v>1703.1729428046215</v>
      </c>
      <c r="W37" s="174">
        <f>MAX(W61*W$14,'Output - Jobs vs Yr (BAU)'!W12)</f>
        <v>1777.5121027777825</v>
      </c>
      <c r="X37" s="184">
        <f>Inputs!F20*'Output -Jobs vs Yr'!$X$14</f>
        <v>1855.7701758267883</v>
      </c>
      <c r="Y37" s="174">
        <f>MAX(Y61*Y$14,'Output - Jobs vs Yr (BAU)'!Y12)</f>
        <v>1937.676622435172</v>
      </c>
      <c r="Z37" s="174">
        <f>MAX(Z61*Z$14,'Output - Jobs vs Yr (BAU)'!Z12)</f>
        <v>2018.5246669299124</v>
      </c>
      <c r="AA37" s="174">
        <f>MAX(AA61*AA$14,'Output - Jobs vs Yr (BAU)'!AA12)</f>
        <v>2101.2559160416977</v>
      </c>
      <c r="AB37" s="174">
        <f>MAX(AB61*AB$14,'Output - Jobs vs Yr (BAU)'!AB12)</f>
        <v>2186.8835885605472</v>
      </c>
      <c r="AC37" s="174">
        <f>MAX(AC61*AC$14,'Output - Jobs vs Yr (BAU)'!AC12)</f>
        <v>2271.8842483783437</v>
      </c>
      <c r="AD37" s="174">
        <f>MAX(AD61*AD$14,'Output - Jobs vs Yr (BAU)'!AD12)</f>
        <v>2359.8338651106333</v>
      </c>
      <c r="AE37" s="174">
        <f>MAX(AE61*AE$14,'Output - Jobs vs Yr (BAU)'!AE12)</f>
        <v>2448.4929415833958</v>
      </c>
      <c r="AF37" s="174">
        <f>MAX(AF61*AF$14,'Output - Jobs vs Yr (BAU)'!AF12)</f>
        <v>2537.8922257932977</v>
      </c>
      <c r="AG37" s="174">
        <f>MAX(AG61*AG$14,'Output - Jobs vs Yr (BAU)'!AG12)</f>
        <v>2624.4285214140314</v>
      </c>
      <c r="AH37" s="184">
        <f>Inputs!I20*'Output -Jobs vs Yr'!$AH$14</f>
        <v>2717.2292953923188</v>
      </c>
      <c r="AI37" s="127"/>
    </row>
    <row r="38" spans="1:36" s="20" customFormat="1">
      <c r="A38" s="9" t="s">
        <v>347</v>
      </c>
      <c r="B38" s="35">
        <v>1</v>
      </c>
      <c r="C38" s="330">
        <f>'Output - Jobs vs Yr (BAU)'!C13</f>
        <v>4.3506000000000009</v>
      </c>
      <c r="D38" s="330">
        <f>MAX(D62*D$14,'Output - Jobs vs Yr (BAU)'!D13)</f>
        <v>10.848000000000003</v>
      </c>
      <c r="E38" s="330">
        <f>MAX(E62*E$14,'Output - Jobs vs Yr (BAU)'!E13)</f>
        <v>24.469455183111705</v>
      </c>
      <c r="F38" s="330">
        <f>MAX(F62*F$14,'Output - Jobs vs Yr (BAU)'!F13)</f>
        <v>46.082539257874203</v>
      </c>
      <c r="G38" s="330">
        <f>MAX(G62*G$14,'Output - Jobs vs Yr (BAU)'!G13)</f>
        <v>121.17020791482032</v>
      </c>
      <c r="H38" s="286">
        <f>'Output - Jobs vs Yr (BAU)'!H13</f>
        <v>169.86936525136753</v>
      </c>
      <c r="I38" s="118">
        <f>MAX(I62*I$14,'Output - Jobs vs Yr (BAU)'!I13)</f>
        <v>248.42794210776037</v>
      </c>
      <c r="J38" s="118">
        <f>MAX(J62*J$14,'Output - Jobs vs Yr (BAU)'!J13)</f>
        <v>365.17795474219537</v>
      </c>
      <c r="K38" s="118">
        <f>MAX(K62*K$14,'Output - Jobs vs Yr (BAU)'!K13)</f>
        <v>538.97396139163925</v>
      </c>
      <c r="L38" s="118">
        <f>MAX(L62*L$14,'Output - Jobs vs Yr (BAU)'!L13)</f>
        <v>787.02598566391578</v>
      </c>
      <c r="M38" s="118">
        <f>MAX(M62*M$14,'Output - Jobs vs Yr (BAU)'!M13)</f>
        <v>1135.0007350334777</v>
      </c>
      <c r="N38" s="184">
        <f>MAX(Inputs!$E21*N$21,'Output - Jobs vs Yr (BAU)'!N13)</f>
        <v>1641.5635861101816</v>
      </c>
      <c r="O38" s="174">
        <f>MAX(O62*O$14,'Output - Jobs vs Yr (BAU)'!O13)</f>
        <v>1715.7403581565811</v>
      </c>
      <c r="P38" s="174">
        <f>MAX(P62*P$14,'Output - Jobs vs Yr (BAU)'!P13)</f>
        <v>1796.569656830939</v>
      </c>
      <c r="Q38" s="174">
        <f>MAX(Q62*Q$14,'Output - Jobs vs Yr (BAU)'!Q13)</f>
        <v>1897.4161564054691</v>
      </c>
      <c r="R38" s="174">
        <f>MAX(R62*R$14,'Output - Jobs vs Yr (BAU)'!R13)</f>
        <v>1980.1046347360557</v>
      </c>
      <c r="S38" s="174">
        <f>MAX(S62*S$14,'Output - Jobs vs Yr (BAU)'!S13)</f>
        <v>2072.5538214453995</v>
      </c>
      <c r="T38" s="174">
        <f>MAX(T62*T$14,'Output - Jobs vs Yr (BAU)'!T13)</f>
        <v>2173.0708452367458</v>
      </c>
      <c r="U38" s="174">
        <f>MAX(U62*U$14,'Output - Jobs vs Yr (BAU)'!U13)</f>
        <v>2268.6020334157902</v>
      </c>
      <c r="V38" s="174">
        <f>MAX(V62*V$14,'Output - Jobs vs Yr (BAU)'!V13)</f>
        <v>2363.7443711643937</v>
      </c>
      <c r="W38" s="174">
        <f>MAX(W62*W$14,'Output - Jobs vs Yr (BAU)'!W13)</f>
        <v>2466.915791122658</v>
      </c>
      <c r="X38" s="184">
        <f>Inputs!F21*'Output -Jobs vs Yr'!$X$14</f>
        <v>2575.5260649349875</v>
      </c>
      <c r="Y38" s="174">
        <f>MAX(Y62*Y$14,'Output - Jobs vs Yr (BAU)'!Y13)</f>
        <v>2689.1997250002023</v>
      </c>
      <c r="Z38" s="174">
        <f>MAX(Z62*Z$14,'Output - Jobs vs Yr (BAU)'!Z13)</f>
        <v>2801.4044843004526</v>
      </c>
      <c r="AA38" s="174">
        <f>MAX(AA62*AA$14,'Output - Jobs vs Yr (BAU)'!AA13)</f>
        <v>2916.2228444872694</v>
      </c>
      <c r="AB38" s="174">
        <f>MAX(AB62*AB$14,'Output - Jobs vs Yr (BAU)'!AB13)</f>
        <v>3035.0609987612806</v>
      </c>
      <c r="AC38" s="174">
        <f>MAX(AC62*AC$14,'Output - Jobs vs Yr (BAU)'!AC13)</f>
        <v>3153.0289550034231</v>
      </c>
      <c r="AD38" s="174">
        <f>MAX(AD62*AD$14,'Output - Jobs vs Yr (BAU)'!AD13)</f>
        <v>3275.0896138315761</v>
      </c>
      <c r="AE38" s="174">
        <f>MAX(AE62*AE$14,'Output - Jobs vs Yr (BAU)'!AE13)</f>
        <v>3398.1348946120647</v>
      </c>
      <c r="AF38" s="174">
        <f>MAX(AF62*AF$14,'Output - Jobs vs Yr (BAU)'!AF13)</f>
        <v>3522.2074708762848</v>
      </c>
      <c r="AG38" s="174">
        <f>MAX(AG62*AG$14,'Output - Jobs vs Yr (BAU)'!AG13)</f>
        <v>3642.3066554829252</v>
      </c>
      <c r="AH38" s="184">
        <f>Inputs!I21*'Output -Jobs vs Yr'!$AH$14</f>
        <v>3771.0999809391524</v>
      </c>
      <c r="AI38" s="127"/>
    </row>
    <row r="39" spans="1:36" s="20" customFormat="1">
      <c r="A39" s="9" t="s">
        <v>348</v>
      </c>
      <c r="B39" s="35">
        <v>1</v>
      </c>
      <c r="C39" s="330">
        <f>'Output - Jobs vs Yr (BAU)'!C14</f>
        <v>0</v>
      </c>
      <c r="D39" s="330">
        <f>MAX(D63*D$14,'Output - Jobs vs Yr (BAU)'!D14)</f>
        <v>0</v>
      </c>
      <c r="E39" s="330">
        <f>MAX(E63*E$14,'Output - Jobs vs Yr (BAU)'!E14)</f>
        <v>0.01</v>
      </c>
      <c r="F39" s="330">
        <f>MAX(F63*F$14,'Output - Jobs vs Yr (BAU)'!F14)</f>
        <v>0.01</v>
      </c>
      <c r="G39" s="330">
        <f>MAX(G63*G$14,'Output - Jobs vs Yr (BAU)'!G14)</f>
        <v>0.01</v>
      </c>
      <c r="H39" s="286">
        <f>'Output - Jobs vs Yr (BAU)'!H14</f>
        <v>0.01</v>
      </c>
      <c r="I39" s="118">
        <f>MAX(I63*I$14,'Output - Jobs vs Yr (BAU)'!I14)</f>
        <v>1.0843008422186258E-2</v>
      </c>
      <c r="J39" s="118">
        <f>MAX(J63*J$14,'Output - Jobs vs Yr (BAU)'!J14)</f>
        <v>1.181730167518291E-2</v>
      </c>
      <c r="K39" s="118">
        <f>MAX(K63*K$14,'Output - Jobs vs Yr (BAU)'!K14)</f>
        <v>1.2931412694997226E-2</v>
      </c>
      <c r="L39" s="118">
        <f>MAX(L63*L$14,'Output - Jobs vs Yr (BAU)'!L14)</f>
        <v>1.400011738097723E-2</v>
      </c>
      <c r="M39" s="118">
        <f>MAX(M63*M$14,'Output - Jobs vs Yr (BAU)'!M14)</f>
        <v>1.4969357660332317E-2</v>
      </c>
      <c r="N39" s="184">
        <f>MAX(Inputs!$E22*N$21,'Output - Jobs vs Yr (BAU)'!N14)</f>
        <v>1.6051999935790914E-2</v>
      </c>
      <c r="O39" s="174">
        <f>MAX(O63*O$14,'Output - Jobs vs Yr (BAU)'!O14)</f>
        <v>1.6777336164128819E-2</v>
      </c>
      <c r="P39" s="174">
        <f>MAX(P63*P$14,'Output - Jobs vs Yr (BAU)'!P14)</f>
        <v>1.7567724004179098E-2</v>
      </c>
      <c r="Q39" s="174">
        <f>MAX(Q63*Q$14,'Output - Jobs vs Yr (BAU)'!Q14)</f>
        <v>1.8553849682399672E-2</v>
      </c>
      <c r="R39" s="174">
        <f>MAX(R63*R$14,'Output - Jobs vs Yr (BAU)'!R14)</f>
        <v>1.9362417477204626E-2</v>
      </c>
      <c r="S39" s="174">
        <f>MAX(S63*S$14,'Output - Jobs vs Yr (BAU)'!S14)</f>
        <v>2.0266430182943766E-2</v>
      </c>
      <c r="T39" s="174">
        <f>MAX(T63*T$14,'Output - Jobs vs Yr (BAU)'!T14)</f>
        <v>2.1249334088157636E-2</v>
      </c>
      <c r="U39" s="174">
        <f>MAX(U63*U$14,'Output - Jobs vs Yr (BAU)'!U14)</f>
        <v>2.2183484089711783E-2</v>
      </c>
      <c r="V39" s="174">
        <f>MAX(V63*V$14,'Output - Jobs vs Yr (BAU)'!V14)</f>
        <v>2.3113831724341314E-2</v>
      </c>
      <c r="W39" s="174">
        <f>MAX(W63*W$14,'Output - Jobs vs Yr (BAU)'!W14)</f>
        <v>2.412269159462499E-2</v>
      </c>
      <c r="X39" s="184">
        <f>Inputs!F22*'Output -Jobs vs Yr'!$X$14</f>
        <v>2.5184735199279301E-2</v>
      </c>
      <c r="Y39" s="174">
        <f>MAX(Y63*Y$14,'Output - Jobs vs Yr (BAU)'!Y14)</f>
        <v>2.6296291035134374E-2</v>
      </c>
      <c r="Z39" s="174">
        <f>MAX(Z63*Z$14,'Output - Jobs vs Yr (BAU)'!Z14)</f>
        <v>2.7393483251337787E-2</v>
      </c>
      <c r="AA39" s="174">
        <f>MAX(AA63*AA$14,'Output - Jobs vs Yr (BAU)'!AA14)</f>
        <v>2.8516232516697458E-2</v>
      </c>
      <c r="AB39" s="174">
        <f>MAX(AB63*AB$14,'Output - Jobs vs Yr (BAU)'!AB14)</f>
        <v>2.9678289266077559E-2</v>
      </c>
      <c r="AC39" s="174">
        <f>MAX(AC63*AC$14,'Output - Jobs vs Yr (BAU)'!AC14)</f>
        <v>3.0831836799689306E-2</v>
      </c>
      <c r="AD39" s="174">
        <f>MAX(AD63*AD$14,'Output - Jobs vs Yr (BAU)'!AD14)</f>
        <v>3.2025404751762895E-2</v>
      </c>
      <c r="AE39" s="174">
        <f>MAX(AE63*AE$14,'Output - Jobs vs Yr (BAU)'!AE14)</f>
        <v>3.3228600811848502E-2</v>
      </c>
      <c r="AF39" s="174">
        <f>MAX(AF63*AF$14,'Output - Jobs vs Yr (BAU)'!AF14)</f>
        <v>3.4441842262303651E-2</v>
      </c>
      <c r="AG39" s="174">
        <f>MAX(AG63*AG$14,'Output - Jobs vs Yr (BAU)'!AG14)</f>
        <v>3.5616229974059908E-2</v>
      </c>
      <c r="AH39" s="184">
        <f>Inputs!I22*'Output -Jobs vs Yr'!$AH$14</f>
        <v>3.6875633185392415E-2</v>
      </c>
      <c r="AI39" s="127"/>
    </row>
    <row r="40" spans="1:36" s="20" customFormat="1">
      <c r="A40" s="9" t="s">
        <v>344</v>
      </c>
      <c r="B40" s="35">
        <v>1</v>
      </c>
      <c r="C40" s="330">
        <f>'Output - Jobs vs Yr (BAU)'!C15</f>
        <v>0.01</v>
      </c>
      <c r="D40" s="330">
        <f>MAX(D64*D$14,'Output - Jobs vs Yr (BAU)'!D15)</f>
        <v>1.0698836720792396E-2</v>
      </c>
      <c r="E40" s="330">
        <f>MAX(E64*E$14,'Output - Jobs vs Yr (BAU)'!E15)</f>
        <v>1.2938374390987075E-2</v>
      </c>
      <c r="F40" s="330">
        <f>MAX(F64*F$14,'Output - Jobs vs Yr (BAU)'!F15)</f>
        <v>1.3071370815499781E-2</v>
      </c>
      <c r="G40" s="330">
        <f>MAX(G64*G$14,'Output - Jobs vs Yr (BAU)'!G15)</f>
        <v>1.4749423133327151E-2</v>
      </c>
      <c r="H40" s="286">
        <f>'Output - Jobs vs Yr (BAU)'!H15</f>
        <v>0.01</v>
      </c>
      <c r="I40" s="118">
        <f>MAX(I64*I$14,'Output - Jobs vs Yr (BAU)'!I15)</f>
        <v>1.0843008422186258E-2</v>
      </c>
      <c r="J40" s="118">
        <f>MAX(J64*J$14,'Output - Jobs vs Yr (BAU)'!J15)</f>
        <v>1.181730167518291E-2</v>
      </c>
      <c r="K40" s="118">
        <f>MAX(K64*K$14,'Output - Jobs vs Yr (BAU)'!K15)</f>
        <v>1.2931412694997226E-2</v>
      </c>
      <c r="L40" s="118">
        <f>MAX(L64*L$14,'Output - Jobs vs Yr (BAU)'!L15)</f>
        <v>1.400011738097723E-2</v>
      </c>
      <c r="M40" s="118">
        <f>MAX(M64*M$14,'Output - Jobs vs Yr (BAU)'!M15)</f>
        <v>1.4969357660332317E-2</v>
      </c>
      <c r="N40" s="184">
        <f>MAX(Inputs!$E18*N$21,'Output - Jobs vs Yr (BAU)'!N15)</f>
        <v>1.6051999935790914E-2</v>
      </c>
      <c r="O40" s="174">
        <f>MAX(O64*O$14,'Output - Jobs vs Yr (BAU)'!O15)</f>
        <v>1.6777336164128819E-2</v>
      </c>
      <c r="P40" s="174">
        <f>MAX(P64*P$14,'Output - Jobs vs Yr (BAU)'!P15)</f>
        <v>1.7567724004179098E-2</v>
      </c>
      <c r="Q40" s="174">
        <f>MAX(Q64*Q$14,'Output - Jobs vs Yr (BAU)'!Q15)</f>
        <v>1.8553849682399672E-2</v>
      </c>
      <c r="R40" s="174">
        <f>MAX(R64*R$14,'Output - Jobs vs Yr (BAU)'!R15)</f>
        <v>1.9362417477204626E-2</v>
      </c>
      <c r="S40" s="174">
        <f>MAX(S64*S$14,'Output - Jobs vs Yr (BAU)'!S15)</f>
        <v>2.0266430182943766E-2</v>
      </c>
      <c r="T40" s="174">
        <f>MAX(T64*T$14,'Output - Jobs vs Yr (BAU)'!T15)</f>
        <v>2.1249334088157636E-2</v>
      </c>
      <c r="U40" s="174">
        <f>MAX(U64*U$14,'Output - Jobs vs Yr (BAU)'!U15)</f>
        <v>2.2183484089711783E-2</v>
      </c>
      <c r="V40" s="174">
        <f>MAX(V64*V$14,'Output - Jobs vs Yr (BAU)'!V15)</f>
        <v>2.3113831724341314E-2</v>
      </c>
      <c r="W40" s="174">
        <f>MAX(W64*W$14,'Output - Jobs vs Yr (BAU)'!W15)</f>
        <v>2.412269159462499E-2</v>
      </c>
      <c r="X40" s="184">
        <f>Inputs!F18*'Output -Jobs vs Yr'!$X$14</f>
        <v>2.5184735199279301E-2</v>
      </c>
      <c r="Y40" s="174">
        <f>MAX(Y64*Y$14,'Output - Jobs vs Yr (BAU)'!Y15)</f>
        <v>2.6296291035134374E-2</v>
      </c>
      <c r="Z40" s="174">
        <f>MAX(Z64*Z$14,'Output - Jobs vs Yr (BAU)'!Z15)</f>
        <v>2.7393483251337787E-2</v>
      </c>
      <c r="AA40" s="174">
        <f>MAX(AA64*AA$14,'Output - Jobs vs Yr (BAU)'!AA15)</f>
        <v>2.8516232516697458E-2</v>
      </c>
      <c r="AB40" s="174">
        <f>MAX(AB64*AB$14,'Output - Jobs vs Yr (BAU)'!AB15)</f>
        <v>2.9678289266077559E-2</v>
      </c>
      <c r="AC40" s="174">
        <f>MAX(AC64*AC$14,'Output - Jobs vs Yr (BAU)'!AC15)</f>
        <v>3.0831836799689306E-2</v>
      </c>
      <c r="AD40" s="174">
        <f>MAX(AD64*AD$14,'Output - Jobs vs Yr (BAU)'!AD15)</f>
        <v>3.2025404751762895E-2</v>
      </c>
      <c r="AE40" s="174">
        <f>MAX(AE64*AE$14,'Output - Jobs vs Yr (BAU)'!AE15)</f>
        <v>3.3228600811848502E-2</v>
      </c>
      <c r="AF40" s="174">
        <f>MAX(AF64*AF$14,'Output - Jobs vs Yr (BAU)'!AF15)</f>
        <v>3.4441842262303651E-2</v>
      </c>
      <c r="AG40" s="174">
        <f>MAX(AG64*AG$14,'Output - Jobs vs Yr (BAU)'!AG15)</f>
        <v>3.5616229974059908E-2</v>
      </c>
      <c r="AH40" s="184">
        <f>Inputs!I18*'Output -Jobs vs Yr'!$AH$14</f>
        <v>3.6875633185392415E-2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0</v>
      </c>
      <c r="D42" s="330">
        <f>MAX(D66*D$14,'Output - Jobs vs Yr (BAU)'!D16)</f>
        <v>1</v>
      </c>
      <c r="E42" s="330">
        <f>MAX(E66*E$14,'Output - Jobs vs Yr (BAU)'!E16)</f>
        <v>0.43561393086677086</v>
      </c>
      <c r="F42" s="330">
        <f>MAX(F66*F$14,'Output - Jobs vs Yr (BAU)'!F16)</f>
        <v>0.51404995657460484</v>
      </c>
      <c r="G42" s="330">
        <f>MAX(G66*G$14,'Output - Jobs vs Yr (BAU)'!G16)</f>
        <v>0.59084412020149379</v>
      </c>
      <c r="H42" s="286">
        <f>'Output - Jobs vs Yr (BAU)'!H16</f>
        <v>0.59225666145561917</v>
      </c>
      <c r="I42" s="118">
        <f>MAX(I66*I$14,'Output - Jobs vs Yr (BAU)'!I16)</f>
        <v>0.64359827454393403</v>
      </c>
      <c r="J42" s="118">
        <f>MAX(J66*J$14,'Output - Jobs vs Yr (BAU)'!J16)</f>
        <v>0.70297279838105864</v>
      </c>
      <c r="K42" s="118">
        <f>MAX(K66*K$14,'Output - Jobs vs Yr (BAU)'!K16)</f>
        <v>0.77094126425526233</v>
      </c>
      <c r="L42" s="118">
        <f>MAX(L66*L$14,'Output - Jobs vs Yr (BAU)'!L16)</f>
        <v>0.8364926289614506</v>
      </c>
      <c r="M42" s="118">
        <f>MAX(M66*M$14,'Output - Jobs vs Yr (BAU)'!M16)</f>
        <v>0.89637292111849787</v>
      </c>
      <c r="N42" s="184">
        <f>MAX(Inputs!$E23*N$21,'Output - Jobs vs Yr (BAU)'!N16)</f>
        <v>0.96331835280464306</v>
      </c>
      <c r="O42" s="174">
        <f>MAX(O66*O$14,'Output - Jobs vs Yr (BAU)'!O16)</f>
        <v>1.0068474895793107</v>
      </c>
      <c r="P42" s="174">
        <f>MAX(P66*P$14,'Output - Jobs vs Yr (BAU)'!P16)</f>
        <v>1.0542805269079731</v>
      </c>
      <c r="Q42" s="174">
        <f>MAX(Q66*Q$14,'Output - Jobs vs Yr (BAU)'!Q16)</f>
        <v>1.1134602532848532</v>
      </c>
      <c r="R42" s="174">
        <f>MAX(R66*R$14,'Output - Jobs vs Yr (BAU)'!R16)</f>
        <v>1.1619843125508684</v>
      </c>
      <c r="S42" s="174">
        <f>MAX(S66*S$14,'Output - Jobs vs Yr (BAU)'!S16)</f>
        <v>1.2162362458981499</v>
      </c>
      <c r="T42" s="174">
        <f>MAX(T66*T$14,'Output - Jobs vs Yr (BAU)'!T16)</f>
        <v>1.2752226260827584</v>
      </c>
      <c r="U42" s="174">
        <f>MAX(U66*U$14,'Output - Jobs vs Yr (BAU)'!U16)</f>
        <v>1.3312831695894363</v>
      </c>
      <c r="V42" s="174">
        <f>MAX(V66*V$14,'Output - Jobs vs Yr (BAU)'!V16)</f>
        <v>1.3871155240942927</v>
      </c>
      <c r="W42" s="174">
        <f>MAX(W66*W$14,'Output - Jobs vs Yr (BAU)'!W16)</f>
        <v>1.4476595829243359</v>
      </c>
      <c r="X42" s="184">
        <f>Inputs!F23*'Output -Jobs vs Yr'!$X$14</f>
        <v>1.5113953230149615</v>
      </c>
      <c r="Y42" s="174">
        <f>MAX(Y66*Y$14,'Output - Jobs vs Yr (BAU)'!Y16)</f>
        <v>1.5781024088067317</v>
      </c>
      <c r="Z42" s="174">
        <f>MAX(Z66*Z$14,'Output - Jobs vs Yr (BAU)'!Z16)</f>
        <v>1.6439474999262806</v>
      </c>
      <c r="AA42" s="174">
        <f>MAX(AA66*AA$14,'Output - Jobs vs Yr (BAU)'!AA16)</f>
        <v>1.7113263298069956</v>
      </c>
      <c r="AB42" s="174">
        <f>MAX(AB66*AB$14,'Output - Jobs vs Yr (BAU)'!AB16)</f>
        <v>1.7810640944566443</v>
      </c>
      <c r="AC42" s="174">
        <f>MAX(AC66*AC$14,'Output - Jobs vs Yr (BAU)'!AC16)</f>
        <v>1.850291201010702</v>
      </c>
      <c r="AD42" s="174">
        <f>MAX(AD66*AD$14,'Output - Jobs vs Yr (BAU)'!AD16)</f>
        <v>1.9219200272100019</v>
      </c>
      <c r="AE42" s="174">
        <f>MAX(AE66*AE$14,'Output - Jobs vs Yr (BAU)'!AE16)</f>
        <v>1.9941266588658098</v>
      </c>
      <c r="AF42" s="174">
        <f>MAX(AF66*AF$14,'Output - Jobs vs Yr (BAU)'!AF16)</f>
        <v>2.066936138075989</v>
      </c>
      <c r="AG42" s="174">
        <f>MAX(AG66*AG$14,'Output - Jobs vs Yr (BAU)'!AG16)</f>
        <v>2.1374139128435172</v>
      </c>
      <c r="AH42" s="184">
        <f>Inputs!I23*'Output -Jobs vs Yr'!$AH$14</f>
        <v>2.2129936681332389</v>
      </c>
      <c r="AI42" s="127"/>
    </row>
    <row r="43" spans="1:36">
      <c r="A43" s="10" t="s">
        <v>332</v>
      </c>
      <c r="B43" s="37"/>
      <c r="C43" s="330">
        <f>SUM(C31:C42)</f>
        <v>16994.350600000002</v>
      </c>
      <c r="D43" s="330">
        <f t="shared" ref="D43:AG43" si="29">SUM(D31:D42)</f>
        <v>16902.40374435627</v>
      </c>
      <c r="E43" s="330">
        <f t="shared" si="29"/>
        <v>19096.249617291811</v>
      </c>
      <c r="F43" s="330">
        <f t="shared" si="29"/>
        <v>18088.117489773267</v>
      </c>
      <c r="G43" s="330">
        <f t="shared" si="29"/>
        <v>19266.716597191607</v>
      </c>
      <c r="H43" s="286">
        <f t="shared" si="29"/>
        <v>18755.981153752426</v>
      </c>
      <c r="I43" s="83">
        <f t="shared" si="29"/>
        <v>18989.991592415456</v>
      </c>
      <c r="J43" s="83">
        <f t="shared" si="29"/>
        <v>19412.29715600728</v>
      </c>
      <c r="K43" s="83">
        <f t="shared" si="29"/>
        <v>20059.574632931915</v>
      </c>
      <c r="L43" s="83">
        <f t="shared" si="29"/>
        <v>20849.774055141548</v>
      </c>
      <c r="M43" s="83">
        <f t="shared" si="29"/>
        <v>21287.835511650497</v>
      </c>
      <c r="N43" s="184">
        <f t="shared" si="29"/>
        <v>22337.898474434154</v>
      </c>
      <c r="O43" s="83">
        <f t="shared" si="29"/>
        <v>22578.836594851797</v>
      </c>
      <c r="P43" s="83">
        <f t="shared" si="29"/>
        <v>22872.054830030604</v>
      </c>
      <c r="Q43" s="83">
        <f t="shared" si="29"/>
        <v>23376.675037195804</v>
      </c>
      <c r="R43" s="83">
        <f t="shared" si="29"/>
        <v>23616.874744075471</v>
      </c>
      <c r="S43" s="83">
        <f t="shared" si="29"/>
        <v>23939.226891978531</v>
      </c>
      <c r="T43" s="83">
        <f t="shared" si="29"/>
        <v>24316.867914417413</v>
      </c>
      <c r="U43" s="83">
        <f t="shared" si="29"/>
        <v>24602.866824074928</v>
      </c>
      <c r="V43" s="83">
        <f t="shared" si="29"/>
        <v>24853.560075874982</v>
      </c>
      <c r="W43" s="83">
        <f t="shared" si="29"/>
        <v>25157.790015637238</v>
      </c>
      <c r="X43" s="184">
        <f t="shared" si="29"/>
        <v>25485.13732390499</v>
      </c>
      <c r="Y43" s="174">
        <f t="shared" si="29"/>
        <v>25950.260463005445</v>
      </c>
      <c r="Z43" s="174">
        <f t="shared" si="29"/>
        <v>26370.506684710737</v>
      </c>
      <c r="AA43" s="174">
        <f t="shared" si="29"/>
        <v>26786.441796713538</v>
      </c>
      <c r="AB43" s="174">
        <f t="shared" si="29"/>
        <v>27210.883499611813</v>
      </c>
      <c r="AC43" s="174">
        <f t="shared" si="29"/>
        <v>27600.408332008676</v>
      </c>
      <c r="AD43" s="174">
        <f t="shared" si="29"/>
        <v>27999.839250979014</v>
      </c>
      <c r="AE43" s="174">
        <f t="shared" si="29"/>
        <v>28382.595176953808</v>
      </c>
      <c r="AF43" s="174">
        <f t="shared" si="29"/>
        <v>28750.230991096712</v>
      </c>
      <c r="AG43" s="174">
        <f t="shared" si="29"/>
        <v>29064.008553853455</v>
      </c>
      <c r="AH43" s="184">
        <f>SUM(AH31:AH42)</f>
        <v>29426.409929063124</v>
      </c>
      <c r="AI43" s="127"/>
    </row>
    <row r="44" spans="1:36">
      <c r="A44" s="10" t="s">
        <v>124</v>
      </c>
      <c r="B44" s="37"/>
      <c r="C44" s="331">
        <f>SUMPRODUCT($B34:$B42,C34:C42)</f>
        <v>555.36059999999998</v>
      </c>
      <c r="D44" s="331">
        <f>SUMPRODUCT($B34:$B42,D34:D42)</f>
        <v>668.72350524112119</v>
      </c>
      <c r="E44" s="331">
        <f t="shared" ref="E44:AG44" si="30">SUMPRODUCT($B34:$B42*E34:E42)</f>
        <v>977.75709124973571</v>
      </c>
      <c r="F44" s="331">
        <f t="shared" si="30"/>
        <v>1196.1146787084542</v>
      </c>
      <c r="G44" s="331">
        <f t="shared" si="30"/>
        <v>1679.0775791616329</v>
      </c>
      <c r="H44" s="402">
        <f t="shared" si="30"/>
        <v>1165.3590835966372</v>
      </c>
      <c r="I44" s="14">
        <f>SUMPRODUCT($B34:$B42*I34:I42)</f>
        <v>1419.4192716649045</v>
      </c>
      <c r="J44" s="14">
        <f t="shared" si="30"/>
        <v>1774.3886484756836</v>
      </c>
      <c r="K44" s="14">
        <f t="shared" si="30"/>
        <v>2284.8204836791783</v>
      </c>
      <c r="L44" s="14">
        <f t="shared" si="30"/>
        <v>3130.2187943450795</v>
      </c>
      <c r="M44" s="14">
        <f t="shared" si="30"/>
        <v>3844.8498195418642</v>
      </c>
      <c r="N44" s="182">
        <f t="shared" si="30"/>
        <v>5120.2181057704547</v>
      </c>
      <c r="O44" s="14">
        <f t="shared" si="30"/>
        <v>5352.2673426471092</v>
      </c>
      <c r="P44" s="14">
        <f t="shared" si="30"/>
        <v>5605.0381768417174</v>
      </c>
      <c r="Q44" s="14">
        <f t="shared" si="30"/>
        <v>5920.159513286525</v>
      </c>
      <c r="R44" s="14">
        <f t="shared" si="30"/>
        <v>6178.7214061769673</v>
      </c>
      <c r="S44" s="14">
        <f t="shared" si="30"/>
        <v>6467.6864045149869</v>
      </c>
      <c r="T44" s="14">
        <f t="shared" si="30"/>
        <v>6781.7814745670412</v>
      </c>
      <c r="U44" s="14">
        <f t="shared" si="30"/>
        <v>7080.3464334854643</v>
      </c>
      <c r="V44" s="14">
        <f t="shared" si="30"/>
        <v>7377.700183116478</v>
      </c>
      <c r="W44" s="14">
        <f t="shared" si="30"/>
        <v>7700.0632889945109</v>
      </c>
      <c r="X44" s="187">
        <f t="shared" si="30"/>
        <v>8039.3675881571326</v>
      </c>
      <c r="Y44" s="14">
        <f t="shared" si="30"/>
        <v>8394.4435567718738</v>
      </c>
      <c r="Z44" s="14">
        <f t="shared" si="30"/>
        <v>8744.9441254139638</v>
      </c>
      <c r="AA44" s="14">
        <f t="shared" si="30"/>
        <v>9103.585658857859</v>
      </c>
      <c r="AB44" s="14">
        <f t="shared" si="30"/>
        <v>9474.7482326574427</v>
      </c>
      <c r="AC44" s="14">
        <f t="shared" si="30"/>
        <v>9843.2002734202233</v>
      </c>
      <c r="AD44" s="14">
        <f t="shared" si="30"/>
        <v>10224.400453299511</v>
      </c>
      <c r="AE44" s="14">
        <f t="shared" si="30"/>
        <v>10608.667579129982</v>
      </c>
      <c r="AF44" s="14">
        <f t="shared" si="30"/>
        <v>10996.134572398929</v>
      </c>
      <c r="AG44" s="14">
        <f t="shared" si="30"/>
        <v>11371.22506174396</v>
      </c>
      <c r="AH44" s="187">
        <f>SUMPRODUCT($B34:$B42*AH34:AH42)</f>
        <v>11773.396462716402</v>
      </c>
      <c r="AI44" s="127"/>
    </row>
    <row r="45" spans="1:36">
      <c r="A45" s="10" t="s">
        <v>117</v>
      </c>
      <c r="B45" s="37"/>
      <c r="C45" s="332">
        <f t="shared" ref="C45:AG45" si="31">C44/C14</f>
        <v>1.2765149634533167E-2</v>
      </c>
      <c r="D45" s="332">
        <f t="shared" si="31"/>
        <v>1.5411216474030263E-2</v>
      </c>
      <c r="E45" s="332">
        <f t="shared" si="31"/>
        <v>1.9987303149843639E-2</v>
      </c>
      <c r="F45" s="332">
        <f t="shared" si="31"/>
        <v>2.5961553193620163E-2</v>
      </c>
      <c r="G45" s="332">
        <f t="shared" si="31"/>
        <v>3.4645813342076809E-2</v>
      </c>
      <c r="H45" s="284">
        <f t="shared" si="31"/>
        <v>2.4012551716252176E-2</v>
      </c>
      <c r="I45" s="23">
        <f t="shared" si="31"/>
        <v>2.8934467696187616E-2</v>
      </c>
      <c r="J45" s="23">
        <f t="shared" si="31"/>
        <v>3.5600907615149995E-2</v>
      </c>
      <c r="K45" s="23">
        <f t="shared" si="31"/>
        <v>4.4937902840806766E-2</v>
      </c>
      <c r="L45" s="23">
        <f t="shared" si="31"/>
        <v>6.0999426852019034E-2</v>
      </c>
      <c r="M45" s="23">
        <f t="shared" si="31"/>
        <v>7.5168346972748892E-2</v>
      </c>
      <c r="N45" s="178">
        <f t="shared" si="31"/>
        <v>0.10013690008630964</v>
      </c>
      <c r="O45" s="23">
        <f t="shared" si="31"/>
        <v>0.10429386177196766</v>
      </c>
      <c r="P45" s="23">
        <f t="shared" si="31"/>
        <v>0.10862159061789731</v>
      </c>
      <c r="Q45" s="207">
        <f t="shared" si="31"/>
        <v>0.11312577924022862</v>
      </c>
      <c r="R45" s="207">
        <f t="shared" si="31"/>
        <v>0.1178176534457494</v>
      </c>
      <c r="S45" s="207">
        <f t="shared" si="31"/>
        <v>0.12270214594313085</v>
      </c>
      <c r="T45" s="207">
        <f t="shared" si="31"/>
        <v>0.12778740579900569</v>
      </c>
      <c r="U45" s="207">
        <f t="shared" si="31"/>
        <v>0.1330832701269811</v>
      </c>
      <c r="V45" s="207">
        <f t="shared" si="31"/>
        <v>0.138597977743112</v>
      </c>
      <c r="W45" s="207">
        <f t="shared" si="31"/>
        <v>0.14433959909332708</v>
      </c>
      <c r="X45" s="185">
        <f t="shared" si="31"/>
        <v>0.1503178612762352</v>
      </c>
      <c r="Y45" s="172">
        <f t="shared" si="31"/>
        <v>0.15546631673985842</v>
      </c>
      <c r="Z45" s="172">
        <f t="shared" si="31"/>
        <v>0.16079090418026853</v>
      </c>
      <c r="AA45" s="172">
        <f t="shared" si="31"/>
        <v>0.16629716165431965</v>
      </c>
      <c r="AB45" s="172">
        <f t="shared" si="31"/>
        <v>0.17199115763052578</v>
      </c>
      <c r="AC45" s="172">
        <f t="shared" si="31"/>
        <v>0.17787996329587821</v>
      </c>
      <c r="AD45" s="172">
        <f t="shared" si="31"/>
        <v>0.18396963019459978</v>
      </c>
      <c r="AE45" s="172">
        <f t="shared" si="31"/>
        <v>0.19026745184824354</v>
      </c>
      <c r="AF45" s="172">
        <f t="shared" si="31"/>
        <v>0.19678055974853931</v>
      </c>
      <c r="AG45" s="172">
        <f t="shared" si="31"/>
        <v>0.20351697122881851</v>
      </c>
      <c r="AH45" s="185">
        <f>AH44/AH14</f>
        <v>0.21048270122824442</v>
      </c>
      <c r="AI45" s="127"/>
    </row>
    <row r="46" spans="1:36" s="252" customFormat="1">
      <c r="A46" s="10" t="s">
        <v>333</v>
      </c>
      <c r="B46" s="37"/>
      <c r="C46" s="330">
        <f>SUM(EIA_electricity_aeo2014!E50,EIA_electricity_aeo2014!E55)*1000</f>
        <v>586.00000000000011</v>
      </c>
      <c r="D46" s="330">
        <f>SUM(EIA_electricity_aeo2014!F50,EIA_electricity_aeo2014!F55)*1000</f>
        <v>592.00000000000011</v>
      </c>
      <c r="E46" s="330">
        <f>SUM(EIA_electricity_aeo2014!G50,EIA_electricity_aeo2014!G55)*1000</f>
        <v>674.25614749899171</v>
      </c>
      <c r="F46" s="330">
        <f>SUM(EIA_electricity_aeo2014!H50,EIA_electricity_aeo2014!H55)*1000</f>
        <v>551.49709892928081</v>
      </c>
      <c r="G46" s="330">
        <f>SUM(EIA_electricity_aeo2014!I50,EIA_electricity_aeo2014!I55)*1000</f>
        <v>442.3102833494321</v>
      </c>
      <c r="H46" s="286">
        <f>SUM(EIA_electricity_aeo2014!J50,EIA_electricity_aeo2014!J55)*1000</f>
        <v>442.4765119866031</v>
      </c>
      <c r="I46" s="286">
        <f>SUM(EIA_electricity_aeo2014!K50,EIA_electricity_aeo2014!K55)*1000</f>
        <v>439.2274191030794</v>
      </c>
      <c r="J46" s="286">
        <f>SUM(EIA_electricity_aeo2014!L50,EIA_electricity_aeo2014!L55)*1000</f>
        <v>430.79824970682762</v>
      </c>
      <c r="K46" s="286">
        <f>SUM(EIA_electricity_aeo2014!M50,EIA_electricity_aeo2014!M55)*1000</f>
        <v>436.50462186374864</v>
      </c>
      <c r="L46" s="286">
        <f>SUM(EIA_electricity_aeo2014!N50,EIA_electricity_aeo2014!N55)*1000</f>
        <v>442.01172912997436</v>
      </c>
      <c r="M46" s="286">
        <f>SUM(EIA_electricity_aeo2014!O50,EIA_electricity_aeo2014!O55)*1000</f>
        <v>445.30986652470727</v>
      </c>
      <c r="N46" s="286">
        <f>SUM(EIA_electricity_aeo2014!P50,EIA_electricity_aeo2014!P55)*1000</f>
        <v>446.78450818879367</v>
      </c>
      <c r="O46" s="286">
        <f>SUM(EIA_electricity_aeo2014!Q50,EIA_electricity_aeo2014!Q55)*1000</f>
        <v>449.27878715068272</v>
      </c>
      <c r="P46" s="286">
        <f>SUM(EIA_electricity_aeo2014!R50,EIA_electricity_aeo2014!R55)*1000</f>
        <v>450.97564355252422</v>
      </c>
      <c r="Q46" s="286">
        <f>SUM(EIA_electricity_aeo2014!S50,EIA_electricity_aeo2014!S55)*1000</f>
        <v>451.46733597735749</v>
      </c>
      <c r="R46" s="286">
        <f>SUM(EIA_electricity_aeo2014!T50,EIA_electricity_aeo2014!T55)*1000</f>
        <v>449.96223677732513</v>
      </c>
      <c r="S46" s="286">
        <f>SUM(EIA_electricity_aeo2014!U50,EIA_electricity_aeo2014!U55)*1000</f>
        <v>449.11217847155052</v>
      </c>
      <c r="T46" s="286">
        <f>SUM(EIA_electricity_aeo2014!V50,EIA_electricity_aeo2014!V55)*1000</f>
        <v>447.89067615787371</v>
      </c>
      <c r="U46" s="286">
        <f>SUM(EIA_electricity_aeo2014!W50,EIA_electricity_aeo2014!W55)*1000</f>
        <v>447.10975622318398</v>
      </c>
      <c r="V46" s="286">
        <f>SUM(EIA_electricity_aeo2014!X50,EIA_electricity_aeo2014!X55)*1000</f>
        <v>446.41559731030736</v>
      </c>
      <c r="W46" s="286">
        <f>SUM(EIA_electricity_aeo2014!Y50,EIA_electricity_aeo2014!Y55)*1000</f>
        <v>446.52890202290598</v>
      </c>
      <c r="X46" s="286">
        <f>SUM(EIA_electricity_aeo2014!Z50,EIA_electricity_aeo2014!Z55)*1000</f>
        <v>447.88685128873152</v>
      </c>
      <c r="Y46" s="286">
        <f>SUM(EIA_electricity_aeo2014!AA50,EIA_electricity_aeo2014!AA55)*1000</f>
        <v>446.24817759577462</v>
      </c>
      <c r="Z46" s="286">
        <f>SUM(EIA_electricity_aeo2014!AB50,EIA_electricity_aeo2014!AB55)*1000</f>
        <v>445.533031327174</v>
      </c>
      <c r="AA46" s="286">
        <f>SUM(EIA_electricity_aeo2014!AC50,EIA_electricity_aeo2014!AC55)*1000</f>
        <v>445.58412918051363</v>
      </c>
      <c r="AB46" s="286">
        <f>SUM(EIA_electricity_aeo2014!AD50,EIA_electricity_aeo2014!AD55)*1000</f>
        <v>446.05593138464201</v>
      </c>
      <c r="AC46" s="286">
        <f>SUM(EIA_electricity_aeo2014!AE50,EIA_electricity_aeo2014!AE55)*1000</f>
        <v>445.87922707204103</v>
      </c>
      <c r="AD46" s="286">
        <f>SUM(EIA_electricity_aeo2014!AF50,EIA_electricity_aeo2014!AF55)*1000</f>
        <v>445.72065035460696</v>
      </c>
      <c r="AE46" s="286">
        <f>SUM(EIA_electricity_aeo2014!AG50,EIA_electricity_aeo2014!AG55)*1000</f>
        <v>445.7267612239134</v>
      </c>
      <c r="AF46" s="286">
        <f>SUM(EIA_electricity_aeo2014!AH50,EIA_electricity_aeo2014!AH55)*1000</f>
        <v>445.57919482703602</v>
      </c>
      <c r="AG46" s="286">
        <f>SUM(EIA_electricity_aeo2014!AI50,EIA_electricity_aeo2014!AI55)*1000</f>
        <v>445.81162925713619</v>
      </c>
      <c r="AH46" s="286">
        <f>SUM(EIA_electricity_aeo2014!AJ50,EIA_electricity_aeo2014!AJ55)*1000</f>
        <v>445.67061183505103</v>
      </c>
      <c r="AI46" s="292"/>
    </row>
    <row r="47" spans="1:36" s="252" customFormat="1">
      <c r="A47" s="10" t="s">
        <v>142</v>
      </c>
      <c r="B47" s="37"/>
      <c r="C47" s="330">
        <f>(C$14-C$43-C$46)*0.7</f>
        <v>18147.954579999998</v>
      </c>
      <c r="D47" s="330">
        <f>(D$14-D$30-D$43-D$46)*EIA_electricity_aeo2014!F60</f>
        <v>23073.378813422769</v>
      </c>
      <c r="E47" s="330">
        <f>(E$14-E$30-E$43-E$46)*EIA_electricity_aeo2014!G60</f>
        <v>25398.255256861248</v>
      </c>
      <c r="F47" s="330">
        <f>(F$14-F$30-F$43-F$46)*EIA_electricity_aeo2014!H60</f>
        <v>21971.860570149733</v>
      </c>
      <c r="G47" s="330">
        <f>(G$14-G$30-G$43-G$46)*EIA_electricity_aeo2014!I60</f>
        <v>24466.206295753673</v>
      </c>
      <c r="H47" s="286">
        <f>(H$14-H$30-H$43-H$46)*EIA_electricity_aeo2014!J60</f>
        <v>25099.847683644173</v>
      </c>
      <c r="I47" s="286">
        <f>(I$14-I$30-I$43-I$46)*EIA_electricity_aeo2014!K60</f>
        <v>24881.040773885212</v>
      </c>
      <c r="J47" s="286">
        <f>(J$14-J$30-J$43-J$46)*EIA_electricity_aeo2014!L60</f>
        <v>24567.949826510223</v>
      </c>
      <c r="K47" s="286">
        <f>(K$14-K$30-K$43-K$46)*EIA_electricity_aeo2014!M60</f>
        <v>24805.137585937857</v>
      </c>
      <c r="L47" s="286">
        <f>(L$14-L$30-L$43-L$46)*EIA_electricity_aeo2014!N60</f>
        <v>24486.703254046424</v>
      </c>
      <c r="M47" s="286">
        <f>(M$14-M$30-M$43-M$46)*EIA_electricity_aeo2014!O60</f>
        <v>23961.157185155524</v>
      </c>
      <c r="N47" s="287">
        <f>(N$14-N$43-N$46)*EIA_electricity_aeo2014!P60 - N30</f>
        <v>23072.467851293277</v>
      </c>
      <c r="O47" s="286">
        <f>(O$14-O$43-O$46)*EIA_electricity_aeo2014!Q60 - O30</f>
        <v>23138.579413375992</v>
      </c>
      <c r="P47" s="286">
        <f>(P$14-P$43-P$46)*EIA_electricity_aeo2014!R60 - P30</f>
        <v>23084.137084361388</v>
      </c>
      <c r="Q47" s="286">
        <f>(Q$14-Q$43-Q$46)*EIA_electricity_aeo2014!S60 - Q30</f>
        <v>23097.250272766789</v>
      </c>
      <c r="R47" s="286">
        <f>(R$14-R$43-R$46)*EIA_electricity_aeo2014!T60 - R30</f>
        <v>23032.410300974054</v>
      </c>
      <c r="S47" s="286">
        <f>(S$14-S$43-S$46)*EIA_electricity_aeo2014!U60 - S30</f>
        <v>22995.479019486665</v>
      </c>
      <c r="T47" s="286">
        <f>(T$14-T$43-T$46)*EIA_electricity_aeo2014!V60 - T30</f>
        <v>22745.10746307471</v>
      </c>
      <c r="U47" s="286">
        <f>(U$14-U$43-U$46)*EIA_electricity_aeo2014!W60 - U30</f>
        <v>22546.194024310549</v>
      </c>
      <c r="V47" s="286">
        <f>(V$14-V$43-V$46)*EIA_electricity_aeo2014!X60 - V30</f>
        <v>22395.732069223108</v>
      </c>
      <c r="W47" s="286">
        <f>(W$14-W$43-W$46)*EIA_electricity_aeo2014!Y60 - W30</f>
        <v>22183.623292434524</v>
      </c>
      <c r="X47" s="287">
        <f>(X$14-X$43-X$46)*EIA_electricity_aeo2014!Z60 - X30</f>
        <v>22047.193554228783</v>
      </c>
      <c r="Y47" s="286">
        <f>(Y$14-Y$43-Y$46)*EIA_electricity_aeo2014!AA60 - Y30</f>
        <v>21823.45003958117</v>
      </c>
      <c r="Z47" s="286">
        <f>(Z$14-Z$43-Z$46)*EIA_electricity_aeo2014!AB60 - Z30</f>
        <v>21573.209681057921</v>
      </c>
      <c r="AA47" s="286">
        <f>(AA$14-AA$43-AA$46)*EIA_electricity_aeo2014!AC60 - AA30</f>
        <v>21283.790608337411</v>
      </c>
      <c r="AB47" s="286">
        <f>(AB$14-AB$43-AB$46)*EIA_electricity_aeo2014!AD60 - AB30</f>
        <v>21042.276508806764</v>
      </c>
      <c r="AC47" s="286">
        <f>(AC$14-AC$43-AC$46)*EIA_electricity_aeo2014!AE60 - AC30</f>
        <v>20796.878531291833</v>
      </c>
      <c r="AD47" s="286">
        <f>(AD$14-AD$43-AD$46)*EIA_electricity_aeo2014!AF60 - AD30</f>
        <v>20522.917610879773</v>
      </c>
      <c r="AE47" s="286">
        <f>(AE$14-AE$43-AE$46)*EIA_electricity_aeo2014!AG60 - AE30</f>
        <v>20251.821118158274</v>
      </c>
      <c r="AF47" s="286">
        <f>(AF$14-AF$43-AF$46)*EIA_electricity_aeo2014!AH60 - AF30</f>
        <v>19987.044189179251</v>
      </c>
      <c r="AG47" s="286">
        <f>(AG$14-AG$43-AG$46)*EIA_electricity_aeo2014!AI60 - AG30</f>
        <v>19737.854044316951</v>
      </c>
      <c r="AH47" s="287">
        <f>(AH$14-AH$43-AH$46)*EIA_electricity_aeo2014!AJ60 - AH30</f>
        <v>19468.644889699561</v>
      </c>
      <c r="AI47" s="292"/>
      <c r="AJ47" s="398"/>
    </row>
    <row r="48" spans="1:36" s="252" customFormat="1">
      <c r="A48" s="10" t="s">
        <v>222</v>
      </c>
      <c r="B48" s="37"/>
      <c r="C48" s="330">
        <f>(C$14-C$43-C$46)* 0.3</f>
        <v>7777.6948199999988</v>
      </c>
      <c r="D48" s="330">
        <f t="shared" ref="D48:AH48" si="32">(D$14-SUM(D30:D42,D46:D47))</f>
        <v>2824.2174422209646</v>
      </c>
      <c r="E48" s="330">
        <f t="shared" si="32"/>
        <v>3750.1493445713495</v>
      </c>
      <c r="F48" s="330">
        <f>(F$14-SUM(F30:F42,F46:F47))</f>
        <v>5461.0640990219181</v>
      </c>
      <c r="G48" s="330">
        <f t="shared" si="32"/>
        <v>4288.8499896334179</v>
      </c>
      <c r="H48" s="286">
        <f t="shared" si="32"/>
        <v>4232.9418652932363</v>
      </c>
      <c r="I48" s="286">
        <f t="shared" si="32"/>
        <v>4746.0866650936368</v>
      </c>
      <c r="J48" s="286">
        <f t="shared" si="32"/>
        <v>5430.0618445118598</v>
      </c>
      <c r="K48" s="286">
        <f t="shared" si="32"/>
        <v>5542.7331266957844</v>
      </c>
      <c r="L48" s="286">
        <f t="shared" si="32"/>
        <v>5537.0553181692594</v>
      </c>
      <c r="M48" s="286">
        <f t="shared" si="32"/>
        <v>5455.5493941129316</v>
      </c>
      <c r="N48" s="287">
        <f t="shared" si="32"/>
        <v>5275.0302237883225</v>
      </c>
      <c r="O48" s="286">
        <f t="shared" si="32"/>
        <v>5152.4073234933385</v>
      </c>
      <c r="P48" s="286">
        <f t="shared" si="32"/>
        <v>5194.3432002508198</v>
      </c>
      <c r="Q48" s="286">
        <f t="shared" si="32"/>
        <v>5407.1486461270906</v>
      </c>
      <c r="R48" s="286">
        <f t="shared" si="32"/>
        <v>5343.8393479882288</v>
      </c>
      <c r="S48" s="286">
        <f t="shared" si="32"/>
        <v>5326.640678344178</v>
      </c>
      <c r="T48" s="286">
        <f t="shared" si="32"/>
        <v>5560.9466149628424</v>
      </c>
      <c r="U48" s="286">
        <f t="shared" si="32"/>
        <v>5606.207325613279</v>
      </c>
      <c r="V48" s="286">
        <f t="shared" si="32"/>
        <v>5535.2289801379229</v>
      </c>
      <c r="W48" s="286">
        <f t="shared" si="32"/>
        <v>5558.9101946692172</v>
      </c>
      <c r="X48" s="287">
        <f t="shared" si="32"/>
        <v>5502.2328582917326</v>
      </c>
      <c r="Y48" s="286">
        <f t="shared" si="32"/>
        <v>5775.2972235017805</v>
      </c>
      <c r="Z48" s="286">
        <f t="shared" si="32"/>
        <v>5997.8079429741556</v>
      </c>
      <c r="AA48" s="286">
        <f t="shared" si="32"/>
        <v>6227.0640314717384</v>
      </c>
      <c r="AB48" s="286">
        <f t="shared" si="32"/>
        <v>6389.3616544662</v>
      </c>
      <c r="AC48" s="286">
        <f t="shared" si="32"/>
        <v>6493.0285604406454</v>
      </c>
      <c r="AD48" s="286">
        <f t="shared" si="32"/>
        <v>6608.0893509385496</v>
      </c>
      <c r="AE48" s="286">
        <f t="shared" si="32"/>
        <v>6676.464161967473</v>
      </c>
      <c r="AF48" s="286">
        <f t="shared" si="32"/>
        <v>6697.3331111537773</v>
      </c>
      <c r="AG48" s="286">
        <f t="shared" si="32"/>
        <v>6625.9219306002124</v>
      </c>
      <c r="AH48" s="287">
        <f t="shared" si="32"/>
        <v>6594.4958204327704</v>
      </c>
      <c r="AI48" s="292"/>
    </row>
    <row r="49" spans="1:35" s="252" customFormat="1">
      <c r="A49" s="10" t="s">
        <v>334</v>
      </c>
      <c r="B49" s="37"/>
      <c r="C49" s="330">
        <f>SUM(C43,C46:C48)</f>
        <v>43505.999999999993</v>
      </c>
      <c r="D49" s="330">
        <f t="shared" ref="D49:M49" si="33">SUM(D43,D46:D48)+D30</f>
        <v>43392</v>
      </c>
      <c r="E49" s="330">
        <f t="shared" si="33"/>
        <v>48918.910366223405</v>
      </c>
      <c r="F49" s="330">
        <f t="shared" si="33"/>
        <v>46072.539257874196</v>
      </c>
      <c r="G49" s="330">
        <f t="shared" si="33"/>
        <v>48464.083165928132</v>
      </c>
      <c r="H49" s="286">
        <f>SUM(H43,H46:H48)+H30</f>
        <v>48531.247214676434</v>
      </c>
      <c r="I49" s="286">
        <f t="shared" si="33"/>
        <v>49056.346450497382</v>
      </c>
      <c r="J49" s="286">
        <f t="shared" si="33"/>
        <v>49841.107076736189</v>
      </c>
      <c r="K49" s="286">
        <f t="shared" si="33"/>
        <v>50843.949967429304</v>
      </c>
      <c r="L49" s="286">
        <f t="shared" si="33"/>
        <v>51315.544356487204</v>
      </c>
      <c r="M49" s="286">
        <f t="shared" si="33"/>
        <v>51149.851957443658</v>
      </c>
      <c r="N49" s="287">
        <f t="shared" ref="N49:AH49" si="34">SUM(N43,N46:N48)+N30</f>
        <v>51132.181057704547</v>
      </c>
      <c r="O49" s="286">
        <f t="shared" si="34"/>
        <v>51319.102118871808</v>
      </c>
      <c r="P49" s="286">
        <f t="shared" si="34"/>
        <v>51601.510758195334</v>
      </c>
      <c r="Q49" s="286">
        <f t="shared" si="34"/>
        <v>52332.541292067042</v>
      </c>
      <c r="R49" s="286">
        <f t="shared" si="34"/>
        <v>52443.08662981508</v>
      </c>
      <c r="S49" s="286">
        <f t="shared" si="34"/>
        <v>52710.458768280922</v>
      </c>
      <c r="T49" s="286">
        <f t="shared" si="34"/>
        <v>53070.812668612838</v>
      </c>
      <c r="U49" s="286">
        <f t="shared" si="34"/>
        <v>53202.377930221941</v>
      </c>
      <c r="V49" s="286">
        <f t="shared" si="34"/>
        <v>53230.936722546321</v>
      </c>
      <c r="W49" s="286">
        <f t="shared" si="34"/>
        <v>53346.852404763886</v>
      </c>
      <c r="X49" s="287">
        <f t="shared" si="34"/>
        <v>53482.450587714236</v>
      </c>
      <c r="Y49" s="286">
        <f t="shared" si="34"/>
        <v>53995.25590368417</v>
      </c>
      <c r="Z49" s="286">
        <f t="shared" si="34"/>
        <v>54387.057340069987</v>
      </c>
      <c r="AA49" s="286">
        <f t="shared" si="34"/>
        <v>54742.880565703199</v>
      </c>
      <c r="AB49" s="286">
        <f t="shared" si="34"/>
        <v>55088.577594269424</v>
      </c>
      <c r="AC49" s="286">
        <f t="shared" si="34"/>
        <v>55336.194650813195</v>
      </c>
      <c r="AD49" s="286">
        <f t="shared" si="34"/>
        <v>55576.566863151944</v>
      </c>
      <c r="AE49" s="286">
        <f t="shared" si="34"/>
        <v>55756.607218303463</v>
      </c>
      <c r="AF49" s="286">
        <f t="shared" si="34"/>
        <v>55880.187486256771</v>
      </c>
      <c r="AG49" s="286">
        <f t="shared" si="34"/>
        <v>55873.596158027758</v>
      </c>
      <c r="AH49" s="287">
        <f t="shared" si="34"/>
        <v>55935.221251030511</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542</v>
      </c>
      <c r="B51" s="37"/>
      <c r="C51" s="332"/>
      <c r="D51" s="332">
        <f>D44/C44-1</f>
        <v>0.20412486093021576</v>
      </c>
      <c r="E51" s="332">
        <f t="shared" ref="E51:X51" si="36">E44/D44-1</f>
        <v>0.46212460544090872</v>
      </c>
      <c r="F51" s="332">
        <f t="shared" si="36"/>
        <v>0.2233249847153973</v>
      </c>
      <c r="G51" s="332">
        <f>G44/F44-1</f>
        <v>0.40377641797245922</v>
      </c>
      <c r="H51" s="284"/>
      <c r="I51" s="164">
        <f t="shared" ref="I51:N51" si="37">I44/H44-1</f>
        <v>0.21801021817598376</v>
      </c>
      <c r="J51" s="172">
        <f t="shared" si="37"/>
        <v>0.25008070828460616</v>
      </c>
      <c r="K51" s="172">
        <f t="shared" si="37"/>
        <v>0.28766631010742172</v>
      </c>
      <c r="L51" s="172">
        <f t="shared" si="37"/>
        <v>0.37000644764204038</v>
      </c>
      <c r="M51" s="172">
        <f t="shared" si="37"/>
        <v>0.22830066271655092</v>
      </c>
      <c r="N51" s="172">
        <f t="shared" si="37"/>
        <v>0.33170821906915404</v>
      </c>
      <c r="O51" s="172">
        <f t="shared" ref="O51:R51" si="38">O44/N44-1</f>
        <v>4.5320185992689721E-2</v>
      </c>
      <c r="P51" s="172">
        <f t="shared" si="38"/>
        <v>4.7226870037025082E-2</v>
      </c>
      <c r="Q51" s="172">
        <f t="shared" si="38"/>
        <v>5.6221086547954657E-2</v>
      </c>
      <c r="R51" s="172">
        <f t="shared" si="38"/>
        <v>4.3674818610909938E-2</v>
      </c>
      <c r="S51" s="164">
        <f t="shared" si="36"/>
        <v>4.6767766232207242E-2</v>
      </c>
      <c r="T51" s="164">
        <f t="shared" si="36"/>
        <v>4.8563744499546146E-2</v>
      </c>
      <c r="U51" s="164">
        <f t="shared" si="36"/>
        <v>4.4024561988335709E-2</v>
      </c>
      <c r="V51" s="164">
        <f t="shared" si="36"/>
        <v>4.1997062209374825E-2</v>
      </c>
      <c r="W51" s="164">
        <f t="shared" si="36"/>
        <v>4.3694254019124523E-2</v>
      </c>
      <c r="X51" s="185">
        <f t="shared" si="36"/>
        <v>4.4065131211009634E-2</v>
      </c>
      <c r="Y51" s="172">
        <f t="shared" ref="Y51:AH51" si="39">Y44/X44-1</f>
        <v>4.4167151796592474E-2</v>
      </c>
      <c r="Z51" s="172">
        <f t="shared" si="39"/>
        <v>4.1753877582432208E-2</v>
      </c>
      <c r="AA51" s="172">
        <f t="shared" si="39"/>
        <v>4.1011300735660061E-2</v>
      </c>
      <c r="AB51" s="172">
        <f t="shared" si="39"/>
        <v>4.077103107591884E-2</v>
      </c>
      <c r="AC51" s="172">
        <f t="shared" si="39"/>
        <v>3.8887792236294461E-2</v>
      </c>
      <c r="AD51" s="172">
        <f t="shared" si="39"/>
        <v>3.8727260371675065E-2</v>
      </c>
      <c r="AE51" s="172">
        <f t="shared" si="39"/>
        <v>3.758334071377889E-2</v>
      </c>
      <c r="AF51" s="172">
        <f t="shared" si="39"/>
        <v>3.6523624703935109E-2</v>
      </c>
      <c r="AG51" s="172">
        <f t="shared" si="39"/>
        <v>3.4111122128910099E-2</v>
      </c>
      <c r="AH51" s="185">
        <f t="shared" si="39"/>
        <v>3.53674647004798E-2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541</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4.3419068634211383E-2</v>
      </c>
      <c r="D56" s="336">
        <f t="shared" si="40"/>
        <v>4.562128707042911E-2</v>
      </c>
      <c r="E56" s="336">
        <f t="shared" si="40"/>
        <v>4.7823505506646845E-2</v>
      </c>
      <c r="F56" s="336">
        <f t="shared" si="40"/>
        <v>5.0025723942864579E-2</v>
      </c>
      <c r="G56" s="336">
        <f t="shared" si="40"/>
        <v>5.2227942379082314E-2</v>
      </c>
      <c r="H56" s="396">
        <f t="shared" si="40"/>
        <v>5.9896655391883685E-2</v>
      </c>
      <c r="I56" s="173">
        <f t="shared" si="40"/>
        <v>6.118779139867081E-2</v>
      </c>
      <c r="J56" s="173">
        <f t="shared" si="40"/>
        <v>6.2478927405457935E-2</v>
      </c>
      <c r="K56" s="173">
        <f t="shared" si="40"/>
        <v>6.3770063412245059E-2</v>
      </c>
      <c r="L56" s="173">
        <f t="shared" si="40"/>
        <v>6.5061199419032184E-2</v>
      </c>
      <c r="M56" s="173">
        <f t="shared" si="40"/>
        <v>6.6352335425819309E-2</v>
      </c>
      <c r="N56" s="178">
        <f>N26</f>
        <v>6.7643471432606433E-2</v>
      </c>
      <c r="O56" s="116">
        <f t="shared" ref="O56:AH56" si="41">O31/O$49</f>
        <v>6.7431886396219526E-2</v>
      </c>
      <c r="P56" s="116">
        <f t="shared" si="41"/>
        <v>6.7220301359832618E-2</v>
      </c>
      <c r="Q56" s="116">
        <f t="shared" si="41"/>
        <v>6.7008716323445711E-2</v>
      </c>
      <c r="R56" s="116">
        <f t="shared" si="41"/>
        <v>6.6797131287058803E-2</v>
      </c>
      <c r="S56" s="116">
        <f t="shared" si="41"/>
        <v>6.6585546250671895E-2</v>
      </c>
      <c r="T56" s="116">
        <f t="shared" si="41"/>
        <v>6.6373961214284988E-2</v>
      </c>
      <c r="U56" s="116">
        <f t="shared" si="41"/>
        <v>6.616237617789808E-2</v>
      </c>
      <c r="V56" s="116">
        <f t="shared" si="41"/>
        <v>6.5950791141511172E-2</v>
      </c>
      <c r="W56" s="116">
        <f t="shared" si="41"/>
        <v>6.5739206105124265E-2</v>
      </c>
      <c r="X56" s="178">
        <f t="shared" si="41"/>
        <v>6.5527621068737371E-2</v>
      </c>
      <c r="Y56" s="173">
        <f t="shared" si="41"/>
        <v>6.5314710037755491E-2</v>
      </c>
      <c r="Z56" s="173">
        <f t="shared" si="41"/>
        <v>6.5101799006773611E-2</v>
      </c>
      <c r="AA56" s="173">
        <f t="shared" si="41"/>
        <v>6.4888887975791731E-2</v>
      </c>
      <c r="AB56" s="173">
        <f t="shared" si="41"/>
        <v>6.4675976944809851E-2</v>
      </c>
      <c r="AC56" s="173">
        <f t="shared" si="41"/>
        <v>6.4463065913827972E-2</v>
      </c>
      <c r="AD56" s="173">
        <f t="shared" si="41"/>
        <v>6.4250154882846092E-2</v>
      </c>
      <c r="AE56" s="173">
        <f t="shared" si="41"/>
        <v>6.4037243851864212E-2</v>
      </c>
      <c r="AF56" s="173">
        <f t="shared" si="41"/>
        <v>6.3824332820882332E-2</v>
      </c>
      <c r="AG56" s="173">
        <f t="shared" si="41"/>
        <v>6.3611421789900452E-2</v>
      </c>
      <c r="AH56" s="178">
        <f t="shared" si="41"/>
        <v>6.339851075891853E-2</v>
      </c>
      <c r="AI56" s="127"/>
    </row>
    <row r="57" spans="1:35">
      <c r="A57" s="9" t="s">
        <v>59</v>
      </c>
      <c r="B57" s="37"/>
      <c r="C57" s="336">
        <f t="shared" ref="C57:M57" si="42">C32/C$49</f>
        <v>0.33443662943042346</v>
      </c>
      <c r="D57" s="336">
        <f t="shared" si="42"/>
        <v>0.32849560634575692</v>
      </c>
      <c r="E57" s="336">
        <f t="shared" si="42"/>
        <v>0.32255458326109043</v>
      </c>
      <c r="F57" s="336">
        <f t="shared" si="42"/>
        <v>0.31661356017642395</v>
      </c>
      <c r="G57" s="336">
        <f t="shared" si="42"/>
        <v>0.31067253709175746</v>
      </c>
      <c r="H57" s="396">
        <f t="shared" si="42"/>
        <v>0.30256306035257741</v>
      </c>
      <c r="I57" s="116">
        <f t="shared" si="42"/>
        <v>0.2969834462103299</v>
      </c>
      <c r="J57" s="116">
        <f t="shared" si="42"/>
        <v>0.2914038320680824</v>
      </c>
      <c r="K57" s="116">
        <f t="shared" si="42"/>
        <v>0.2858242179258349</v>
      </c>
      <c r="L57" s="116">
        <f t="shared" si="42"/>
        <v>0.2802446037835874</v>
      </c>
      <c r="M57" s="116">
        <f t="shared" si="42"/>
        <v>0.2746649896413399</v>
      </c>
      <c r="N57" s="178">
        <f>N18</f>
        <v>0.26908537549909223</v>
      </c>
      <c r="O57" s="116">
        <f t="shared" ref="O57:AH57" si="43">O32/O$49</f>
        <v>0.26824369133119902</v>
      </c>
      <c r="P57" s="116">
        <f t="shared" si="43"/>
        <v>0.26740200716330581</v>
      </c>
      <c r="Q57" s="116">
        <f t="shared" si="43"/>
        <v>0.2665603229954126</v>
      </c>
      <c r="R57" s="116">
        <f t="shared" si="43"/>
        <v>0.26571863882751939</v>
      </c>
      <c r="S57" s="116">
        <f t="shared" si="43"/>
        <v>0.26487695465962618</v>
      </c>
      <c r="T57" s="116">
        <f t="shared" si="43"/>
        <v>0.26403527049173298</v>
      </c>
      <c r="U57" s="116">
        <f t="shared" si="43"/>
        <v>0.26319358632383977</v>
      </c>
      <c r="V57" s="116">
        <f t="shared" si="43"/>
        <v>0.26235190215594656</v>
      </c>
      <c r="W57" s="116">
        <f>W32/W$49</f>
        <v>0.26151021798805335</v>
      </c>
      <c r="X57" s="178">
        <f t="shared" si="43"/>
        <v>0.26066853382016036</v>
      </c>
      <c r="Y57" s="173">
        <f t="shared" si="43"/>
        <v>0.25982157485270496</v>
      </c>
      <c r="Z57" s="173">
        <f t="shared" si="43"/>
        <v>0.25897461588524956</v>
      </c>
      <c r="AA57" s="173">
        <f t="shared" si="43"/>
        <v>0.25812765691779416</v>
      </c>
      <c r="AB57" s="173">
        <f t="shared" si="43"/>
        <v>0.25728069795033875</v>
      </c>
      <c r="AC57" s="173">
        <f t="shared" si="43"/>
        <v>0.25643373898288335</v>
      </c>
      <c r="AD57" s="173">
        <f t="shared" si="43"/>
        <v>0.25558678001542795</v>
      </c>
      <c r="AE57" s="173">
        <f t="shared" si="43"/>
        <v>0.25473982104797255</v>
      </c>
      <c r="AF57" s="173">
        <f t="shared" si="43"/>
        <v>0.25389286208051715</v>
      </c>
      <c r="AG57" s="173">
        <f t="shared" si="43"/>
        <v>0.25304590311306174</v>
      </c>
      <c r="AH57" s="178">
        <f t="shared" si="43"/>
        <v>0.2521989441456064</v>
      </c>
      <c r="AI57" s="127"/>
    </row>
    <row r="58" spans="1:35">
      <c r="A58" s="9" t="s">
        <v>121</v>
      </c>
      <c r="B58" s="37"/>
      <c r="C58" s="336">
        <f>C34/C$49</f>
        <v>4.0224336873074988E-3</v>
      </c>
      <c r="D58" s="336">
        <f t="shared" ref="D58:G59" si="44">C58*($N71)</f>
        <v>5.758315044349197E-3</v>
      </c>
      <c r="E58" s="336">
        <f t="shared" si="44"/>
        <v>8.2433160438683158E-3</v>
      </c>
      <c r="F58" s="336">
        <f t="shared" si="44"/>
        <v>1.1800719286066212E-2</v>
      </c>
      <c r="G58" s="336">
        <f t="shared" si="44"/>
        <v>1.6893319985240594E-2</v>
      </c>
      <c r="H58" s="396">
        <f>H34/H$49</f>
        <v>5.1986836032529944E-3</v>
      </c>
      <c r="I58" s="116">
        <f t="shared" ref="I58:N59" si="45">H58*($N71)</f>
        <v>7.4421756405538848E-3</v>
      </c>
      <c r="J58" s="116">
        <f t="shared" si="45"/>
        <v>1.0653846721927205E-2</v>
      </c>
      <c r="K58" s="116">
        <f t="shared" si="45"/>
        <v>1.5251514537739595E-2</v>
      </c>
      <c r="L58" s="116">
        <f t="shared" si="45"/>
        <v>2.1833306012948247E-2</v>
      </c>
      <c r="M58" s="116">
        <f t="shared" si="45"/>
        <v>3.1255469761738958E-2</v>
      </c>
      <c r="N58" s="178">
        <f t="shared" si="45"/>
        <v>4.4743768508883862E-2</v>
      </c>
      <c r="O58" s="116">
        <f t="shared" ref="O58:W58" si="46">N58*$X71</f>
        <v>4.6595254195037163E-2</v>
      </c>
      <c r="P58" s="116">
        <f t="shared" si="46"/>
        <v>4.8523353884889098E-2</v>
      </c>
      <c r="Q58" s="116">
        <f t="shared" si="46"/>
        <v>5.0531237846298954E-2</v>
      </c>
      <c r="R58" s="116">
        <f t="shared" si="46"/>
        <v>5.2622207531998415E-2</v>
      </c>
      <c r="S58" s="116">
        <f t="shared" si="46"/>
        <v>5.4799701007988012E-2</v>
      </c>
      <c r="T58" s="116">
        <f t="shared" si="46"/>
        <v>5.7067298606559201E-2</v>
      </c>
      <c r="U58" s="116">
        <f t="shared" si="46"/>
        <v>5.9428728813237075E-2</v>
      </c>
      <c r="V58" s="116">
        <f t="shared" si="46"/>
        <v>6.1887874397323225E-2</v>
      </c>
      <c r="W58" s="116">
        <f t="shared" si="46"/>
        <v>6.4448778796118919E-2</v>
      </c>
      <c r="X58" s="178">
        <f t="shared" ref="X58:X66" si="47">X34/X$49</f>
        <v>6.7115652763325803E-2</v>
      </c>
      <c r="Y58" s="173">
        <f>X58*$AH71</f>
        <v>6.9412329872180503E-2</v>
      </c>
      <c r="Z58" s="173">
        <f t="shared" ref="Z58:AG58" si="48">Y58*$AH71</f>
        <v>7.1787598569214156E-2</v>
      </c>
      <c r="AA58" s="173">
        <f t="shared" si="48"/>
        <v>7.4244148234535401E-2</v>
      </c>
      <c r="AB58" s="173">
        <f t="shared" si="48"/>
        <v>7.6784760278017561E-2</v>
      </c>
      <c r="AC58" s="173">
        <f t="shared" si="48"/>
        <v>7.9412311288529103E-2</v>
      </c>
      <c r="AD58" s="173">
        <f t="shared" si="48"/>
        <v>8.2129776290929699E-2</v>
      </c>
      <c r="AE58" s="173">
        <f t="shared" si="48"/>
        <v>8.4940232114519731E-2</v>
      </c>
      <c r="AF58" s="173">
        <f t="shared" si="48"/>
        <v>8.7846860876757152E-2</v>
      </c>
      <c r="AG58" s="173">
        <f t="shared" si="48"/>
        <v>9.0852953586186003E-2</v>
      </c>
      <c r="AH58" s="178">
        <f t="shared" ref="AH58:AH66" si="49">AH34/AH$49</f>
        <v>9.3961913868656127E-2</v>
      </c>
      <c r="AI58" s="127"/>
    </row>
    <row r="59" spans="1:35">
      <c r="A59" s="9" t="s">
        <v>50</v>
      </c>
      <c r="B59" s="37"/>
      <c r="C59" s="336">
        <f t="shared" ref="C59:C65" si="50">C35/C$49</f>
        <v>0</v>
      </c>
      <c r="D59" s="336">
        <f t="shared" si="44"/>
        <v>0</v>
      </c>
      <c r="E59" s="336">
        <f t="shared" si="44"/>
        <v>0</v>
      </c>
      <c r="F59" s="336">
        <f t="shared" si="44"/>
        <v>0</v>
      </c>
      <c r="G59" s="336">
        <f t="shared" si="44"/>
        <v>0</v>
      </c>
      <c r="H59" s="396">
        <f>H35/H$49</f>
        <v>2.0605281285612374E-13</v>
      </c>
      <c r="I59" s="116">
        <f t="shared" si="45"/>
        <v>2.2103171570528403E-13</v>
      </c>
      <c r="J59" s="116">
        <f t="shared" si="45"/>
        <v>2.3709950216372196E-13</v>
      </c>
      <c r="K59" s="116">
        <f t="shared" si="45"/>
        <v>2.543353280632426E-13</v>
      </c>
      <c r="L59" s="116">
        <f t="shared" si="45"/>
        <v>2.7282410342797746E-13</v>
      </c>
      <c r="M59" s="116">
        <f t="shared" si="45"/>
        <v>2.9265691077242463E-13</v>
      </c>
      <c r="N59" s="178">
        <f t="shared" si="45"/>
        <v>3.1393145380744944E-13</v>
      </c>
      <c r="O59" s="116">
        <f t="shared" ref="O59:V59" si="51">N59*$X72</f>
        <v>3.2692185699716699E-13</v>
      </c>
      <c r="P59" s="116">
        <f t="shared" si="51"/>
        <v>3.4044979974523323E-13</v>
      </c>
      <c r="Q59" s="116">
        <f t="shared" si="51"/>
        <v>3.5453752530095844E-13</v>
      </c>
      <c r="R59" s="116">
        <f t="shared" si="51"/>
        <v>3.6920819733361492E-13</v>
      </c>
      <c r="S59" s="116">
        <f t="shared" si="51"/>
        <v>3.8448593801917931E-13</v>
      </c>
      <c r="T59" s="116">
        <f t="shared" si="51"/>
        <v>4.0039586770309482E-13</v>
      </c>
      <c r="U59" s="116">
        <f t="shared" si="51"/>
        <v>4.1696414620426799E-13</v>
      </c>
      <c r="V59" s="116">
        <f t="shared" si="51"/>
        <v>4.3421801582821467E-13</v>
      </c>
      <c r="W59" s="116">
        <f>V59*$X72</f>
        <v>4.521858461600787E-13</v>
      </c>
      <c r="X59" s="178">
        <f t="shared" si="47"/>
        <v>4.7089718071117395E-13</v>
      </c>
      <c r="Y59" s="173">
        <f>X59*$AH72</f>
        <v>4.8701113820149784E-13</v>
      </c>
      <c r="Z59" s="173">
        <f t="shared" ref="Z59:AG59" si="52">Y59*$AH72</f>
        <v>5.0367651038835445E-13</v>
      </c>
      <c r="AA59" s="173">
        <f t="shared" si="52"/>
        <v>5.2091216651399751E-13</v>
      </c>
      <c r="AB59" s="173">
        <f t="shared" si="52"/>
        <v>5.3873762152037926E-13</v>
      </c>
      <c r="AC59" s="173">
        <f t="shared" si="52"/>
        <v>5.5717305814479642E-13</v>
      </c>
      <c r="AD59" s="173">
        <f t="shared" si="52"/>
        <v>5.7623934977164272E-13</v>
      </c>
      <c r="AE59" s="173">
        <f t="shared" si="52"/>
        <v>5.9595808406614126E-13</v>
      </c>
      <c r="AF59" s="173">
        <f t="shared" si="52"/>
        <v>6.1635158741681605E-13</v>
      </c>
      <c r="AG59" s="173">
        <f t="shared" si="52"/>
        <v>6.3744295021437745E-13</v>
      </c>
      <c r="AH59" s="178">
        <f t="shared" si="49"/>
        <v>6.5925605299564358E-13</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8.642486093872111E-3</v>
      </c>
      <c r="D61" s="336">
        <f t="shared" ref="D61:M61" si="56">C61*($N74)</f>
        <v>9.2608954212620703E-3</v>
      </c>
      <c r="E61" s="336">
        <f t="shared" si="56"/>
        <v>9.9235547586663999E-3</v>
      </c>
      <c r="F61" s="336">
        <f t="shared" si="56"/>
        <v>1.0633630396274378E-2</v>
      </c>
      <c r="G61" s="336">
        <f t="shared" si="56"/>
        <v>1.1394515186790393E-2</v>
      </c>
      <c r="H61" s="396">
        <f t="shared" si="53"/>
        <v>1.5280441057966379E-2</v>
      </c>
      <c r="I61" s="116">
        <f t="shared" si="56"/>
        <v>1.6373826361019288E-2</v>
      </c>
      <c r="J61" s="116">
        <f t="shared" si="56"/>
        <v>1.7545448373104153E-2</v>
      </c>
      <c r="K61" s="116">
        <f t="shared" si="56"/>
        <v>1.8800905287852318E-2</v>
      </c>
      <c r="L61" s="116">
        <f t="shared" si="56"/>
        <v>2.0146195875201584E-2</v>
      </c>
      <c r="M61" s="116">
        <f t="shared" si="56"/>
        <v>2.158774814445932E-2</v>
      </c>
      <c r="N61" s="178">
        <f>M61*($N74)</f>
        <v>2.3132450058338555E-2</v>
      </c>
      <c r="O61" s="116">
        <f t="shared" ref="O61:W61" si="57">N61*$X74</f>
        <v>2.408966491966983E-2</v>
      </c>
      <c r="P61" s="116">
        <f t="shared" si="57"/>
        <v>2.5086489086908723E-2</v>
      </c>
      <c r="Q61" s="116">
        <f t="shared" si="57"/>
        <v>2.6124561582993408E-2</v>
      </c>
      <c r="R61" s="116">
        <f t="shared" si="57"/>
        <v>2.7205589253211641E-2</v>
      </c>
      <c r="S61" s="116">
        <f t="shared" si="57"/>
        <v>2.8331349571672215E-2</v>
      </c>
      <c r="T61" s="116">
        <f t="shared" si="57"/>
        <v>2.9503693563907505E-2</v>
      </c>
      <c r="U61" s="116">
        <f t="shared" si="57"/>
        <v>3.0724548850412529E-2</v>
      </c>
      <c r="V61" s="116">
        <f t="shared" si="57"/>
        <v>3.1995922816124914E-2</v>
      </c>
      <c r="W61" s="116">
        <f t="shared" si="57"/>
        <v>3.3319905911057095E-2</v>
      </c>
      <c r="X61" s="178">
        <f t="shared" si="47"/>
        <v>3.4698675087507826E-2</v>
      </c>
      <c r="Y61" s="173">
        <f t="shared" si="55"/>
        <v>3.5886053135697087E-2</v>
      </c>
      <c r="Z61" s="173">
        <f t="shared" si="55"/>
        <v>3.7114062897511325E-2</v>
      </c>
      <c r="AA61" s="173">
        <f t="shared" si="55"/>
        <v>3.8384094777762744E-2</v>
      </c>
      <c r="AB61" s="173">
        <f t="shared" si="55"/>
        <v>3.9697586760490927E-2</v>
      </c>
      <c r="AC61" s="173">
        <f t="shared" si="55"/>
        <v>4.1056026037109457E-2</v>
      </c>
      <c r="AD61" s="173">
        <f t="shared" si="55"/>
        <v>4.2460950690267209E-2</v>
      </c>
      <c r="AE61" s="173">
        <f t="shared" si="55"/>
        <v>4.3913951435330847E-2</v>
      </c>
      <c r="AF61" s="173">
        <f t="shared" si="55"/>
        <v>4.5416673421460323E-2</v>
      </c>
      <c r="AG61" s="173">
        <f t="shared" si="55"/>
        <v>4.6970818094316649E-2</v>
      </c>
      <c r="AH61" s="178">
        <f t="shared" si="49"/>
        <v>4.8578145122510956E-2</v>
      </c>
      <c r="AI61" s="127"/>
    </row>
    <row r="62" spans="1:35">
      <c r="A62" s="9" t="s">
        <v>347</v>
      </c>
      <c r="B62" s="37"/>
      <c r="C62" s="339">
        <f t="shared" si="50"/>
        <v>1.0000000000000003E-4</v>
      </c>
      <c r="D62" s="339">
        <f t="shared" ref="D62:N62" si="58">C62*($N75)</f>
        <v>1.4468104271070378E-4</v>
      </c>
      <c r="E62" s="339">
        <f t="shared" si="58"/>
        <v>2.0932604119856484E-4</v>
      </c>
      <c r="F62" s="339">
        <f t="shared" si="58"/>
        <v>3.0285509907112087E-4</v>
      </c>
      <c r="G62" s="339">
        <f t="shared" si="58"/>
        <v>4.3817391523863248E-4</v>
      </c>
      <c r="H62" s="396">
        <f t="shared" si="53"/>
        <v>3.5002060528128561E-3</v>
      </c>
      <c r="I62" s="116">
        <f t="shared" si="58"/>
        <v>5.0641346142328049E-3</v>
      </c>
      <c r="J62" s="116">
        <f t="shared" si="58"/>
        <v>7.3268427641456956E-3</v>
      </c>
      <c r="K62" s="116">
        <f t="shared" si="58"/>
        <v>1.0600552508939739E-2</v>
      </c>
      <c r="L62" s="116">
        <f t="shared" si="58"/>
        <v>1.5336989903029678E-2</v>
      </c>
      <c r="M62" s="116">
        <f t="shared" si="58"/>
        <v>2.2189716912138686E-2</v>
      </c>
      <c r="N62" s="178">
        <f t="shared" si="58"/>
        <v>3.210431380303562E-2</v>
      </c>
      <c r="O62" s="116">
        <f t="shared" ref="O62:W62" si="59">N62*$X75</f>
        <v>3.3432782089257249E-2</v>
      </c>
      <c r="P62" s="116">
        <f t="shared" si="59"/>
        <v>3.4816222053064762E-2</v>
      </c>
      <c r="Q62" s="116">
        <f t="shared" si="59"/>
        <v>3.6256908408403503E-2</v>
      </c>
      <c r="R62" s="116">
        <f t="shared" si="59"/>
        <v>3.7757209996299522E-2</v>
      </c>
      <c r="S62" s="116">
        <f t="shared" si="59"/>
        <v>3.9319593679814087E-2</v>
      </c>
      <c r="T62" s="116">
        <f t="shared" si="59"/>
        <v>4.0946628400170403E-2</v>
      </c>
      <c r="U62" s="116">
        <f t="shared" si="59"/>
        <v>4.2640989400721821E-2</v>
      </c>
      <c r="V62" s="116">
        <f t="shared" si="59"/>
        <v>4.4405462625706785E-2</v>
      </c>
      <c r="W62" s="116">
        <f t="shared" si="59"/>
        <v>4.6242949301023087E-2</v>
      </c>
      <c r="X62" s="178">
        <f t="shared" si="47"/>
        <v>4.8156470704553436E-2</v>
      </c>
      <c r="Y62" s="173">
        <f t="shared" si="55"/>
        <v>4.9804370402413714E-2</v>
      </c>
      <c r="Z62" s="173">
        <f t="shared" si="55"/>
        <v>5.1508660723890667E-2</v>
      </c>
      <c r="AA62" s="173">
        <f t="shared" si="55"/>
        <v>5.3271271338876228E-2</v>
      </c>
      <c r="AB62" s="173">
        <f t="shared" si="55"/>
        <v>5.509419794997579E-2</v>
      </c>
      <c r="AC62" s="173">
        <f t="shared" si="55"/>
        <v>5.697950455212749E-2</v>
      </c>
      <c r="AD62" s="173">
        <f t="shared" si="55"/>
        <v>5.8929325769544919E-2</v>
      </c>
      <c r="AE62" s="173">
        <f t="shared" si="55"/>
        <v>6.0945869272629349E-2</v>
      </c>
      <c r="AF62" s="173">
        <f t="shared" si="55"/>
        <v>6.3031418277587917E-2</v>
      </c>
      <c r="AG62" s="173">
        <f t="shared" si="55"/>
        <v>6.5188334131588005E-2</v>
      </c>
      <c r="AH62" s="178">
        <f t="shared" si="49"/>
        <v>6.7419058986374819E-2</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2.0605281285612376E-7</v>
      </c>
      <c r="I63" s="116">
        <f t="shared" si="60"/>
        <v>2.2103171570528404E-7</v>
      </c>
      <c r="J63" s="116">
        <f t="shared" si="60"/>
        <v>2.3709950216372196E-7</v>
      </c>
      <c r="K63" s="116">
        <f t="shared" si="60"/>
        <v>2.5433532806324264E-7</v>
      </c>
      <c r="L63" s="116">
        <f t="shared" si="60"/>
        <v>2.7282410342797746E-7</v>
      </c>
      <c r="M63" s="116">
        <f t="shared" si="60"/>
        <v>2.9265691077242463E-7</v>
      </c>
      <c r="N63" s="178">
        <f t="shared" si="60"/>
        <v>3.1393145380744944E-7</v>
      </c>
      <c r="O63" s="116">
        <f t="shared" ref="O63:W63" si="61">N63*$X76</f>
        <v>3.2692185699716697E-7</v>
      </c>
      <c r="P63" s="116">
        <f t="shared" si="61"/>
        <v>3.4044979974523321E-7</v>
      </c>
      <c r="Q63" s="116">
        <f t="shared" si="61"/>
        <v>3.5453752530095845E-7</v>
      </c>
      <c r="R63" s="116">
        <f t="shared" si="61"/>
        <v>3.6920819733361492E-7</v>
      </c>
      <c r="S63" s="116">
        <f t="shared" si="61"/>
        <v>3.8448593801917932E-7</v>
      </c>
      <c r="T63" s="116">
        <f t="shared" si="61"/>
        <v>4.0039586770309484E-7</v>
      </c>
      <c r="U63" s="116">
        <f t="shared" si="61"/>
        <v>4.1696414620426803E-7</v>
      </c>
      <c r="V63" s="116">
        <f t="shared" si="61"/>
        <v>4.3421801582821471E-7</v>
      </c>
      <c r="W63" s="116">
        <f t="shared" si="61"/>
        <v>4.5218584616007874E-7</v>
      </c>
      <c r="X63" s="178">
        <f t="shared" si="47"/>
        <v>4.7089718071117395E-7</v>
      </c>
      <c r="Y63" s="173">
        <f t="shared" si="55"/>
        <v>4.8701113820149783E-7</v>
      </c>
      <c r="Z63" s="173">
        <f t="shared" si="55"/>
        <v>5.036765103883544E-7</v>
      </c>
      <c r="AA63" s="173">
        <f t="shared" si="55"/>
        <v>5.2091216651399743E-7</v>
      </c>
      <c r="AB63" s="173">
        <f t="shared" si="55"/>
        <v>5.3873762152037916E-7</v>
      </c>
      <c r="AC63" s="173">
        <f t="shared" si="55"/>
        <v>5.5717305814479629E-7</v>
      </c>
      <c r="AD63" s="173">
        <f t="shared" si="55"/>
        <v>5.7623934977164257E-7</v>
      </c>
      <c r="AE63" s="173">
        <f t="shared" si="55"/>
        <v>5.9595808406614108E-7</v>
      </c>
      <c r="AF63" s="173">
        <f t="shared" si="55"/>
        <v>6.1635158741681588E-7</v>
      </c>
      <c r="AG63" s="173">
        <f t="shared" si="55"/>
        <v>6.3744295021437724E-7</v>
      </c>
      <c r="AH63" s="178">
        <f t="shared" si="49"/>
        <v>6.5925605299564352E-7</v>
      </c>
      <c r="AI63" s="127"/>
    </row>
    <row r="64" spans="1:35">
      <c r="A64" s="9" t="s">
        <v>344</v>
      </c>
      <c r="B64" s="37"/>
      <c r="C64" s="336">
        <f t="shared" si="50"/>
        <v>2.2985335356042849E-7</v>
      </c>
      <c r="D64" s="336">
        <f t="shared" ref="D64:N64" si="62">C64*($N77)</f>
        <v>2.4656242442829084E-7</v>
      </c>
      <c r="E64" s="336">
        <f t="shared" si="62"/>
        <v>2.6448615257629525E-7</v>
      </c>
      <c r="F64" s="336">
        <f t="shared" si="62"/>
        <v>2.8371283688831565E-7</v>
      </c>
      <c r="G64" s="336">
        <f t="shared" si="62"/>
        <v>3.0433719509000199E-7</v>
      </c>
      <c r="H64" s="396">
        <f t="shared" si="53"/>
        <v>2.0605281285612376E-7</v>
      </c>
      <c r="I64" s="116">
        <f t="shared" si="62"/>
        <v>2.2103171570528404E-7</v>
      </c>
      <c r="J64" s="116">
        <f t="shared" si="62"/>
        <v>2.3709950216372196E-7</v>
      </c>
      <c r="K64" s="116">
        <f t="shared" si="62"/>
        <v>2.5433532806324264E-7</v>
      </c>
      <c r="L64" s="116">
        <f t="shared" si="62"/>
        <v>2.7282410342797746E-7</v>
      </c>
      <c r="M64" s="116">
        <f t="shared" si="62"/>
        <v>2.9265691077242463E-7</v>
      </c>
      <c r="N64" s="178">
        <f t="shared" si="62"/>
        <v>3.1393145380744944E-7</v>
      </c>
      <c r="O64" s="116">
        <f t="shared" ref="O64:W64" si="63">N64*$X77</f>
        <v>3.2692185699716697E-7</v>
      </c>
      <c r="P64" s="116">
        <f t="shared" si="63"/>
        <v>3.4044979974523321E-7</v>
      </c>
      <c r="Q64" s="116">
        <f t="shared" si="63"/>
        <v>3.5453752530095845E-7</v>
      </c>
      <c r="R64" s="116">
        <f t="shared" si="63"/>
        <v>3.6920819733361492E-7</v>
      </c>
      <c r="S64" s="116">
        <f t="shared" si="63"/>
        <v>3.8448593801917932E-7</v>
      </c>
      <c r="T64" s="116">
        <f t="shared" si="63"/>
        <v>4.0039586770309484E-7</v>
      </c>
      <c r="U64" s="116">
        <f t="shared" si="63"/>
        <v>4.1696414620426803E-7</v>
      </c>
      <c r="V64" s="116">
        <f t="shared" si="63"/>
        <v>4.3421801582821471E-7</v>
      </c>
      <c r="W64" s="116">
        <f t="shared" si="63"/>
        <v>4.5218584616007874E-7</v>
      </c>
      <c r="X64" s="178">
        <f t="shared" si="47"/>
        <v>4.7089718071117395E-7</v>
      </c>
      <c r="Y64" s="173">
        <f t="shared" si="55"/>
        <v>4.8701113820149783E-7</v>
      </c>
      <c r="Z64" s="173">
        <f t="shared" si="55"/>
        <v>5.036765103883544E-7</v>
      </c>
      <c r="AA64" s="173">
        <f t="shared" si="55"/>
        <v>5.2091216651399743E-7</v>
      </c>
      <c r="AB64" s="173">
        <f t="shared" si="55"/>
        <v>5.3873762152037916E-7</v>
      </c>
      <c r="AC64" s="173">
        <f t="shared" si="55"/>
        <v>5.5717305814479629E-7</v>
      </c>
      <c r="AD64" s="173">
        <f t="shared" si="55"/>
        <v>5.7623934977164257E-7</v>
      </c>
      <c r="AE64" s="173">
        <f t="shared" si="55"/>
        <v>5.9595808406614108E-7</v>
      </c>
      <c r="AF64" s="173">
        <f t="shared" si="55"/>
        <v>6.1635158741681588E-7</v>
      </c>
      <c r="AG64" s="173">
        <f t="shared" si="55"/>
        <v>6.3744295021437724E-7</v>
      </c>
      <c r="AH64" s="178">
        <f t="shared" si="49"/>
        <v>6.5925605299564352E-7</v>
      </c>
      <c r="AI64" s="127"/>
    </row>
    <row r="65" spans="1:35">
      <c r="A65" s="9" t="s">
        <v>120</v>
      </c>
      <c r="B65" s="37"/>
      <c r="C65" s="336">
        <f t="shared" si="50"/>
        <v>0</v>
      </c>
      <c r="D65" s="336">
        <v>0</v>
      </c>
      <c r="E65" s="336">
        <v>0</v>
      </c>
      <c r="F65" s="336">
        <v>0</v>
      </c>
      <c r="G65" s="336">
        <v>0</v>
      </c>
      <c r="H65" s="396">
        <f t="shared" si="53"/>
        <v>2.0605281285612373E-5</v>
      </c>
      <c r="I65" s="173">
        <v>0</v>
      </c>
      <c r="J65" s="173">
        <v>0</v>
      </c>
      <c r="K65" s="173">
        <v>0</v>
      </c>
      <c r="L65" s="173">
        <v>0</v>
      </c>
      <c r="M65" s="173">
        <v>0</v>
      </c>
      <c r="N65" s="178">
        <v>0</v>
      </c>
      <c r="O65" s="116">
        <f t="shared" ref="O65:AG65" si="64">O41/O$49</f>
        <v>1.5588737272661916E-4</v>
      </c>
      <c r="P65" s="116">
        <f t="shared" si="64"/>
        <v>1.7441349812748696E-4</v>
      </c>
      <c r="Q65" s="116">
        <f t="shared" si="64"/>
        <v>1.9108569454309826E-4</v>
      </c>
      <c r="R65" s="116">
        <f t="shared" si="64"/>
        <v>2.097511932820951E-4</v>
      </c>
      <c r="S65" s="116">
        <f t="shared" si="64"/>
        <v>2.2765880397195723E-4</v>
      </c>
      <c r="T65" s="116">
        <f t="shared" si="64"/>
        <v>2.4495573642663407E-4</v>
      </c>
      <c r="U65" s="116">
        <f t="shared" si="64"/>
        <v>2.6314613264771412E-4</v>
      </c>
      <c r="V65" s="116">
        <f t="shared" si="64"/>
        <v>2.8179102085285393E-4</v>
      </c>
      <c r="W65" s="116">
        <f t="shared" si="64"/>
        <v>2.9992397449434514E-4</v>
      </c>
      <c r="X65" s="178">
        <f t="shared" si="47"/>
        <v>3.1786127623525853E-4</v>
      </c>
      <c r="Y65" s="173">
        <f t="shared" si="64"/>
        <v>3.3336262045147256E-4</v>
      </c>
      <c r="Z65" s="173">
        <f t="shared" si="64"/>
        <v>3.493478215082918E-4</v>
      </c>
      <c r="AA65" s="173">
        <f t="shared" si="64"/>
        <v>3.6534431132091613E-4</v>
      </c>
      <c r="AB65" s="173">
        <f t="shared" si="64"/>
        <v>3.8120425171741081E-4</v>
      </c>
      <c r="AC65" s="173">
        <f t="shared" si="64"/>
        <v>3.9756980288988301E-4</v>
      </c>
      <c r="AD65" s="173">
        <f t="shared" si="64"/>
        <v>4.1384348293110071E-4</v>
      </c>
      <c r="AE65" s="173">
        <f t="shared" si="64"/>
        <v>4.3044225962374222E-4</v>
      </c>
      <c r="AF65" s="173">
        <f t="shared" si="64"/>
        <v>4.4738575736075556E-4</v>
      </c>
      <c r="AG65" s="173">
        <f t="shared" si="64"/>
        <v>4.6533607621145387E-4</v>
      </c>
      <c r="AH65" s="178">
        <f t="shared" si="49"/>
        <v>4.827012282444949E-4</v>
      </c>
      <c r="AI65" s="127"/>
    </row>
    <row r="66" spans="1:35">
      <c r="A66" s="9" t="s">
        <v>53</v>
      </c>
      <c r="B66" s="37"/>
      <c r="C66" s="336">
        <f>C42/C$49</f>
        <v>0</v>
      </c>
      <c r="D66" s="336">
        <f t="shared" ref="D66:N66" si="65">C66*($N79)</f>
        <v>0</v>
      </c>
      <c r="E66" s="336">
        <f t="shared" si="65"/>
        <v>0</v>
      </c>
      <c r="F66" s="336">
        <f t="shared" si="65"/>
        <v>0</v>
      </c>
      <c r="G66" s="336">
        <f t="shared" si="65"/>
        <v>0</v>
      </c>
      <c r="H66" s="396">
        <f t="shared" si="53"/>
        <v>1.2203615102570734E-5</v>
      </c>
      <c r="I66" s="116">
        <f t="shared" si="65"/>
        <v>1.3119572106605763E-5</v>
      </c>
      <c r="J66" s="116">
        <f t="shared" si="65"/>
        <v>1.4104277364841639E-5</v>
      </c>
      <c r="K66" s="116">
        <f t="shared" si="65"/>
        <v>1.5162890860154026E-5</v>
      </c>
      <c r="L66" s="116">
        <f t="shared" si="65"/>
        <v>1.6300959864137209E-5</v>
      </c>
      <c r="M66" s="116">
        <f t="shared" si="65"/>
        <v>1.7524448005524517E-5</v>
      </c>
      <c r="N66" s="178">
        <f t="shared" si="65"/>
        <v>1.8839766520373985E-5</v>
      </c>
      <c r="O66" s="116">
        <f t="shared" ref="O66:W66" si="66">N66*$X79</f>
        <v>1.9619351235863849E-5</v>
      </c>
      <c r="P66" s="116">
        <f t="shared" si="66"/>
        <v>2.0431194967301081E-5</v>
      </c>
      <c r="Q66" s="116">
        <f t="shared" si="66"/>
        <v>2.1276632584507028E-5</v>
      </c>
      <c r="R66" s="116">
        <f t="shared" si="66"/>
        <v>2.2157054193874511E-5</v>
      </c>
      <c r="S66" s="116">
        <f t="shared" si="66"/>
        <v>2.3073907424043005E-5</v>
      </c>
      <c r="T66" s="116">
        <f t="shared" si="66"/>
        <v>2.4028699806154486E-5</v>
      </c>
      <c r="U66" s="116">
        <f t="shared" si="66"/>
        <v>2.5023001252603646E-5</v>
      </c>
      <c r="V66" s="116">
        <f t="shared" si="66"/>
        <v>2.6058446638358155E-5</v>
      </c>
      <c r="W66" s="116">
        <f t="shared" si="66"/>
        <v>2.7136738489093308E-5</v>
      </c>
      <c r="X66" s="178">
        <f t="shared" si="47"/>
        <v>2.825964978056097E-5</v>
      </c>
      <c r="Y66" s="173">
        <f t="shared" si="55"/>
        <v>2.9226686352255173E-5</v>
      </c>
      <c r="Z66" s="173">
        <f t="shared" si="55"/>
        <v>3.0226814619644674E-5</v>
      </c>
      <c r="AA66" s="173">
        <f t="shared" si="55"/>
        <v>3.1261166970434391E-5</v>
      </c>
      <c r="AB66" s="173">
        <f t="shared" si="55"/>
        <v>3.2330914542290141E-5</v>
      </c>
      <c r="AC66" s="173">
        <f t="shared" si="55"/>
        <v>3.343726854885044E-5</v>
      </c>
      <c r="AD66" s="173">
        <f t="shared" si="55"/>
        <v>3.4581481651114046E-5</v>
      </c>
      <c r="AE66" s="173">
        <f t="shared" si="55"/>
        <v>3.5764849375755939E-5</v>
      </c>
      <c r="AF66" s="173">
        <f t="shared" si="55"/>
        <v>3.698871158197766E-5</v>
      </c>
      <c r="AG66" s="173">
        <f t="shared" si="55"/>
        <v>3.8254453978552799E-5</v>
      </c>
      <c r="AH66" s="178">
        <f t="shared" si="49"/>
        <v>3.9563509692785354E-5</v>
      </c>
      <c r="AI66" s="127"/>
    </row>
    <row r="67" spans="1:35" s="1" customFormat="1">
      <c r="A67" s="11" t="s">
        <v>540</v>
      </c>
      <c r="B67" s="36"/>
      <c r="C67" s="340">
        <f t="shared" ref="C67:AG67" si="67">SUM(C58:C66)</f>
        <v>1.2765149634533171E-2</v>
      </c>
      <c r="D67" s="340">
        <f t="shared" si="67"/>
        <v>1.5164138070746399E-2</v>
      </c>
      <c r="E67" s="340">
        <f t="shared" si="67"/>
        <v>1.8376461329885855E-2</v>
      </c>
      <c r="F67" s="340">
        <f t="shared" si="67"/>
        <v>2.2737488494248597E-2</v>
      </c>
      <c r="G67" s="340">
        <f t="shared" si="67"/>
        <v>2.872631342446471E-2</v>
      </c>
      <c r="H67" s="403">
        <f t="shared" si="67"/>
        <v>2.4012551716252183E-2</v>
      </c>
      <c r="I67" s="85">
        <f t="shared" si="67"/>
        <v>2.8893698251565025E-2</v>
      </c>
      <c r="J67" s="85">
        <f t="shared" si="67"/>
        <v>3.5540716335783325E-2</v>
      </c>
      <c r="K67" s="85">
        <f t="shared" si="67"/>
        <v>4.4668643896302263E-2</v>
      </c>
      <c r="L67" s="85">
        <f t="shared" si="67"/>
        <v>5.7333338399523322E-2</v>
      </c>
      <c r="M67" s="85">
        <f t="shared" si="67"/>
        <v>7.5051044580456694E-2</v>
      </c>
      <c r="N67" s="183">
        <f>SUM(N58:N66)</f>
        <v>9.9999999999999936E-2</v>
      </c>
      <c r="O67" s="85">
        <f t="shared" si="67"/>
        <v>0.10429386177196764</v>
      </c>
      <c r="P67" s="85">
        <f t="shared" si="67"/>
        <v>0.10862159061789729</v>
      </c>
      <c r="Q67" s="85">
        <f t="shared" si="67"/>
        <v>0.11312577924022861</v>
      </c>
      <c r="R67" s="85">
        <f t="shared" si="67"/>
        <v>0.11781765344574945</v>
      </c>
      <c r="S67" s="85">
        <f t="shared" si="67"/>
        <v>0.12270214594313084</v>
      </c>
      <c r="T67" s="85">
        <f t="shared" si="67"/>
        <v>0.12778740579900572</v>
      </c>
      <c r="U67" s="85">
        <f t="shared" si="67"/>
        <v>0.13308327012698112</v>
      </c>
      <c r="V67" s="85">
        <f t="shared" si="67"/>
        <v>0.13859797774311197</v>
      </c>
      <c r="W67" s="85">
        <f t="shared" si="67"/>
        <v>0.14433959909332705</v>
      </c>
      <c r="X67" s="183">
        <f t="shared" si="67"/>
        <v>0.15031786127623525</v>
      </c>
      <c r="Y67" s="85">
        <f t="shared" si="67"/>
        <v>0.15546631673985845</v>
      </c>
      <c r="Z67" s="85">
        <f t="shared" si="67"/>
        <v>0.16079090418026856</v>
      </c>
      <c r="AA67" s="85">
        <f t="shared" si="67"/>
        <v>0.16629716165431968</v>
      </c>
      <c r="AB67" s="85">
        <f t="shared" si="67"/>
        <v>0.17199115763052578</v>
      </c>
      <c r="AC67" s="85">
        <f t="shared" si="67"/>
        <v>0.17787996329587824</v>
      </c>
      <c r="AD67" s="85">
        <f t="shared" si="67"/>
        <v>0.1839696301945998</v>
      </c>
      <c r="AE67" s="85">
        <f t="shared" si="67"/>
        <v>0.19026745184824354</v>
      </c>
      <c r="AF67" s="85">
        <f t="shared" si="67"/>
        <v>0.19678055974853931</v>
      </c>
      <c r="AG67" s="85">
        <f t="shared" si="67"/>
        <v>0.20351697122881854</v>
      </c>
      <c r="AH67" s="183">
        <f>SUM(AH58:AH66)</f>
        <v>0.21048270122824445</v>
      </c>
      <c r="AI67" s="196"/>
    </row>
    <row r="68" spans="1:35" s="252" customFormat="1">
      <c r="A68" s="10" t="s">
        <v>548</v>
      </c>
      <c r="B68" s="37"/>
      <c r="C68" s="332"/>
      <c r="D68" s="332">
        <f>D67/C67-1</f>
        <v>0.18793265295718253</v>
      </c>
      <c r="E68" s="332">
        <f t="shared" ref="E68:W68" si="68">E67/D67-1</f>
        <v>0.21183685113870387</v>
      </c>
      <c r="F68" s="332">
        <f t="shared" si="68"/>
        <v>0.23731593836678178</v>
      </c>
      <c r="G68" s="332">
        <f t="shared" si="68"/>
        <v>0.26338990481428826</v>
      </c>
      <c r="H68" s="284"/>
      <c r="I68" s="284">
        <f t="shared" si="68"/>
        <v>0.20327479532336334</v>
      </c>
      <c r="J68" s="284">
        <f t="shared" si="68"/>
        <v>0.23005078914943899</v>
      </c>
      <c r="K68" s="284">
        <f t="shared" si="68"/>
        <v>0.25683015148821586</v>
      </c>
      <c r="L68" s="284">
        <f t="shared" si="68"/>
        <v>0.28352538600952393</v>
      </c>
      <c r="M68" s="284">
        <f t="shared" si="68"/>
        <v>0.30902973166273329</v>
      </c>
      <c r="N68" s="283">
        <f t="shared" si="68"/>
        <v>0.33242649131681712</v>
      </c>
      <c r="O68" s="284">
        <f t="shared" si="68"/>
        <v>4.2938617719677108E-2</v>
      </c>
      <c r="P68" s="284">
        <f t="shared" si="68"/>
        <v>4.1495527851792113E-2</v>
      </c>
      <c r="Q68" s="284">
        <f t="shared" si="68"/>
        <v>4.1466789398949988E-2</v>
      </c>
      <c r="R68" s="284">
        <f t="shared" si="68"/>
        <v>4.1474845406875849E-2</v>
      </c>
      <c r="S68" s="284">
        <f t="shared" si="68"/>
        <v>4.1458069775855089E-2</v>
      </c>
      <c r="T68" s="284">
        <f t="shared" si="68"/>
        <v>4.1443935774617691E-2</v>
      </c>
      <c r="U68" s="284">
        <f t="shared" si="68"/>
        <v>4.1442772038937647E-2</v>
      </c>
      <c r="V68" s="284">
        <f t="shared" si="68"/>
        <v>4.1438023057811968E-2</v>
      </c>
      <c r="W68" s="284">
        <f t="shared" si="68"/>
        <v>4.1426443904232446E-2</v>
      </c>
      <c r="X68" s="284">
        <f>X67/W67-1</f>
        <v>4.1418032338047306E-2</v>
      </c>
      <c r="Y68" s="289">
        <f t="shared" ref="Y68:AG68" si="69">Y67/X67-1</f>
        <v>3.4250457130719836E-2</v>
      </c>
      <c r="Z68" s="289">
        <f t="shared" si="69"/>
        <v>3.4249138669180335E-2</v>
      </c>
      <c r="AA68" s="289">
        <f t="shared" si="69"/>
        <v>3.4244831833757594E-2</v>
      </c>
      <c r="AB68" s="289">
        <f t="shared" si="69"/>
        <v>3.4239886715818679E-2</v>
      </c>
      <c r="AC68" s="289">
        <f t="shared" si="69"/>
        <v>3.4239002437572275E-2</v>
      </c>
      <c r="AD68" s="289">
        <f t="shared" si="69"/>
        <v>3.4234698421835574E-2</v>
      </c>
      <c r="AE68" s="289">
        <f t="shared" si="69"/>
        <v>3.4232941855576904E-2</v>
      </c>
      <c r="AF68" s="289">
        <f t="shared" si="69"/>
        <v>3.4231329830866741E-2</v>
      </c>
      <c r="AG68" s="289">
        <f t="shared" si="69"/>
        <v>3.423311473901447E-2</v>
      </c>
      <c r="AH68" s="283">
        <f>AH67/AG67-1</f>
        <v>3.4226777046491019E-2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545</v>
      </c>
      <c r="B70" s="37"/>
      <c r="C70" s="332"/>
      <c r="D70" s="332"/>
      <c r="E70" s="332"/>
      <c r="F70" s="332"/>
      <c r="G70" s="332"/>
      <c r="H70" s="284"/>
      <c r="I70" s="164"/>
      <c r="J70" s="164"/>
      <c r="K70" s="164"/>
      <c r="L70" s="164"/>
      <c r="M70" s="164"/>
      <c r="N70" s="199" t="s">
        <v>711</v>
      </c>
      <c r="O70" s="164"/>
      <c r="P70" s="164"/>
      <c r="Q70" s="164"/>
      <c r="R70" s="164"/>
      <c r="S70" s="164"/>
      <c r="T70" s="164"/>
      <c r="U70" s="164"/>
      <c r="V70" s="164"/>
      <c r="W70" s="164"/>
      <c r="X70" s="199" t="s">
        <v>546</v>
      </c>
      <c r="Y70" s="20"/>
      <c r="Z70" s="20"/>
      <c r="AA70" s="20"/>
      <c r="AB70" s="20"/>
      <c r="AC70" s="20"/>
      <c r="AD70" s="20"/>
      <c r="AE70" s="20"/>
      <c r="AF70" s="20"/>
      <c r="AG70" s="20"/>
      <c r="AH70" s="279" t="s">
        <v>708</v>
      </c>
      <c r="AI70" s="127"/>
    </row>
    <row r="71" spans="1:35">
      <c r="A71" s="9" t="s">
        <v>121</v>
      </c>
      <c r="B71" s="37"/>
      <c r="C71" s="332"/>
      <c r="D71" s="332"/>
      <c r="E71" s="332"/>
      <c r="F71" s="332"/>
      <c r="G71" s="332"/>
      <c r="H71" s="284"/>
      <c r="I71" s="164"/>
      <c r="J71" s="164"/>
      <c r="K71" s="395"/>
      <c r="L71" s="395"/>
      <c r="M71" s="164"/>
      <c r="N71" s="186">
        <f>(N86/H86)^(1/6)</f>
        <v>1.4315500246826063</v>
      </c>
      <c r="O71" s="164"/>
      <c r="P71" s="164"/>
      <c r="Q71" s="164"/>
      <c r="R71" s="164"/>
      <c r="S71" s="164"/>
      <c r="T71" s="164"/>
      <c r="U71" s="164"/>
      <c r="V71" s="164"/>
      <c r="W71" s="164"/>
      <c r="X71" s="186">
        <f>(X86/N86)^(1/10)</f>
        <v>1.0413797439924106</v>
      </c>
      <c r="Y71" s="20"/>
      <c r="Z71" s="20"/>
      <c r="AA71" s="20"/>
      <c r="AB71" s="20"/>
      <c r="AC71" s="20"/>
      <c r="AD71" s="20"/>
      <c r="AE71" s="20"/>
      <c r="AF71" s="20"/>
      <c r="AG71" s="20"/>
      <c r="AH71" s="186">
        <f>(AH86/X86)^(1/10)</f>
        <v>1.0342196941293802</v>
      </c>
      <c r="AI71" s="127"/>
    </row>
    <row r="72" spans="1:35">
      <c r="A72" s="9" t="s">
        <v>50</v>
      </c>
      <c r="B72" s="37"/>
      <c r="C72" s="332"/>
      <c r="D72" s="332"/>
      <c r="E72" s="332"/>
      <c r="F72" s="332"/>
      <c r="G72" s="332"/>
      <c r="H72" s="284"/>
      <c r="I72" s="164"/>
      <c r="J72" s="164"/>
      <c r="K72" s="395"/>
      <c r="L72" s="395"/>
      <c r="M72" s="164"/>
      <c r="N72" s="186">
        <f>(N87/H87)^(1/6)</f>
        <v>1.0726944837177219</v>
      </c>
      <c r="O72" s="164"/>
      <c r="P72" s="164"/>
      <c r="Q72" s="164"/>
      <c r="R72" s="164"/>
      <c r="S72" s="164"/>
      <c r="T72" s="164"/>
      <c r="U72" s="164"/>
      <c r="V72" s="164"/>
      <c r="W72" s="164"/>
      <c r="X72" s="186">
        <f>(X87/N87)^(1/10)</f>
        <v>1.0413797439924106</v>
      </c>
      <c r="Y72" s="20"/>
      <c r="Z72" s="20"/>
      <c r="AA72" s="20"/>
      <c r="AB72" s="20"/>
      <c r="AC72" s="20"/>
      <c r="AD72" s="20"/>
      <c r="AE72" s="20"/>
      <c r="AF72" s="20"/>
      <c r="AG72" s="20"/>
      <c r="AH72" s="186">
        <f>(AH87/X87)^(1/10)</f>
        <v>1.0342196941293802</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1.0715545643548605</v>
      </c>
      <c r="O74" s="164"/>
      <c r="P74" s="164"/>
      <c r="Q74" s="164"/>
      <c r="R74" s="164"/>
      <c r="S74" s="164"/>
      <c r="T74" s="164"/>
      <c r="U74" s="164"/>
      <c r="V74" s="164"/>
      <c r="W74" s="164"/>
      <c r="X74" s="186">
        <f>(X89/N89)^(1/10)</f>
        <v>1.0413797439924106</v>
      </c>
      <c r="AH74" s="186">
        <f>(AH89/X89)^(1/10)</f>
        <v>1.0342196941293802</v>
      </c>
      <c r="AI74" s="127"/>
    </row>
    <row r="75" spans="1:35">
      <c r="A75" s="9" t="s">
        <v>347</v>
      </c>
      <c r="B75" s="37"/>
      <c r="C75" s="332"/>
      <c r="D75" s="332"/>
      <c r="E75" s="332"/>
      <c r="F75" s="332"/>
      <c r="G75" s="332"/>
      <c r="H75" s="284"/>
      <c r="I75" s="164"/>
      <c r="J75" s="164"/>
      <c r="K75" s="395"/>
      <c r="L75" s="395"/>
      <c r="M75" s="164"/>
      <c r="N75" s="179">
        <f>(N90/H90)^(1/6)</f>
        <v>1.4468104271070372</v>
      </c>
      <c r="O75" s="164"/>
      <c r="P75" s="164"/>
      <c r="Q75" s="164"/>
      <c r="R75" s="164"/>
      <c r="S75" s="164"/>
      <c r="T75" s="164"/>
      <c r="U75" s="164"/>
      <c r="V75" s="164"/>
      <c r="W75" s="164"/>
      <c r="X75" s="186">
        <f>(X90/N90)^(1/10)</f>
        <v>1.0413797439924106</v>
      </c>
      <c r="AH75" s="186">
        <f>(AH90/X90)^(1/10)</f>
        <v>1.0342196941293802</v>
      </c>
      <c r="AI75" s="127"/>
    </row>
    <row r="76" spans="1:35">
      <c r="A76" s="9" t="s">
        <v>348</v>
      </c>
      <c r="B76" s="37"/>
      <c r="C76" s="332"/>
      <c r="D76" s="332"/>
      <c r="E76" s="332"/>
      <c r="F76" s="332"/>
      <c r="G76" s="332"/>
      <c r="H76" s="284"/>
      <c r="I76" s="164"/>
      <c r="J76" s="164"/>
      <c r="K76" s="395"/>
      <c r="L76" s="395"/>
      <c r="M76" s="164"/>
      <c r="N76" s="179">
        <f>(N91/H91)^(1/6)</f>
        <v>1.0726944837177219</v>
      </c>
      <c r="O76" s="164"/>
      <c r="P76" s="164"/>
      <c r="Q76" s="164"/>
      <c r="R76" s="164"/>
      <c r="S76" s="164"/>
      <c r="T76" s="164"/>
      <c r="U76" s="164"/>
      <c r="V76" s="164"/>
      <c r="W76" s="164"/>
      <c r="X76" s="186">
        <f>(X91/N91)^(1/10)</f>
        <v>1.0413797439924106</v>
      </c>
      <c r="AH76" s="186">
        <f>(AH91/X91)^(1/10)</f>
        <v>1.0342196941293802</v>
      </c>
      <c r="AI76" s="127"/>
    </row>
    <row r="77" spans="1:35">
      <c r="A77" s="9" t="s">
        <v>344</v>
      </c>
      <c r="B77" s="37"/>
      <c r="C77" s="332"/>
      <c r="D77" s="332"/>
      <c r="E77" s="332"/>
      <c r="F77" s="332"/>
      <c r="G77" s="332"/>
      <c r="H77" s="284"/>
      <c r="I77" s="164"/>
      <c r="J77" s="164"/>
      <c r="K77" s="395"/>
      <c r="L77" s="395"/>
      <c r="M77" s="164"/>
      <c r="N77" s="179">
        <f>(N92/H92)^(1/6)</f>
        <v>1.0726944837177219</v>
      </c>
      <c r="O77" s="164"/>
      <c r="P77" s="164"/>
      <c r="Q77" s="164"/>
      <c r="R77" s="164"/>
      <c r="S77" s="164"/>
      <c r="T77" s="164"/>
      <c r="U77" s="164"/>
      <c r="V77" s="164"/>
      <c r="W77" s="164"/>
      <c r="X77" s="186">
        <f>(X92/N92)^(1/10)</f>
        <v>1.0413797439924106</v>
      </c>
      <c r="AH77" s="186">
        <f>(AH92/X92)^(1/10)</f>
        <v>1.0342196941293802</v>
      </c>
      <c r="AI77" s="127"/>
    </row>
    <row r="78" spans="1:35">
      <c r="A78" s="9" t="s">
        <v>120</v>
      </c>
      <c r="B78" s="37"/>
      <c r="C78" s="332"/>
      <c r="D78" s="332"/>
      <c r="E78" s="332"/>
      <c r="F78" s="332"/>
      <c r="G78" s="332"/>
      <c r="H78" s="284"/>
      <c r="I78" s="164"/>
      <c r="J78" s="164"/>
      <c r="K78" s="395"/>
      <c r="L78" s="395"/>
      <c r="M78" s="164"/>
      <c r="N78" s="186">
        <f t="shared" ref="N78:N79" si="70">(N93/H93)^(1/6)</f>
        <v>1.3711054666879214</v>
      </c>
      <c r="O78" s="164"/>
      <c r="P78" s="164"/>
      <c r="Q78" s="164"/>
      <c r="R78" s="164"/>
      <c r="S78" s="164"/>
      <c r="T78" s="164"/>
      <c r="U78" s="164"/>
      <c r="V78" s="164"/>
      <c r="W78" s="164"/>
      <c r="X78" s="186">
        <f t="shared" ref="X78:X79" si="71">(X93/N93)^(1/10)</f>
        <v>1.0878860055778639</v>
      </c>
      <c r="AH78" s="186">
        <f t="shared" ref="AH78:AH79" si="72">(AH93/X93)^(1/10)</f>
        <v>1.0426632777653493</v>
      </c>
      <c r="AI78" s="127"/>
    </row>
    <row r="79" spans="1:35">
      <c r="A79" s="9" t="s">
        <v>53</v>
      </c>
      <c r="B79" s="37"/>
      <c r="C79" s="332"/>
      <c r="D79" s="332"/>
      <c r="E79" s="332"/>
      <c r="F79" s="332"/>
      <c r="G79" s="332"/>
      <c r="H79" s="284"/>
      <c r="I79" s="164"/>
      <c r="J79" s="164"/>
      <c r="K79" s="395"/>
      <c r="L79" s="395"/>
      <c r="M79" s="164"/>
      <c r="N79" s="186">
        <f t="shared" si="70"/>
        <v>1.0750562023086159</v>
      </c>
      <c r="O79" s="164"/>
      <c r="P79" s="164"/>
      <c r="Q79" s="164"/>
      <c r="R79" s="164"/>
      <c r="S79" s="164"/>
      <c r="T79" s="164"/>
      <c r="U79" s="164"/>
      <c r="V79" s="164"/>
      <c r="W79" s="164"/>
      <c r="X79" s="186">
        <f t="shared" si="71"/>
        <v>1.0413797439924106</v>
      </c>
      <c r="AH79" s="186">
        <f t="shared" si="72"/>
        <v>1.0342196941293802</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547</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4.3419068634211383E-2</v>
      </c>
      <c r="D84" s="336">
        <f t="shared" si="73"/>
        <v>4.562128707042911E-2</v>
      </c>
      <c r="E84" s="336">
        <f t="shared" si="73"/>
        <v>4.7823505506646845E-2</v>
      </c>
      <c r="F84" s="336">
        <f t="shared" si="73"/>
        <v>5.0025723942864579E-2</v>
      </c>
      <c r="G84" s="336">
        <f t="shared" si="73"/>
        <v>5.2227942379082314E-2</v>
      </c>
      <c r="H84" s="396">
        <f t="shared" si="73"/>
        <v>5.9896655391883685E-2</v>
      </c>
      <c r="I84" s="116">
        <f t="shared" si="73"/>
        <v>6.118779139867081E-2</v>
      </c>
      <c r="J84" s="116">
        <f t="shared" si="73"/>
        <v>6.2478927405457935E-2</v>
      </c>
      <c r="K84" s="116">
        <f t="shared" si="73"/>
        <v>6.3770063412245059E-2</v>
      </c>
      <c r="L84" s="116">
        <f t="shared" si="73"/>
        <v>6.5061199419032184E-2</v>
      </c>
      <c r="M84" s="116">
        <f t="shared" si="73"/>
        <v>6.6352335425819309E-2</v>
      </c>
      <c r="N84" s="178">
        <f t="shared" si="73"/>
        <v>6.7643471432606433E-2</v>
      </c>
      <c r="O84" s="116">
        <f t="shared" si="73"/>
        <v>6.7431886396219526E-2</v>
      </c>
      <c r="P84" s="116">
        <f t="shared" si="73"/>
        <v>6.7220301359832618E-2</v>
      </c>
      <c r="Q84" s="116">
        <f t="shared" si="73"/>
        <v>6.7008716323445711E-2</v>
      </c>
      <c r="R84" s="116">
        <f t="shared" si="73"/>
        <v>6.6797131287058803E-2</v>
      </c>
      <c r="S84" s="116">
        <f t="shared" si="73"/>
        <v>6.6585546250671895E-2</v>
      </c>
      <c r="T84" s="116">
        <f t="shared" si="73"/>
        <v>6.6373961214284988E-2</v>
      </c>
      <c r="U84" s="116">
        <f t="shared" si="73"/>
        <v>6.616237617789808E-2</v>
      </c>
      <c r="V84" s="116">
        <f t="shared" si="73"/>
        <v>6.5950791141511172E-2</v>
      </c>
      <c r="W84" s="116">
        <f t="shared" si="73"/>
        <v>6.5739206105124265E-2</v>
      </c>
      <c r="X84" s="178">
        <f t="shared" si="73"/>
        <v>6.5527621068737371E-2</v>
      </c>
      <c r="Y84" s="173">
        <f t="shared" si="73"/>
        <v>6.5314710037755491E-2</v>
      </c>
      <c r="Z84" s="173">
        <f t="shared" si="73"/>
        <v>6.5101799006773611E-2</v>
      </c>
      <c r="AA84" s="173">
        <f t="shared" si="73"/>
        <v>6.4888887975791731E-2</v>
      </c>
      <c r="AB84" s="173">
        <f t="shared" si="73"/>
        <v>6.4675976944809851E-2</v>
      </c>
      <c r="AC84" s="173">
        <f t="shared" si="73"/>
        <v>6.4463065913827972E-2</v>
      </c>
      <c r="AD84" s="173">
        <f t="shared" si="73"/>
        <v>6.4250154882846092E-2</v>
      </c>
      <c r="AE84" s="173">
        <f t="shared" si="73"/>
        <v>6.4037243851864212E-2</v>
      </c>
      <c r="AF84" s="173">
        <f t="shared" si="73"/>
        <v>6.3824332820882332E-2</v>
      </c>
      <c r="AG84" s="173">
        <f t="shared" si="73"/>
        <v>6.3611421789900452E-2</v>
      </c>
      <c r="AH84" s="178">
        <f t="shared" si="73"/>
        <v>6.339851075891853E-2</v>
      </c>
      <c r="AI84" s="127"/>
    </row>
    <row r="85" spans="1:35">
      <c r="A85" s="9" t="s">
        <v>59</v>
      </c>
      <c r="B85" s="37"/>
      <c r="C85" s="336">
        <f t="shared" ref="C85:AH85" si="74">C32/C$49</f>
        <v>0.33443662943042346</v>
      </c>
      <c r="D85" s="336">
        <f t="shared" si="74"/>
        <v>0.32849560634575692</v>
      </c>
      <c r="E85" s="336">
        <f t="shared" si="74"/>
        <v>0.32255458326109043</v>
      </c>
      <c r="F85" s="336">
        <f t="shared" si="74"/>
        <v>0.31661356017642395</v>
      </c>
      <c r="G85" s="336">
        <f t="shared" si="74"/>
        <v>0.31067253709175746</v>
      </c>
      <c r="H85" s="396">
        <f t="shared" si="74"/>
        <v>0.30256306035257741</v>
      </c>
      <c r="I85" s="116">
        <f t="shared" si="74"/>
        <v>0.2969834462103299</v>
      </c>
      <c r="J85" s="116">
        <f t="shared" si="74"/>
        <v>0.2914038320680824</v>
      </c>
      <c r="K85" s="116">
        <f t="shared" si="74"/>
        <v>0.2858242179258349</v>
      </c>
      <c r="L85" s="116">
        <f t="shared" si="74"/>
        <v>0.2802446037835874</v>
      </c>
      <c r="M85" s="116">
        <f t="shared" si="74"/>
        <v>0.2746649896413399</v>
      </c>
      <c r="N85" s="178">
        <f t="shared" si="74"/>
        <v>0.26908537549909223</v>
      </c>
      <c r="O85" s="116">
        <f t="shared" si="74"/>
        <v>0.26824369133119902</v>
      </c>
      <c r="P85" s="116">
        <f t="shared" si="74"/>
        <v>0.26740200716330581</v>
      </c>
      <c r="Q85" s="116">
        <f t="shared" si="74"/>
        <v>0.2665603229954126</v>
      </c>
      <c r="R85" s="116">
        <f t="shared" si="74"/>
        <v>0.26571863882751939</v>
      </c>
      <c r="S85" s="116">
        <f t="shared" si="74"/>
        <v>0.26487695465962618</v>
      </c>
      <c r="T85" s="116">
        <f t="shared" si="74"/>
        <v>0.26403527049173298</v>
      </c>
      <c r="U85" s="116">
        <f t="shared" si="74"/>
        <v>0.26319358632383977</v>
      </c>
      <c r="V85" s="116">
        <f t="shared" si="74"/>
        <v>0.26235190215594656</v>
      </c>
      <c r="W85" s="116">
        <f t="shared" si="74"/>
        <v>0.26151021798805335</v>
      </c>
      <c r="X85" s="178">
        <f t="shared" si="74"/>
        <v>0.26066853382016036</v>
      </c>
      <c r="Y85" s="173">
        <f t="shared" si="74"/>
        <v>0.25982157485270496</v>
      </c>
      <c r="Z85" s="173">
        <f t="shared" si="74"/>
        <v>0.25897461588524956</v>
      </c>
      <c r="AA85" s="173">
        <f t="shared" si="74"/>
        <v>0.25812765691779416</v>
      </c>
      <c r="AB85" s="173">
        <f t="shared" si="74"/>
        <v>0.25728069795033875</v>
      </c>
      <c r="AC85" s="173">
        <f t="shared" si="74"/>
        <v>0.25643373898288335</v>
      </c>
      <c r="AD85" s="173">
        <f t="shared" si="74"/>
        <v>0.25558678001542795</v>
      </c>
      <c r="AE85" s="173">
        <f t="shared" si="74"/>
        <v>0.25473982104797255</v>
      </c>
      <c r="AF85" s="173">
        <f t="shared" si="74"/>
        <v>0.25389286208051715</v>
      </c>
      <c r="AG85" s="173">
        <f t="shared" si="74"/>
        <v>0.25304590311306174</v>
      </c>
      <c r="AH85" s="178">
        <f t="shared" si="74"/>
        <v>0.2521989441456064</v>
      </c>
      <c r="AI85" s="127"/>
    </row>
    <row r="86" spans="1:35" s="252" customFormat="1">
      <c r="A86" s="10" t="s">
        <v>121</v>
      </c>
      <c r="B86" s="37"/>
      <c r="C86" s="410">
        <f t="shared" ref="C86:AH86" si="75">C34/C$49</f>
        <v>4.0224336873074988E-3</v>
      </c>
      <c r="D86" s="336">
        <f t="shared" si="75"/>
        <v>5.758315044349197E-3</v>
      </c>
      <c r="E86" s="336">
        <f t="shared" si="75"/>
        <v>8.2433160438683158E-3</v>
      </c>
      <c r="F86" s="336">
        <f t="shared" si="75"/>
        <v>1.1800719286066212E-2</v>
      </c>
      <c r="G86" s="336">
        <f t="shared" si="75"/>
        <v>1.6893319985240594E-2</v>
      </c>
      <c r="H86" s="409">
        <f t="shared" si="75"/>
        <v>5.1986836032529944E-3</v>
      </c>
      <c r="I86" s="396">
        <f t="shared" si="75"/>
        <v>7.4421756405538856E-3</v>
      </c>
      <c r="J86" s="396">
        <f t="shared" si="75"/>
        <v>1.0653846721927205E-2</v>
      </c>
      <c r="K86" s="396">
        <f t="shared" si="75"/>
        <v>1.5442101388463766E-2</v>
      </c>
      <c r="L86" s="396">
        <f t="shared" si="75"/>
        <v>2.5401958102589363E-2</v>
      </c>
      <c r="M86" s="396">
        <f t="shared" si="75"/>
        <v>3.1255469761738958E-2</v>
      </c>
      <c r="N86" s="397">
        <f>N34/N$49</f>
        <v>4.4743768508883883E-2</v>
      </c>
      <c r="O86" s="396">
        <f t="shared" si="75"/>
        <v>4.6595254195037163E-2</v>
      </c>
      <c r="P86" s="396">
        <f t="shared" si="75"/>
        <v>4.8523353884889098E-2</v>
      </c>
      <c r="Q86" s="396">
        <f t="shared" si="75"/>
        <v>5.0531237846298954E-2</v>
      </c>
      <c r="R86" s="396">
        <f t="shared" si="75"/>
        <v>5.2622207531998408E-2</v>
      </c>
      <c r="S86" s="396">
        <f t="shared" si="75"/>
        <v>5.4799701007988005E-2</v>
      </c>
      <c r="T86" s="396">
        <f t="shared" si="75"/>
        <v>5.7067298606559201E-2</v>
      </c>
      <c r="U86" s="396">
        <f t="shared" si="75"/>
        <v>5.9428728813237075E-2</v>
      </c>
      <c r="V86" s="396">
        <f t="shared" si="75"/>
        <v>6.1887874397323232E-2</v>
      </c>
      <c r="W86" s="396">
        <f t="shared" si="75"/>
        <v>6.4448778796118919E-2</v>
      </c>
      <c r="X86" s="397">
        <f t="shared" si="75"/>
        <v>6.7115652763325803E-2</v>
      </c>
      <c r="Y86" s="396">
        <f>Y34/Y$49</f>
        <v>6.9412329872180503E-2</v>
      </c>
      <c r="Z86" s="396">
        <f t="shared" si="75"/>
        <v>7.1787598569214156E-2</v>
      </c>
      <c r="AA86" s="396">
        <f t="shared" si="75"/>
        <v>7.4244148234535401E-2</v>
      </c>
      <c r="AB86" s="396">
        <f t="shared" si="75"/>
        <v>7.6784760278017575E-2</v>
      </c>
      <c r="AC86" s="396">
        <f t="shared" si="75"/>
        <v>7.9412311288529103E-2</v>
      </c>
      <c r="AD86" s="396">
        <f t="shared" si="75"/>
        <v>8.2129776290929712E-2</v>
      </c>
      <c r="AE86" s="396">
        <f t="shared" si="75"/>
        <v>8.4940232114519731E-2</v>
      </c>
      <c r="AF86" s="396">
        <f t="shared" si="75"/>
        <v>8.7846860876757152E-2</v>
      </c>
      <c r="AG86" s="396">
        <f t="shared" si="75"/>
        <v>9.0852953586186003E-2</v>
      </c>
      <c r="AH86" s="397">
        <f t="shared" si="75"/>
        <v>9.3961913868656127E-2</v>
      </c>
      <c r="AI86" s="292"/>
    </row>
    <row r="87" spans="1:35">
      <c r="A87" s="9" t="s">
        <v>50</v>
      </c>
      <c r="B87" s="37"/>
      <c r="C87" s="410">
        <f t="shared" ref="C87:AH87" si="76">C35/C$49</f>
        <v>0</v>
      </c>
      <c r="D87" s="336">
        <f t="shared" si="76"/>
        <v>0</v>
      </c>
      <c r="E87" s="336">
        <f t="shared" si="76"/>
        <v>2.0441992524233755E-13</v>
      </c>
      <c r="F87" s="336">
        <f t="shared" si="76"/>
        <v>2.1704903096459814E-13</v>
      </c>
      <c r="G87" s="336">
        <f t="shared" si="76"/>
        <v>2.0633837156812932E-13</v>
      </c>
      <c r="H87" s="409">
        <f t="shared" si="76"/>
        <v>2.0605281285612374E-13</v>
      </c>
      <c r="I87" s="116">
        <f t="shared" si="76"/>
        <v>2.2103171570528405E-13</v>
      </c>
      <c r="J87" s="116">
        <f>J35/J$49</f>
        <v>2.3709950216372196E-13</v>
      </c>
      <c r="K87" s="116">
        <f t="shared" si="76"/>
        <v>2.543353280632426E-13</v>
      </c>
      <c r="L87" s="116">
        <f t="shared" si="76"/>
        <v>2.7282410342797746E-13</v>
      </c>
      <c r="M87" s="116">
        <f t="shared" si="76"/>
        <v>2.9265691077242463E-13</v>
      </c>
      <c r="N87" s="178">
        <f t="shared" si="76"/>
        <v>3.1393145380744939E-13</v>
      </c>
      <c r="O87" s="116">
        <f t="shared" si="76"/>
        <v>3.2692185699716699E-13</v>
      </c>
      <c r="P87" s="116">
        <f t="shared" si="76"/>
        <v>3.4044979974523323E-13</v>
      </c>
      <c r="Q87" s="116">
        <f t="shared" si="76"/>
        <v>3.545375253009585E-13</v>
      </c>
      <c r="R87" s="116">
        <f t="shared" si="76"/>
        <v>3.6920819733361492E-13</v>
      </c>
      <c r="S87" s="116">
        <f t="shared" si="76"/>
        <v>3.8448593801917931E-13</v>
      </c>
      <c r="T87" s="116">
        <f t="shared" si="76"/>
        <v>4.0039586770309482E-13</v>
      </c>
      <c r="U87" s="116">
        <f t="shared" si="76"/>
        <v>4.1696414620426804E-13</v>
      </c>
      <c r="V87" s="116">
        <f t="shared" si="76"/>
        <v>4.3421801582821462E-13</v>
      </c>
      <c r="W87" s="116">
        <f t="shared" si="76"/>
        <v>4.521858461600787E-13</v>
      </c>
      <c r="X87" s="178">
        <f t="shared" si="76"/>
        <v>4.7089718071117395E-13</v>
      </c>
      <c r="Y87" s="173">
        <f t="shared" si="76"/>
        <v>4.8701113820149784E-13</v>
      </c>
      <c r="Z87" s="173">
        <f t="shared" si="76"/>
        <v>5.0367651038835445E-13</v>
      </c>
      <c r="AA87" s="173">
        <f t="shared" si="76"/>
        <v>5.2091216651399751E-13</v>
      </c>
      <c r="AB87" s="173">
        <f t="shared" si="76"/>
        <v>5.3873762152037926E-13</v>
      </c>
      <c r="AC87" s="173">
        <f t="shared" si="76"/>
        <v>5.5717305814479642E-13</v>
      </c>
      <c r="AD87" s="173">
        <f t="shared" si="76"/>
        <v>5.7623934977164272E-13</v>
      </c>
      <c r="AE87" s="173">
        <f t="shared" si="76"/>
        <v>5.9595808406614126E-13</v>
      </c>
      <c r="AF87" s="173">
        <f t="shared" si="76"/>
        <v>6.1635158741681605E-13</v>
      </c>
      <c r="AG87" s="173">
        <f t="shared" si="76"/>
        <v>6.3744295021437745E-13</v>
      </c>
      <c r="AH87" s="178">
        <f t="shared" si="76"/>
        <v>6.5925605299564358E-13</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8.642486093872111E-3</v>
      </c>
      <c r="D89" s="336">
        <f t="shared" si="78"/>
        <v>9.3796091445427724E-3</v>
      </c>
      <c r="E89" s="336">
        <f t="shared" si="78"/>
        <v>1.1234408963049614E-2</v>
      </c>
      <c r="F89" s="336">
        <f t="shared" si="78"/>
        <v>1.3148958691943897E-2</v>
      </c>
      <c r="G89" s="336">
        <f t="shared" si="78"/>
        <v>1.5239584961330354E-2</v>
      </c>
      <c r="H89" s="409">
        <f t="shared" si="78"/>
        <v>1.5280441057966379E-2</v>
      </c>
      <c r="I89" s="116">
        <f t="shared" si="78"/>
        <v>1.6373826361019288E-2</v>
      </c>
      <c r="J89" s="116">
        <f t="shared" si="78"/>
        <v>1.7545448373104153E-2</v>
      </c>
      <c r="K89" s="116">
        <f t="shared" si="78"/>
        <v>1.8800905287852318E-2</v>
      </c>
      <c r="L89" s="116">
        <f t="shared" si="78"/>
        <v>2.0146195875201584E-2</v>
      </c>
      <c r="M89" s="116">
        <f t="shared" si="78"/>
        <v>2.158774814445932E-2</v>
      </c>
      <c r="N89" s="178">
        <f t="shared" si="78"/>
        <v>2.3132450058338562E-2</v>
      </c>
      <c r="O89" s="116">
        <f t="shared" si="78"/>
        <v>2.408966491966983E-2</v>
      </c>
      <c r="P89" s="116">
        <f t="shared" si="78"/>
        <v>2.5086489086908723E-2</v>
      </c>
      <c r="Q89" s="116">
        <f t="shared" si="78"/>
        <v>2.6124561582993408E-2</v>
      </c>
      <c r="R89" s="116">
        <f t="shared" si="78"/>
        <v>2.7205589253211641E-2</v>
      </c>
      <c r="S89" s="116">
        <f t="shared" si="78"/>
        <v>2.8331349571672215E-2</v>
      </c>
      <c r="T89" s="116">
        <f t="shared" si="78"/>
        <v>2.9503693563907505E-2</v>
      </c>
      <c r="U89" s="116">
        <f t="shared" si="78"/>
        <v>3.0724548850412529E-2</v>
      </c>
      <c r="V89" s="116">
        <f t="shared" si="78"/>
        <v>3.1995922816124914E-2</v>
      </c>
      <c r="W89" s="116">
        <f t="shared" si="78"/>
        <v>3.3319905911057095E-2</v>
      </c>
      <c r="X89" s="178">
        <f t="shared" si="78"/>
        <v>3.4698675087507826E-2</v>
      </c>
      <c r="Y89" s="173">
        <f t="shared" si="78"/>
        <v>3.5886053135697087E-2</v>
      </c>
      <c r="Z89" s="173">
        <f t="shared" si="78"/>
        <v>3.7114062897511325E-2</v>
      </c>
      <c r="AA89" s="173">
        <f t="shared" si="78"/>
        <v>3.8384094777762744E-2</v>
      </c>
      <c r="AB89" s="173">
        <f t="shared" si="78"/>
        <v>3.9697586760490934E-2</v>
      </c>
      <c r="AC89" s="173">
        <f t="shared" si="78"/>
        <v>4.1056026037109457E-2</v>
      </c>
      <c r="AD89" s="173">
        <f t="shared" si="78"/>
        <v>4.2460950690267209E-2</v>
      </c>
      <c r="AE89" s="173">
        <f t="shared" si="78"/>
        <v>4.3913951435330847E-2</v>
      </c>
      <c r="AF89" s="173">
        <f t="shared" si="78"/>
        <v>4.5416673421460323E-2</v>
      </c>
      <c r="AG89" s="173">
        <f t="shared" si="78"/>
        <v>4.6970818094316649E-2</v>
      </c>
      <c r="AH89" s="178">
        <f t="shared" si="78"/>
        <v>4.8578145122510956E-2</v>
      </c>
      <c r="AI89" s="127"/>
    </row>
    <row r="90" spans="1:35" s="252" customFormat="1">
      <c r="A90" s="10" t="s">
        <v>347</v>
      </c>
      <c r="B90" s="37"/>
      <c r="C90" s="410">
        <f t="shared" ref="C90:AH90" si="79">C38/C$49</f>
        <v>1.0000000000000003E-4</v>
      </c>
      <c r="D90" s="336">
        <f t="shared" si="79"/>
        <v>2.5000000000000006E-4</v>
      </c>
      <c r="E90" s="336">
        <f t="shared" si="79"/>
        <v>5.0020441992524244E-4</v>
      </c>
      <c r="F90" s="336">
        <f t="shared" si="79"/>
        <v>1.0002170490309647E-3</v>
      </c>
      <c r="G90" s="336">
        <f t="shared" si="79"/>
        <v>2.5002063383715678E-3</v>
      </c>
      <c r="H90" s="409">
        <f t="shared" si="79"/>
        <v>3.5002060528128561E-3</v>
      </c>
      <c r="I90" s="396">
        <f t="shared" si="79"/>
        <v>5.0641346142328049E-3</v>
      </c>
      <c r="J90" s="396">
        <f t="shared" si="79"/>
        <v>7.3268427641456956E-3</v>
      </c>
      <c r="K90" s="396">
        <f t="shared" si="79"/>
        <v>1.0600552508939739E-2</v>
      </c>
      <c r="L90" s="396">
        <f t="shared" si="79"/>
        <v>1.5336989903029678E-2</v>
      </c>
      <c r="M90" s="396">
        <f t="shared" si="79"/>
        <v>2.2189716912138686E-2</v>
      </c>
      <c r="N90" s="397">
        <f t="shared" si="79"/>
        <v>3.210431380303564E-2</v>
      </c>
      <c r="O90" s="396">
        <f t="shared" si="79"/>
        <v>3.3432782089257249E-2</v>
      </c>
      <c r="P90" s="396">
        <f t="shared" si="79"/>
        <v>3.4816222053064762E-2</v>
      </c>
      <c r="Q90" s="396">
        <f t="shared" si="79"/>
        <v>3.6256908408403503E-2</v>
      </c>
      <c r="R90" s="396">
        <f t="shared" si="79"/>
        <v>3.7757209996299522E-2</v>
      </c>
      <c r="S90" s="396">
        <f t="shared" si="79"/>
        <v>3.9319593679814087E-2</v>
      </c>
      <c r="T90" s="396">
        <f t="shared" si="79"/>
        <v>4.0946628400170403E-2</v>
      </c>
      <c r="U90" s="396">
        <f t="shared" si="79"/>
        <v>4.2640989400721821E-2</v>
      </c>
      <c r="V90" s="396">
        <f t="shared" si="79"/>
        <v>4.4405462625706792E-2</v>
      </c>
      <c r="W90" s="396">
        <f t="shared" si="79"/>
        <v>4.6242949301023087E-2</v>
      </c>
      <c r="X90" s="397">
        <f t="shared" si="79"/>
        <v>4.8156470704553436E-2</v>
      </c>
      <c r="Y90" s="396">
        <f t="shared" si="79"/>
        <v>4.9804370402413714E-2</v>
      </c>
      <c r="Z90" s="396">
        <f t="shared" si="79"/>
        <v>5.1508660723890667E-2</v>
      </c>
      <c r="AA90" s="396">
        <f t="shared" si="79"/>
        <v>5.3271271338876228E-2</v>
      </c>
      <c r="AB90" s="396">
        <f t="shared" si="79"/>
        <v>5.509419794997579E-2</v>
      </c>
      <c r="AC90" s="396">
        <f t="shared" si="79"/>
        <v>5.6979504552127483E-2</v>
      </c>
      <c r="AD90" s="396">
        <f t="shared" si="79"/>
        <v>5.8929325769544919E-2</v>
      </c>
      <c r="AE90" s="396">
        <f t="shared" si="79"/>
        <v>6.0945869272629349E-2</v>
      </c>
      <c r="AF90" s="396">
        <f t="shared" si="79"/>
        <v>6.3031418277587917E-2</v>
      </c>
      <c r="AG90" s="396">
        <f t="shared" si="79"/>
        <v>6.5188334131588005E-2</v>
      </c>
      <c r="AH90" s="397">
        <f t="shared" si="79"/>
        <v>6.7419058986374819E-2</v>
      </c>
      <c r="AI90" s="292"/>
    </row>
    <row r="91" spans="1:35" s="252" customFormat="1">
      <c r="A91" s="10" t="s">
        <v>348</v>
      </c>
      <c r="B91" s="37"/>
      <c r="C91" s="410">
        <f t="shared" ref="C91:AH91" si="80">C39/C$49</f>
        <v>0</v>
      </c>
      <c r="D91" s="336">
        <f t="shared" si="80"/>
        <v>0</v>
      </c>
      <c r="E91" s="336">
        <f t="shared" si="80"/>
        <v>2.0441992524233755E-7</v>
      </c>
      <c r="F91" s="336">
        <f t="shared" si="80"/>
        <v>2.1704903096459816E-7</v>
      </c>
      <c r="G91" s="336">
        <f t="shared" si="80"/>
        <v>2.0633837156812932E-7</v>
      </c>
      <c r="H91" s="409">
        <f t="shared" si="80"/>
        <v>2.0605281285612376E-7</v>
      </c>
      <c r="I91" s="396">
        <f t="shared" si="80"/>
        <v>2.2103171570528406E-7</v>
      </c>
      <c r="J91" s="396">
        <f t="shared" si="80"/>
        <v>2.3709950216372196E-7</v>
      </c>
      <c r="K91" s="396">
        <f t="shared" si="80"/>
        <v>2.5433532806324264E-7</v>
      </c>
      <c r="L91" s="396">
        <f t="shared" si="80"/>
        <v>2.7282410342797746E-7</v>
      </c>
      <c r="M91" s="396">
        <f t="shared" si="80"/>
        <v>2.9265691077242463E-7</v>
      </c>
      <c r="N91" s="397">
        <f t="shared" si="80"/>
        <v>3.1393145380744939E-7</v>
      </c>
      <c r="O91" s="396">
        <f t="shared" si="80"/>
        <v>3.2692185699716697E-7</v>
      </c>
      <c r="P91" s="396">
        <f t="shared" si="80"/>
        <v>3.4044979974523321E-7</v>
      </c>
      <c r="Q91" s="396">
        <f t="shared" si="80"/>
        <v>3.5453752530095845E-7</v>
      </c>
      <c r="R91" s="396">
        <f t="shared" si="80"/>
        <v>3.6920819733361486E-7</v>
      </c>
      <c r="S91" s="396">
        <f t="shared" si="80"/>
        <v>3.8448593801917932E-7</v>
      </c>
      <c r="T91" s="396">
        <f t="shared" si="80"/>
        <v>4.0039586770309484E-7</v>
      </c>
      <c r="U91" s="396">
        <f t="shared" si="80"/>
        <v>4.1696414620426803E-7</v>
      </c>
      <c r="V91" s="396">
        <f t="shared" si="80"/>
        <v>4.3421801582821471E-7</v>
      </c>
      <c r="W91" s="396">
        <f t="shared" si="80"/>
        <v>4.5218584616007874E-7</v>
      </c>
      <c r="X91" s="397">
        <f t="shared" si="80"/>
        <v>4.7089718071117395E-7</v>
      </c>
      <c r="Y91" s="396">
        <f t="shared" si="80"/>
        <v>4.8701113820149783E-7</v>
      </c>
      <c r="Z91" s="396">
        <f t="shared" si="80"/>
        <v>5.036765103883544E-7</v>
      </c>
      <c r="AA91" s="396">
        <f t="shared" si="80"/>
        <v>5.2091216651399743E-7</v>
      </c>
      <c r="AB91" s="396">
        <f t="shared" si="80"/>
        <v>5.3873762152037916E-7</v>
      </c>
      <c r="AC91" s="396">
        <f t="shared" si="80"/>
        <v>5.5717305814479629E-7</v>
      </c>
      <c r="AD91" s="396">
        <f t="shared" si="80"/>
        <v>5.7623934977164257E-7</v>
      </c>
      <c r="AE91" s="396">
        <f t="shared" si="80"/>
        <v>5.9595808406614108E-7</v>
      </c>
      <c r="AF91" s="396">
        <f t="shared" si="80"/>
        <v>6.1635158741681588E-7</v>
      </c>
      <c r="AG91" s="396">
        <f t="shared" si="80"/>
        <v>6.3744295021437724E-7</v>
      </c>
      <c r="AH91" s="397">
        <f t="shared" si="80"/>
        <v>6.5925605299564352E-7</v>
      </c>
      <c r="AI91" s="292"/>
    </row>
    <row r="92" spans="1:35">
      <c r="A92" s="9" t="s">
        <v>344</v>
      </c>
      <c r="B92" s="37"/>
      <c r="C92" s="410">
        <f t="shared" ref="C92:AH92" si="81">C40/C$49</f>
        <v>2.2985335356042849E-7</v>
      </c>
      <c r="D92" s="336">
        <f t="shared" si="81"/>
        <v>2.4656242442829084E-7</v>
      </c>
      <c r="E92" s="336">
        <f t="shared" si="81"/>
        <v>2.6448615257629525E-7</v>
      </c>
      <c r="F92" s="336">
        <f t="shared" si="81"/>
        <v>2.8371283688831565E-7</v>
      </c>
      <c r="G92" s="336">
        <f t="shared" si="81"/>
        <v>3.0433719509000199E-7</v>
      </c>
      <c r="H92" s="409">
        <f t="shared" si="81"/>
        <v>2.0605281285612376E-7</v>
      </c>
      <c r="I92" s="116">
        <f t="shared" si="81"/>
        <v>2.2103171570528406E-7</v>
      </c>
      <c r="J92" s="116">
        <f t="shared" si="81"/>
        <v>2.3709950216372196E-7</v>
      </c>
      <c r="K92" s="116">
        <f t="shared" si="81"/>
        <v>2.5433532806324264E-7</v>
      </c>
      <c r="L92" s="116">
        <f t="shared" si="81"/>
        <v>2.7282410342797746E-7</v>
      </c>
      <c r="M92" s="116">
        <f t="shared" si="81"/>
        <v>2.9265691077242463E-7</v>
      </c>
      <c r="N92" s="178">
        <f t="shared" si="81"/>
        <v>3.1393145380744939E-7</v>
      </c>
      <c r="O92" s="116">
        <f t="shared" si="81"/>
        <v>3.2692185699716697E-7</v>
      </c>
      <c r="P92" s="116">
        <f t="shared" si="81"/>
        <v>3.4044979974523321E-7</v>
      </c>
      <c r="Q92" s="116">
        <f t="shared" si="81"/>
        <v>3.5453752530095845E-7</v>
      </c>
      <c r="R92" s="116">
        <f t="shared" si="81"/>
        <v>3.6920819733361486E-7</v>
      </c>
      <c r="S92" s="116">
        <f t="shared" si="81"/>
        <v>3.8448593801917932E-7</v>
      </c>
      <c r="T92" s="116">
        <f t="shared" si="81"/>
        <v>4.0039586770309484E-7</v>
      </c>
      <c r="U92" s="116">
        <f t="shared" si="81"/>
        <v>4.1696414620426803E-7</v>
      </c>
      <c r="V92" s="116">
        <f t="shared" si="81"/>
        <v>4.3421801582821471E-7</v>
      </c>
      <c r="W92" s="116">
        <f t="shared" si="81"/>
        <v>4.5218584616007874E-7</v>
      </c>
      <c r="X92" s="178">
        <f t="shared" si="81"/>
        <v>4.7089718071117395E-7</v>
      </c>
      <c r="Y92" s="173">
        <f t="shared" si="81"/>
        <v>4.8701113820149783E-7</v>
      </c>
      <c r="Z92" s="173">
        <f t="shared" si="81"/>
        <v>5.036765103883544E-7</v>
      </c>
      <c r="AA92" s="173">
        <f t="shared" si="81"/>
        <v>5.2091216651399743E-7</v>
      </c>
      <c r="AB92" s="173">
        <f t="shared" si="81"/>
        <v>5.3873762152037916E-7</v>
      </c>
      <c r="AC92" s="173">
        <f t="shared" si="81"/>
        <v>5.5717305814479629E-7</v>
      </c>
      <c r="AD92" s="173">
        <f t="shared" si="81"/>
        <v>5.7623934977164257E-7</v>
      </c>
      <c r="AE92" s="173">
        <f t="shared" si="81"/>
        <v>5.9595808406614108E-7</v>
      </c>
      <c r="AF92" s="173">
        <f t="shared" si="81"/>
        <v>6.1635158741681588E-7</v>
      </c>
      <c r="AG92" s="173">
        <f t="shared" si="81"/>
        <v>6.3744295021437724E-7</v>
      </c>
      <c r="AH92" s="178">
        <f t="shared" si="81"/>
        <v>6.5925605299564352E-7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2.0605281285612373E-5</v>
      </c>
      <c r="I93" s="116">
        <f t="shared" si="82"/>
        <v>4.0769444622587095E-5</v>
      </c>
      <c r="J93" s="116">
        <f t="shared" si="82"/>
        <v>6.0191279366671181E-5</v>
      </c>
      <c r="K93" s="116">
        <f t="shared" si="82"/>
        <v>7.8672093780329905E-5</v>
      </c>
      <c r="L93" s="116">
        <f t="shared" si="82"/>
        <v>9.7436362854599835E-5</v>
      </c>
      <c r="M93" s="116">
        <f t="shared" si="82"/>
        <v>1.1730239229219981E-4</v>
      </c>
      <c r="N93" s="178">
        <f t="shared" si="82"/>
        <v>1.3690008630964213E-4</v>
      </c>
      <c r="O93" s="116">
        <f t="shared" si="82"/>
        <v>1.5588737272661916E-4</v>
      </c>
      <c r="P93" s="116">
        <f t="shared" si="82"/>
        <v>1.7441349812748696E-4</v>
      </c>
      <c r="Q93" s="116">
        <f t="shared" si="82"/>
        <v>1.9108569454309826E-4</v>
      </c>
      <c r="R93" s="116">
        <f t="shared" si="82"/>
        <v>2.097511932820951E-4</v>
      </c>
      <c r="S93" s="116">
        <f t="shared" si="82"/>
        <v>2.2765880397195723E-4</v>
      </c>
      <c r="T93" s="116">
        <f t="shared" si="82"/>
        <v>2.4495573642663407E-4</v>
      </c>
      <c r="U93" s="116">
        <f t="shared" si="82"/>
        <v>2.6314613264771412E-4</v>
      </c>
      <c r="V93" s="116">
        <f t="shared" si="82"/>
        <v>2.8179102085285393E-4</v>
      </c>
      <c r="W93" s="116">
        <f t="shared" si="82"/>
        <v>2.9992397449434514E-4</v>
      </c>
      <c r="X93" s="178">
        <f t="shared" si="82"/>
        <v>3.1786127623525853E-4</v>
      </c>
      <c r="Y93" s="173">
        <f t="shared" si="82"/>
        <v>3.3336262045147256E-4</v>
      </c>
      <c r="Z93" s="173">
        <f t="shared" si="82"/>
        <v>3.493478215082918E-4</v>
      </c>
      <c r="AA93" s="173">
        <f t="shared" si="82"/>
        <v>3.6534431132091613E-4</v>
      </c>
      <c r="AB93" s="173">
        <f t="shared" si="82"/>
        <v>3.8120425171741081E-4</v>
      </c>
      <c r="AC93" s="173">
        <f t="shared" si="82"/>
        <v>3.9756980288988301E-4</v>
      </c>
      <c r="AD93" s="173">
        <f t="shared" si="82"/>
        <v>4.1384348293110071E-4</v>
      </c>
      <c r="AE93" s="173">
        <f t="shared" si="82"/>
        <v>4.3044225962374222E-4</v>
      </c>
      <c r="AF93" s="173">
        <f t="shared" si="82"/>
        <v>4.4738575736075556E-4</v>
      </c>
      <c r="AG93" s="173">
        <f t="shared" si="82"/>
        <v>4.6533607621145387E-4</v>
      </c>
      <c r="AH93" s="178">
        <f t="shared" si="82"/>
        <v>4.827012282444949E-4</v>
      </c>
      <c r="AI93" s="127"/>
    </row>
    <row r="94" spans="1:35">
      <c r="A94" s="9" t="s">
        <v>53</v>
      </c>
      <c r="B94" s="37"/>
      <c r="C94" s="410">
        <f t="shared" ref="C94:AH94" si="83">C42/C$49</f>
        <v>0</v>
      </c>
      <c r="D94" s="336">
        <f t="shared" si="83"/>
        <v>2.3045722713864306E-5</v>
      </c>
      <c r="E94" s="336">
        <f t="shared" si="83"/>
        <v>8.9048167182306104E-6</v>
      </c>
      <c r="F94" s="336">
        <f t="shared" si="83"/>
        <v>1.1157404494191173E-5</v>
      </c>
      <c r="G94" s="336">
        <f t="shared" si="83"/>
        <v>1.2191381361298029E-5</v>
      </c>
      <c r="H94" s="409">
        <f t="shared" si="83"/>
        <v>1.2203615102570734E-5</v>
      </c>
      <c r="I94" s="116">
        <f t="shared" si="83"/>
        <v>1.3119572106605762E-5</v>
      </c>
      <c r="J94" s="116">
        <f t="shared" si="83"/>
        <v>1.4104277364841639E-5</v>
      </c>
      <c r="K94" s="116">
        <f t="shared" si="83"/>
        <v>1.5162890860154026E-5</v>
      </c>
      <c r="L94" s="116">
        <f t="shared" si="83"/>
        <v>1.6300959864137209E-5</v>
      </c>
      <c r="M94" s="116">
        <f t="shared" si="83"/>
        <v>1.7524448005524517E-5</v>
      </c>
      <c r="N94" s="178">
        <f t="shared" si="83"/>
        <v>1.8839766520373985E-5</v>
      </c>
      <c r="O94" s="116">
        <f t="shared" si="83"/>
        <v>1.9619351235863849E-5</v>
      </c>
      <c r="P94" s="116">
        <f t="shared" si="83"/>
        <v>2.0431194967301081E-5</v>
      </c>
      <c r="Q94" s="116">
        <f t="shared" si="83"/>
        <v>2.1276632584507028E-5</v>
      </c>
      <c r="R94" s="116">
        <f t="shared" si="83"/>
        <v>2.2157054193874511E-5</v>
      </c>
      <c r="S94" s="116">
        <f t="shared" si="83"/>
        <v>2.3073907424043005E-5</v>
      </c>
      <c r="T94" s="116">
        <f t="shared" si="83"/>
        <v>2.4028699806154486E-5</v>
      </c>
      <c r="U94" s="116">
        <f t="shared" si="83"/>
        <v>2.5023001252603646E-5</v>
      </c>
      <c r="V94" s="116">
        <f t="shared" si="83"/>
        <v>2.6058446638358151E-5</v>
      </c>
      <c r="W94" s="116">
        <f t="shared" si="83"/>
        <v>2.7136738489093305E-5</v>
      </c>
      <c r="X94" s="178">
        <f t="shared" si="83"/>
        <v>2.825964978056097E-5</v>
      </c>
      <c r="Y94" s="173">
        <f t="shared" si="83"/>
        <v>2.9226686352255173E-5</v>
      </c>
      <c r="Z94" s="173">
        <f t="shared" si="83"/>
        <v>3.0226814619644674E-5</v>
      </c>
      <c r="AA94" s="173">
        <f t="shared" si="83"/>
        <v>3.1261166970434391E-5</v>
      </c>
      <c r="AB94" s="173">
        <f t="shared" si="83"/>
        <v>3.2330914542290141E-5</v>
      </c>
      <c r="AC94" s="173">
        <f t="shared" si="83"/>
        <v>3.343726854885044E-5</v>
      </c>
      <c r="AD94" s="173">
        <f t="shared" si="83"/>
        <v>3.4581481651114046E-5</v>
      </c>
      <c r="AE94" s="173">
        <f t="shared" si="83"/>
        <v>3.5764849375755939E-5</v>
      </c>
      <c r="AF94" s="173">
        <f t="shared" si="83"/>
        <v>3.698871158197766E-5</v>
      </c>
      <c r="AG94" s="173">
        <f t="shared" si="83"/>
        <v>3.8254453978552799E-5</v>
      </c>
      <c r="AH94" s="178">
        <f t="shared" si="83"/>
        <v>3.9563509692785354E-5</v>
      </c>
      <c r="AI94" s="127"/>
    </row>
    <row r="95" spans="1:35" s="378" customFormat="1">
      <c r="A95" s="373" t="s">
        <v>540</v>
      </c>
      <c r="B95" s="374"/>
      <c r="C95" s="375">
        <f>SUM(C86:C94)</f>
        <v>1.2765149634533171E-2</v>
      </c>
      <c r="D95" s="375">
        <f>SUM(D86:D94)</f>
        <v>1.5411216474030261E-2</v>
      </c>
      <c r="E95" s="375">
        <f>SUM(E86:E94)</f>
        <v>1.9987303149843642E-2</v>
      </c>
      <c r="F95" s="375">
        <f>SUM(F86:F94)</f>
        <v>2.5961553193620163E-2</v>
      </c>
      <c r="G95" s="375">
        <f t="shared" ref="G95:AH95" si="84">SUM(G86:G94)</f>
        <v>3.4645813342076809E-2</v>
      </c>
      <c r="H95" s="375">
        <f t="shared" si="84"/>
        <v>2.4012551716252183E-2</v>
      </c>
      <c r="I95" s="375">
        <f t="shared" si="84"/>
        <v>2.8934467696187613E-2</v>
      </c>
      <c r="J95" s="375">
        <f t="shared" si="84"/>
        <v>3.5600907615149995E-2</v>
      </c>
      <c r="K95" s="375">
        <f t="shared" si="84"/>
        <v>4.4937902840806766E-2</v>
      </c>
      <c r="L95" s="375">
        <f t="shared" si="84"/>
        <v>6.0999426852019041E-2</v>
      </c>
      <c r="M95" s="375">
        <f t="shared" si="84"/>
        <v>7.5168346972748892E-2</v>
      </c>
      <c r="N95" s="376">
        <f t="shared" si="84"/>
        <v>0.10013690008630961</v>
      </c>
      <c r="O95" s="375">
        <f t="shared" si="84"/>
        <v>0.10429386177196764</v>
      </c>
      <c r="P95" s="375">
        <f t="shared" si="84"/>
        <v>0.10862159061789729</v>
      </c>
      <c r="Q95" s="375">
        <f t="shared" si="84"/>
        <v>0.11312577924022861</v>
      </c>
      <c r="R95" s="375">
        <f t="shared" si="84"/>
        <v>0.11781765344574942</v>
      </c>
      <c r="S95" s="375">
        <f t="shared" si="84"/>
        <v>0.12270214594313084</v>
      </c>
      <c r="T95" s="375">
        <f t="shared" si="84"/>
        <v>0.12778740579900572</v>
      </c>
      <c r="U95" s="375">
        <f t="shared" si="84"/>
        <v>0.13308327012698112</v>
      </c>
      <c r="V95" s="375">
        <f t="shared" si="84"/>
        <v>0.138597977743112</v>
      </c>
      <c r="W95" s="375">
        <f t="shared" si="84"/>
        <v>0.14433959909332705</v>
      </c>
      <c r="X95" s="376">
        <f t="shared" si="84"/>
        <v>0.15031786127623525</v>
      </c>
      <c r="Y95" s="375">
        <f t="shared" si="84"/>
        <v>0.15546631673985845</v>
      </c>
      <c r="Z95" s="375">
        <f t="shared" si="84"/>
        <v>0.16079090418026856</v>
      </c>
      <c r="AA95" s="375">
        <f t="shared" si="84"/>
        <v>0.16629716165431968</v>
      </c>
      <c r="AB95" s="375">
        <f t="shared" si="84"/>
        <v>0.17199115763052578</v>
      </c>
      <c r="AC95" s="375">
        <f t="shared" si="84"/>
        <v>0.17787996329587824</v>
      </c>
      <c r="AD95" s="375">
        <f t="shared" si="84"/>
        <v>0.1839696301945998</v>
      </c>
      <c r="AE95" s="375">
        <f t="shared" si="84"/>
        <v>0.19026745184824354</v>
      </c>
      <c r="AF95" s="375">
        <f t="shared" si="84"/>
        <v>0.19678055974853931</v>
      </c>
      <c r="AG95" s="375">
        <f t="shared" si="84"/>
        <v>0.20351697122881854</v>
      </c>
      <c r="AH95" s="376">
        <f t="shared" si="84"/>
        <v>0.21048270122824445</v>
      </c>
      <c r="AI95" s="377"/>
    </row>
    <row r="96" spans="1:35">
      <c r="A96" s="10" t="s">
        <v>543</v>
      </c>
      <c r="B96" s="37"/>
      <c r="C96" s="332"/>
      <c r="D96" s="332">
        <f>D95/C95-1</f>
        <v>0.20728835268321233</v>
      </c>
      <c r="E96" s="332">
        <f t="shared" ref="E96:O96" si="85">E95/D95-1</f>
        <v>0.29693221709815276</v>
      </c>
      <c r="F96" s="332">
        <f t="shared" si="85"/>
        <v>0.2989022580479177</v>
      </c>
      <c r="G96" s="332">
        <f t="shared" si="85"/>
        <v>0.3345046455306353</v>
      </c>
      <c r="H96" s="284"/>
      <c r="I96" s="164">
        <f t="shared" si="85"/>
        <v>0.20497263423296141</v>
      </c>
      <c r="J96" s="164">
        <f t="shared" si="85"/>
        <v>0.2303978766418</v>
      </c>
      <c r="K96" s="164">
        <f t="shared" si="85"/>
        <v>0.26226846030418072</v>
      </c>
      <c r="L96" s="164">
        <f t="shared" si="85"/>
        <v>0.35741596727623182</v>
      </c>
      <c r="M96" s="164">
        <f t="shared" si="85"/>
        <v>0.23227956149658269</v>
      </c>
      <c r="N96" s="164">
        <f t="shared" si="85"/>
        <v>0.33216844747979724</v>
      </c>
      <c r="O96" s="172">
        <f t="shared" si="85"/>
        <v>4.1512785816967268E-2</v>
      </c>
      <c r="P96" s="172">
        <f t="shared" ref="P96:AH96" si="86">P95/O95-1</f>
        <v>4.1495527851792113E-2</v>
      </c>
      <c r="Q96" s="172">
        <f t="shared" si="86"/>
        <v>4.1466789398949988E-2</v>
      </c>
      <c r="R96" s="172">
        <f t="shared" si="86"/>
        <v>4.1474845406875405E-2</v>
      </c>
      <c r="S96" s="172">
        <f t="shared" si="86"/>
        <v>4.1458069775855311E-2</v>
      </c>
      <c r="T96" s="172">
        <f t="shared" si="86"/>
        <v>4.1443935774617691E-2</v>
      </c>
      <c r="U96" s="172">
        <f t="shared" si="86"/>
        <v>4.1442772038937647E-2</v>
      </c>
      <c r="V96" s="172">
        <f t="shared" si="86"/>
        <v>4.1438023057811968E-2</v>
      </c>
      <c r="W96" s="172">
        <f t="shared" si="86"/>
        <v>4.1426443904232224E-2</v>
      </c>
      <c r="X96" s="185">
        <f t="shared" si="86"/>
        <v>4.1418032338047306E-2</v>
      </c>
      <c r="Y96" s="172">
        <f t="shared" si="86"/>
        <v>3.4250457130719836E-2</v>
      </c>
      <c r="Z96" s="172">
        <f t="shared" si="86"/>
        <v>3.4249138669180335E-2</v>
      </c>
      <c r="AA96" s="172">
        <f t="shared" si="86"/>
        <v>3.4244831833757594E-2</v>
      </c>
      <c r="AB96" s="172">
        <f t="shared" si="86"/>
        <v>3.4239886715818679E-2</v>
      </c>
      <c r="AC96" s="172">
        <f t="shared" si="86"/>
        <v>3.4239002437572275E-2</v>
      </c>
      <c r="AD96" s="172">
        <f t="shared" si="86"/>
        <v>3.4234698421835574E-2</v>
      </c>
      <c r="AE96" s="172">
        <f t="shared" si="86"/>
        <v>3.4232941855576904E-2</v>
      </c>
      <c r="AF96" s="172">
        <f t="shared" si="86"/>
        <v>3.4231329830866741E-2</v>
      </c>
      <c r="AG96" s="172">
        <f t="shared" si="86"/>
        <v>3.423311473901447E-2</v>
      </c>
      <c r="AH96" s="185">
        <f t="shared" si="86"/>
        <v>3.4226777046491019E-2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283.3485</v>
      </c>
      <c r="D102" s="331">
        <f>D31*Inputs!$C$48</f>
        <v>296.93983328400901</v>
      </c>
      <c r="E102" s="331">
        <f>E31*Inputs!$C$48</f>
        <v>350.92106689173727</v>
      </c>
      <c r="F102" s="331">
        <f>F31*Inputs!$C$48</f>
        <v>345.72181953918079</v>
      </c>
      <c r="G102" s="331">
        <f>G31*Inputs!$C$48</f>
        <v>379.6769014567721</v>
      </c>
      <c r="H102" s="402">
        <f>H31*Inputs!$C$48</f>
        <v>436.02890852336839</v>
      </c>
      <c r="I102" s="14">
        <f>I31*Inputs!$C$48</f>
        <v>450.24742400909383</v>
      </c>
      <c r="J102" s="14">
        <f>J31*Inputs!$C$48</f>
        <v>467.10283662825839</v>
      </c>
      <c r="K102" s="14">
        <f>K31*Inputs!$C$48</f>
        <v>486.3482870327972</v>
      </c>
      <c r="L102" s="14">
        <f>L31*Inputs!$C$48</f>
        <v>500.79762970104082</v>
      </c>
      <c r="M102" s="14">
        <f>M31*Inputs!$C$48</f>
        <v>509.08682010919529</v>
      </c>
      <c r="N102" s="182">
        <f>N31*Inputs!$C$48</f>
        <v>518.81373429955465</v>
      </c>
      <c r="O102" s="14">
        <f>O31*Inputs!$C$48</f>
        <v>519.08157960536289</v>
      </c>
      <c r="P102" s="14">
        <f>P31*Inputs!$C$48</f>
        <v>520.30036556828031</v>
      </c>
      <c r="Q102" s="14">
        <f>Q31*Inputs!$C$48</f>
        <v>526.01046208876937</v>
      </c>
      <c r="R102" s="14">
        <f>R31*Inputs!$C$48</f>
        <v>525.45716140655338</v>
      </c>
      <c r="S102" s="14">
        <f>S31*Inputs!$C$48</f>
        <v>526.46320353142551</v>
      </c>
      <c r="T102" s="14">
        <f>T31*Inputs!$C$48</f>
        <v>528.37800925156398</v>
      </c>
      <c r="U102" s="14">
        <f>U31*Inputs!$C$48</f>
        <v>527.999361326707</v>
      </c>
      <c r="V102" s="14">
        <f>V31*Inputs!$C$48</f>
        <v>526.59335850834748</v>
      </c>
      <c r="W102" s="14">
        <f>W31*Inputs!$C$48</f>
        <v>526.04695879446251</v>
      </c>
      <c r="X102" s="187">
        <f>X31*Inputs!$C$48</f>
        <v>525.68666339088122</v>
      </c>
      <c r="Y102" s="158">
        <f>Y31*Inputs!$C$48</f>
        <v>529.00267241453048</v>
      </c>
      <c r="Z102" s="158">
        <f>Z31*Inputs!$C$48</f>
        <v>531.10429132846616</v>
      </c>
      <c r="AA102" s="158">
        <f>AA31*Inputs!$C$48</f>
        <v>532.83069667500911</v>
      </c>
      <c r="AB102" s="158">
        <f>AB31*Inputs!$C$48</f>
        <v>534.43613616140067</v>
      </c>
      <c r="AC102" s="158">
        <f>AC31*Inputs!$C$48</f>
        <v>535.07111447936791</v>
      </c>
      <c r="AD102" s="158">
        <f>AD31*Inputs!$C$48</f>
        <v>535.62045432215461</v>
      </c>
      <c r="AE102" s="158">
        <f>AE31*Inputs!$C$48</f>
        <v>535.57491791866664</v>
      </c>
      <c r="AF102" s="158">
        <f>AF31*Inputs!$C$48</f>
        <v>534.97735263242339</v>
      </c>
      <c r="AG102" s="158">
        <f>AG31*Inputs!$C$48</f>
        <v>533.12983381902973</v>
      </c>
      <c r="AH102" s="187">
        <f>AH31*Inputs!$C$48</f>
        <v>531.93145894289194</v>
      </c>
    </row>
    <row r="103" spans="1:36">
      <c r="A103" s="10" t="s">
        <v>59</v>
      </c>
      <c r="B103" s="35">
        <v>0</v>
      </c>
      <c r="C103" s="331">
        <f>C32*Inputs!$C$53</f>
        <v>2037.0000000000002</v>
      </c>
      <c r="D103" s="331">
        <f>D32*Inputs!$C$53</f>
        <v>1995.5713890777122</v>
      </c>
      <c r="E103" s="331">
        <f>E32*Inputs!$C$53</f>
        <v>2209.0626245469361</v>
      </c>
      <c r="F103" s="331">
        <f>F32*Inputs!$C$53</f>
        <v>2042.206695312505</v>
      </c>
      <c r="G103" s="331">
        <f>G32*Inputs!$C$53</f>
        <v>2107.9043544978758</v>
      </c>
      <c r="H103" s="402">
        <f>H32*Inputs!$C$53</f>
        <v>2055.7267752000002</v>
      </c>
      <c r="I103" s="14">
        <f>I32*Inputs!$C$53</f>
        <v>2039.6491958299237</v>
      </c>
      <c r="J103" s="14">
        <f>J32*Inputs!$C$53</f>
        <v>2033.3445435347164</v>
      </c>
      <c r="K103" s="14">
        <f>K32*Inputs!$C$53</f>
        <v>2034.5405129981066</v>
      </c>
      <c r="L103" s="14">
        <f>L32*Inputs!$C$53</f>
        <v>2013.3266154572009</v>
      </c>
      <c r="M103" s="14">
        <f>M32*Inputs!$C$53</f>
        <v>1966.8702981266267</v>
      </c>
      <c r="N103" s="182">
        <f>N32*Inputs!$C$53</f>
        <v>1926.2490995999999</v>
      </c>
      <c r="O103" s="14">
        <f>O32*Inputs!$C$53</f>
        <v>1927.2435543436507</v>
      </c>
      <c r="P103" s="14">
        <f>P32*Inputs!$C$53</f>
        <v>1931.7686569160492</v>
      </c>
      <c r="Q103" s="14">
        <f>Q32*Inputs!$C$53</f>
        <v>1952.9690753977823</v>
      </c>
      <c r="R103" s="14">
        <f>R32*Inputs!$C$53</f>
        <v>1950.9147833263405</v>
      </c>
      <c r="S103" s="14">
        <f>S32*Inputs!$C$53</f>
        <v>1954.6500116155657</v>
      </c>
      <c r="T103" s="14">
        <f>T32*Inputs!$C$53</f>
        <v>1961.7592929442594</v>
      </c>
      <c r="U103" s="14">
        <f>U32*Inputs!$C$53</f>
        <v>1960.3534507775985</v>
      </c>
      <c r="V103" s="14">
        <f>V32*Inputs!$C$53</f>
        <v>1955.1332503783999</v>
      </c>
      <c r="W103" s="14">
        <f>W32*Inputs!$C$53</f>
        <v>1953.1045801884839</v>
      </c>
      <c r="X103" s="187">
        <f>X32*Inputs!$C$53</f>
        <v>1951.7668771732103</v>
      </c>
      <c r="Y103" s="158">
        <f>Y32*Inputs!$C$53</f>
        <v>1964.0785392858054</v>
      </c>
      <c r="Z103" s="158">
        <f>Z32*Inputs!$C$53</f>
        <v>1971.8814197283136</v>
      </c>
      <c r="AA103" s="158">
        <f>AA32*Inputs!$C$53</f>
        <v>1978.2912090697866</v>
      </c>
      <c r="AB103" s="158">
        <f>AB32*Inputs!$C$53</f>
        <v>1984.2518769563046</v>
      </c>
      <c r="AC103" s="158">
        <f>AC32*Inputs!$C$53</f>
        <v>1986.6094213549723</v>
      </c>
      <c r="AD103" s="158">
        <f>AD32*Inputs!$C$53</f>
        <v>1988.6490076411196</v>
      </c>
      <c r="AE103" s="158">
        <f>AE32*Inputs!$C$53</f>
        <v>1988.4799403045806</v>
      </c>
      <c r="AF103" s="158">
        <f>AF32*Inputs!$C$53</f>
        <v>1986.2613028274286</v>
      </c>
      <c r="AG103" s="158">
        <f>AG32*Inputs!$C$53</f>
        <v>1979.4018439975684</v>
      </c>
      <c r="AH103" s="187">
        <f>AH32*Inputs!$C$53</f>
        <v>1974.9525236085092</v>
      </c>
    </row>
    <row r="104" spans="1:36">
      <c r="A104" s="10" t="s">
        <v>121</v>
      </c>
      <c r="B104" s="35">
        <v>1</v>
      </c>
      <c r="C104" s="331">
        <f>C34*Inputs!$C$46</f>
        <v>36.75</v>
      </c>
      <c r="D104" s="331">
        <f>D34*Inputs!$C$46</f>
        <v>52.471609344924076</v>
      </c>
      <c r="E104" s="331">
        <f>E34*Inputs!$C$46</f>
        <v>84.683348120793553</v>
      </c>
      <c r="F104" s="331">
        <f>F34*Inputs!$C$46</f>
        <v>114.17471154147212</v>
      </c>
      <c r="G104" s="331">
        <f>G34*Inputs!$C$46</f>
        <v>171.93104558980056</v>
      </c>
      <c r="H104" s="402">
        <f>H34*Inputs!$C$46</f>
        <v>52.982705819474738</v>
      </c>
      <c r="I104" s="14">
        <f>I34*Inputs!$C$46</f>
        <v>76.668048779377372</v>
      </c>
      <c r="J104" s="14">
        <f>J34*Inputs!$C$46</f>
        <v>111.50989820180882</v>
      </c>
      <c r="K104" s="14">
        <f>K34*Inputs!$C$46</f>
        <v>164.87886038127468</v>
      </c>
      <c r="L104" s="14">
        <f>L34*Inputs!$C$46</f>
        <v>273.73821462856131</v>
      </c>
      <c r="M104" s="14">
        <f>M34*Inputs!$C$46</f>
        <v>335.72965674639391</v>
      </c>
      <c r="N104" s="182">
        <f>N34*Inputs!$C$46</f>
        <v>480.44775924605665</v>
      </c>
      <c r="O104" s="14">
        <f>O34*Inputs!$C$46</f>
        <v>502.15758774087948</v>
      </c>
      <c r="P104" s="14">
        <f>P34*Inputs!$C$46</f>
        <v>525.81445717811312</v>
      </c>
      <c r="Q104" s="14">
        <f>Q34*Inputs!$C$46</f>
        <v>555.32989913744723</v>
      </c>
      <c r="R104" s="14">
        <f>R34*Inputs!$C$46</f>
        <v>579.53090753306708</v>
      </c>
      <c r="S104" s="14">
        <f>S34*Inputs!$C$46</f>
        <v>606.58864990409165</v>
      </c>
      <c r="T104" s="14">
        <f>T34*Inputs!$C$46</f>
        <v>636.00766190902368</v>
      </c>
      <c r="U104" s="14">
        <f>U34*Inputs!$C$46</f>
        <v>663.96743494924681</v>
      </c>
      <c r="V104" s="14">
        <f>V34*Inputs!$C$46</f>
        <v>691.81340044672947</v>
      </c>
      <c r="W104" s="14">
        <f>W34*Inputs!$C$46</f>
        <v>722.00929292180479</v>
      </c>
      <c r="X104" s="187">
        <f>X34*Inputs!$C$46</f>
        <v>753.7970123411194</v>
      </c>
      <c r="Y104" s="158">
        <f>Y34*Inputs!$C$46</f>
        <v>787.06666800705864</v>
      </c>
      <c r="Z104" s="158">
        <f>Z34*Inputs!$C$46</f>
        <v>819.90641033485304</v>
      </c>
      <c r="AA104" s="158">
        <f>AA34*Inputs!$C$46</f>
        <v>853.51109329616247</v>
      </c>
      <c r="AB104" s="158">
        <f>AB34*Inputs!$C$46</f>
        <v>888.29227717291894</v>
      </c>
      <c r="AC104" s="158">
        <f>AC34*Inputs!$C$46</f>
        <v>922.81877417793339</v>
      </c>
      <c r="AD104" s="158">
        <f>AD34*Inputs!$C$46</f>
        <v>958.54311073259885</v>
      </c>
      <c r="AE104" s="158">
        <f>AE34*Inputs!$C$46</f>
        <v>994.5556233985684</v>
      </c>
      <c r="AF104" s="158">
        <f>AF34*Inputs!$C$46</f>
        <v>1030.868801733184</v>
      </c>
      <c r="AG104" s="158">
        <f>AG34*Inputs!$C$46</f>
        <v>1066.019060072105</v>
      </c>
      <c r="AH104" s="187">
        <f>AH34*Inputs!$C$46</f>
        <v>1103.713892696846</v>
      </c>
    </row>
    <row r="105" spans="1:36">
      <c r="A105" s="10" t="s">
        <v>50</v>
      </c>
      <c r="B105" s="35">
        <v>1</v>
      </c>
      <c r="C105" s="331">
        <f>C35*Inputs!$C$49</f>
        <v>0</v>
      </c>
      <c r="D105" s="331">
        <f>D35*Inputs!$C$49</f>
        <v>0</v>
      </c>
      <c r="E105" s="331">
        <f>E35*Inputs!$C$49</f>
        <v>2.5000000000000001E-9</v>
      </c>
      <c r="F105" s="331">
        <f>F35*Inputs!$C$49</f>
        <v>2.5000000000000001E-9</v>
      </c>
      <c r="G105" s="331">
        <f>G35*Inputs!$C$49</f>
        <v>2.5000000000000001E-9</v>
      </c>
      <c r="H105" s="402">
        <f>H35*Inputs!$C$49</f>
        <v>2.5000000000000001E-9</v>
      </c>
      <c r="I105" s="14">
        <f>I35*Inputs!$C$49</f>
        <v>2.7107521055465643E-9</v>
      </c>
      <c r="J105" s="14">
        <f>J35*Inputs!$C$49</f>
        <v>2.9543254187957275E-9</v>
      </c>
      <c r="K105" s="14">
        <f>K35*Inputs!$C$49</f>
        <v>3.2328531737493061E-9</v>
      </c>
      <c r="L105" s="14">
        <f>L35*Inputs!$C$49</f>
        <v>3.5000293452443076E-9</v>
      </c>
      <c r="M105" s="14">
        <f>M35*Inputs!$C$49</f>
        <v>3.7423394150830796E-9</v>
      </c>
      <c r="N105" s="182">
        <f>N35*Inputs!$C$49</f>
        <v>4.0129999839477282E-9</v>
      </c>
      <c r="O105" s="14">
        <f>O35*Inputs!$C$49</f>
        <v>4.1943340410322049E-9</v>
      </c>
      <c r="P105" s="14">
        <f>P35*Inputs!$C$49</f>
        <v>4.3919310010447747E-9</v>
      </c>
      <c r="Q105" s="14">
        <f>Q35*Inputs!$C$49</f>
        <v>4.6384624205999183E-9</v>
      </c>
      <c r="R105" s="14">
        <f>R35*Inputs!$C$49</f>
        <v>4.8406043693011567E-9</v>
      </c>
      <c r="S105" s="14">
        <f>S35*Inputs!$C$49</f>
        <v>5.0666075457359416E-9</v>
      </c>
      <c r="T105" s="14">
        <f>T35*Inputs!$C$49</f>
        <v>5.3123335220394088E-9</v>
      </c>
      <c r="U105" s="14">
        <f>U35*Inputs!$C$49</f>
        <v>5.5458710224279459E-9</v>
      </c>
      <c r="V105" s="14">
        <f>V35*Inputs!$C$49</f>
        <v>5.7784579310853276E-9</v>
      </c>
      <c r="W105" s="14">
        <f>W35*Inputs!$C$49</f>
        <v>6.0306728986562471E-9</v>
      </c>
      <c r="X105" s="187">
        <f>X35*Inputs!$C$49</f>
        <v>6.2961837998198256E-9</v>
      </c>
      <c r="Y105" s="158">
        <f>Y35*Inputs!$C$49</f>
        <v>6.5740727587835934E-9</v>
      </c>
      <c r="Z105" s="158">
        <f>Z35*Inputs!$C$49</f>
        <v>6.8483708128344478E-9</v>
      </c>
      <c r="AA105" s="158">
        <f>AA35*Inputs!$C$49</f>
        <v>7.1290581291743657E-9</v>
      </c>
      <c r="AB105" s="158">
        <f>AB35*Inputs!$C$49</f>
        <v>7.4195723165193913E-9</v>
      </c>
      <c r="AC105" s="158">
        <f>AC35*Inputs!$C$49</f>
        <v>7.7079591999223282E-9</v>
      </c>
      <c r="AD105" s="158">
        <f>AD35*Inputs!$C$49</f>
        <v>8.0063511879407259E-9</v>
      </c>
      <c r="AE105" s="158">
        <f>AE35*Inputs!$C$49</f>
        <v>8.3071502029621283E-9</v>
      </c>
      <c r="AF105" s="158">
        <f>AF35*Inputs!$C$49</f>
        <v>8.6104605655759146E-9</v>
      </c>
      <c r="AG105" s="158">
        <f>AG35*Inputs!$C$49</f>
        <v>8.9040574935149801E-9</v>
      </c>
      <c r="AH105" s="187">
        <f>AH35*Inputs!$C$49</f>
        <v>9.2189082963481054E-9</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56.4</v>
      </c>
      <c r="D107" s="331">
        <f>D37*Inputs!$C$52</f>
        <v>61.05</v>
      </c>
      <c r="E107" s="331">
        <f>E37*Inputs!$C$52</f>
        <v>82.436256762138129</v>
      </c>
      <c r="F107" s="331">
        <f>F37*Inputs!$C$52</f>
        <v>90.870887330212696</v>
      </c>
      <c r="G107" s="331">
        <f>G37*Inputs!$C$52</f>
        <v>110.78587694702129</v>
      </c>
      <c r="H107" s="402">
        <f>H37*Inputs!$C$52</f>
        <v>111.23682938001873</v>
      </c>
      <c r="I107" s="14">
        <f>I37*Inputs!$C$52</f>
        <v>120.48601480296736</v>
      </c>
      <c r="J107" s="14">
        <f>J37*Inputs!$C$52</f>
        <v>131.17268566098463</v>
      </c>
      <c r="K107" s="14">
        <f>K37*Inputs!$C$52</f>
        <v>143.38684316969105</v>
      </c>
      <c r="L107" s="14">
        <f>L37*Inputs!$C$52</f>
        <v>155.07195120725794</v>
      </c>
      <c r="M107" s="14">
        <f>M37*Inputs!$C$52</f>
        <v>165.63151825255096</v>
      </c>
      <c r="N107" s="182">
        <f>N37*Inputs!$C$52</f>
        <v>177.42189370369132</v>
      </c>
      <c r="O107" s="14">
        <f>O37*Inputs!$C$52</f>
        <v>185.43899610329098</v>
      </c>
      <c r="P107" s="14">
        <f>P37*Inputs!$C$52</f>
        <v>194.17511047552054</v>
      </c>
      <c r="Q107" s="14">
        <f>Q37*Inputs!$C$52</f>
        <v>205.07470466687263</v>
      </c>
      <c r="R107" s="14">
        <f>R37*Inputs!$C$52</f>
        <v>214.01176110320162</v>
      </c>
      <c r="S107" s="14">
        <f>S37*Inputs!$C$52</f>
        <v>224.00376501710724</v>
      </c>
      <c r="T107" s="14">
        <f>T37*Inputs!$C$52</f>
        <v>234.86774912434402</v>
      </c>
      <c r="U107" s="14">
        <f>U37*Inputs!$C$52</f>
        <v>245.19285895128201</v>
      </c>
      <c r="V107" s="14">
        <f>V37*Inputs!$C$52</f>
        <v>255.4759414206932</v>
      </c>
      <c r="W107" s="14">
        <f>W37*Inputs!$C$52</f>
        <v>266.62681541666734</v>
      </c>
      <c r="X107" s="187">
        <f>X37*Inputs!$C$52</f>
        <v>278.36552637401826</v>
      </c>
      <c r="Y107" s="158">
        <f>Y37*Inputs!$C$52</f>
        <v>290.65149336527577</v>
      </c>
      <c r="Z107" s="158">
        <f>Z37*Inputs!$C$52</f>
        <v>302.77870003948686</v>
      </c>
      <c r="AA107" s="158">
        <f>AA37*Inputs!$C$52</f>
        <v>315.18838740625466</v>
      </c>
      <c r="AB107" s="158">
        <f>AB37*Inputs!$C$52</f>
        <v>328.03253828408208</v>
      </c>
      <c r="AC107" s="158">
        <f>AC37*Inputs!$C$52</f>
        <v>340.78263725675157</v>
      </c>
      <c r="AD107" s="158">
        <f>AD37*Inputs!$C$52</f>
        <v>353.975079766595</v>
      </c>
      <c r="AE107" s="158">
        <f>AE37*Inputs!$C$52</f>
        <v>367.27394123750935</v>
      </c>
      <c r="AF107" s="158">
        <f>AF37*Inputs!$C$52</f>
        <v>380.68383386899467</v>
      </c>
      <c r="AG107" s="158">
        <f>AG37*Inputs!$C$52</f>
        <v>393.6642782121047</v>
      </c>
      <c r="AH107" s="187">
        <f>AH37*Inputs!$C$52</f>
        <v>407.58439430884783</v>
      </c>
    </row>
    <row r="108" spans="1:36">
      <c r="A108" s="9" t="s">
        <v>347</v>
      </c>
      <c r="B108" s="35">
        <v>1</v>
      </c>
      <c r="C108" s="331">
        <f>C38*Inputs!$C$54</f>
        <v>3.4369740000000011</v>
      </c>
      <c r="D108" s="331">
        <f>D38*Inputs!$C$54</f>
        <v>8.5699200000000015</v>
      </c>
      <c r="E108" s="331">
        <f>E38*Inputs!$C$54</f>
        <v>19.33086959465825</v>
      </c>
      <c r="F108" s="331">
        <f>F38*Inputs!$C$54</f>
        <v>36.405206013720623</v>
      </c>
      <c r="G108" s="331">
        <f>G38*Inputs!$C$54</f>
        <v>95.72446425270806</v>
      </c>
      <c r="H108" s="402">
        <f>H38*Inputs!$C$54</f>
        <v>134.19679854858035</v>
      </c>
      <c r="I108" s="14">
        <f>I38*Inputs!$C$54</f>
        <v>196.25807426513072</v>
      </c>
      <c r="J108" s="14">
        <f>J38*Inputs!$C$54</f>
        <v>288.49058424633438</v>
      </c>
      <c r="K108" s="14">
        <f>K38*Inputs!$C$54</f>
        <v>425.789429499395</v>
      </c>
      <c r="L108" s="14">
        <f>L38*Inputs!$C$54</f>
        <v>621.75052867449347</v>
      </c>
      <c r="M108" s="14">
        <f>M38*Inputs!$C$54</f>
        <v>896.65058067644736</v>
      </c>
      <c r="N108" s="182">
        <f>N38*Inputs!$C$54</f>
        <v>1296.8352330270436</v>
      </c>
      <c r="O108" s="14">
        <f>O38*Inputs!$C$54</f>
        <v>1355.4348829436992</v>
      </c>
      <c r="P108" s="14">
        <f>P38*Inputs!$C$54</f>
        <v>1419.290028896442</v>
      </c>
      <c r="Q108" s="14">
        <f>Q38*Inputs!$C$54</f>
        <v>1498.9587635603207</v>
      </c>
      <c r="R108" s="14">
        <f>R38*Inputs!$C$54</f>
        <v>1564.2826614414842</v>
      </c>
      <c r="S108" s="14">
        <f>S38*Inputs!$C$54</f>
        <v>1637.3175189418657</v>
      </c>
      <c r="T108" s="14">
        <f>T38*Inputs!$C$54</f>
        <v>1716.7259677370291</v>
      </c>
      <c r="U108" s="14">
        <f>U38*Inputs!$C$54</f>
        <v>1792.1956063984744</v>
      </c>
      <c r="V108" s="14">
        <f>V38*Inputs!$C$54</f>
        <v>1867.3580532198712</v>
      </c>
      <c r="W108" s="14">
        <f>W38*Inputs!$C$54</f>
        <v>1948.8634749869</v>
      </c>
      <c r="X108" s="187">
        <f>X38*Inputs!$C$54</f>
        <v>2034.6655912986403</v>
      </c>
      <c r="Y108" s="158">
        <f>Y38*Inputs!$C$54</f>
        <v>2124.46778275016</v>
      </c>
      <c r="Z108" s="158">
        <f>Z38*Inputs!$C$54</f>
        <v>2213.1095425973576</v>
      </c>
      <c r="AA108" s="158">
        <f>AA38*Inputs!$C$54</f>
        <v>2303.8160471449428</v>
      </c>
      <c r="AB108" s="158">
        <f>AB38*Inputs!$C$54</f>
        <v>2397.698189021412</v>
      </c>
      <c r="AC108" s="158">
        <f>AC38*Inputs!$C$54</f>
        <v>2490.8928744527043</v>
      </c>
      <c r="AD108" s="158">
        <f>AD38*Inputs!$C$54</f>
        <v>2587.3207949269454</v>
      </c>
      <c r="AE108" s="158">
        <f>AE38*Inputs!$C$54</f>
        <v>2684.5265667435315</v>
      </c>
      <c r="AF108" s="158">
        <f>AF38*Inputs!$C$54</f>
        <v>2782.5439019922651</v>
      </c>
      <c r="AG108" s="158">
        <f>AG38*Inputs!$C$54</f>
        <v>2877.4222578315112</v>
      </c>
      <c r="AH108" s="187">
        <f>AH38*Inputs!$C$54</f>
        <v>2979.1689849419304</v>
      </c>
    </row>
    <row r="109" spans="1:36">
      <c r="A109" s="9" t="s">
        <v>348</v>
      </c>
      <c r="B109" s="35">
        <v>1</v>
      </c>
      <c r="C109" s="331">
        <f>C39*Inputs!$C$54</f>
        <v>0</v>
      </c>
      <c r="D109" s="331">
        <f>D39*Inputs!$C$55</f>
        <v>0</v>
      </c>
      <c r="E109" s="331">
        <f>E39*Inputs!$C$55</f>
        <v>2.3E-3</v>
      </c>
      <c r="F109" s="331">
        <f>F39*Inputs!$C$55</f>
        <v>2.3E-3</v>
      </c>
      <c r="G109" s="331">
        <f>G39*Inputs!$C$55</f>
        <v>2.3E-3</v>
      </c>
      <c r="H109" s="402">
        <f>H39*Inputs!$C$55</f>
        <v>2.3E-3</v>
      </c>
      <c r="I109" s="14">
        <f>I39*Inputs!$C$55</f>
        <v>2.4938919371028392E-3</v>
      </c>
      <c r="J109" s="14">
        <f>J39*Inputs!$C$55</f>
        <v>2.7179793852920697E-3</v>
      </c>
      <c r="K109" s="14">
        <f>K39*Inputs!$C$55</f>
        <v>2.9742249198493622E-3</v>
      </c>
      <c r="L109" s="14">
        <f>L39*Inputs!$C$55</f>
        <v>3.2200269976247631E-3</v>
      </c>
      <c r="M109" s="14">
        <f>M39*Inputs!$C$55</f>
        <v>3.4429522618764333E-3</v>
      </c>
      <c r="N109" s="182">
        <f>N39*Inputs!$C$55</f>
        <v>3.6919599852319102E-3</v>
      </c>
      <c r="O109" s="14">
        <f>O39*Inputs!$C$55</f>
        <v>3.8587873177496285E-3</v>
      </c>
      <c r="P109" s="14">
        <f>P39*Inputs!$C$55</f>
        <v>4.0405765209611923E-3</v>
      </c>
      <c r="Q109" s="14">
        <f>Q39*Inputs!$C$55</f>
        <v>4.2673854269519246E-3</v>
      </c>
      <c r="R109" s="14">
        <f>R39*Inputs!$C$55</f>
        <v>4.4533560197570644E-3</v>
      </c>
      <c r="S109" s="14">
        <f>S39*Inputs!$C$55</f>
        <v>4.6612789420770661E-3</v>
      </c>
      <c r="T109" s="14">
        <f>T39*Inputs!$C$55</f>
        <v>4.8873468402762564E-3</v>
      </c>
      <c r="U109" s="14">
        <f>U39*Inputs!$C$55</f>
        <v>5.1022013406337103E-3</v>
      </c>
      <c r="V109" s="14">
        <f>V39*Inputs!$C$55</f>
        <v>5.3161812965985024E-3</v>
      </c>
      <c r="W109" s="14">
        <f>W39*Inputs!$C$55</f>
        <v>5.5482190667637482E-3</v>
      </c>
      <c r="X109" s="187">
        <f>X39*Inputs!$C$55</f>
        <v>5.7924890958342395E-3</v>
      </c>
      <c r="Y109" s="158">
        <f>Y39*Inputs!$C$55</f>
        <v>6.0481469380809063E-3</v>
      </c>
      <c r="Z109" s="158">
        <f>Z39*Inputs!$C$55</f>
        <v>6.3005011478076915E-3</v>
      </c>
      <c r="AA109" s="158">
        <f>AA39*Inputs!$C$55</f>
        <v>6.5587334788404159E-3</v>
      </c>
      <c r="AB109" s="158">
        <f>AB39*Inputs!$C$55</f>
        <v>6.8260065311978391E-3</v>
      </c>
      <c r="AC109" s="158">
        <f>AC39*Inputs!$C$55</f>
        <v>7.0913224639285403E-3</v>
      </c>
      <c r="AD109" s="158">
        <f>AD39*Inputs!$C$55</f>
        <v>7.3658430929054658E-3</v>
      </c>
      <c r="AE109" s="158">
        <f>AE39*Inputs!$C$55</f>
        <v>7.6425781867251559E-3</v>
      </c>
      <c r="AF109" s="158">
        <f>AF39*Inputs!$C$55</f>
        <v>7.9216237203298401E-3</v>
      </c>
      <c r="AG109" s="158">
        <f>AG39*Inputs!$C$55</f>
        <v>8.1917328940337795E-3</v>
      </c>
      <c r="AH109" s="187">
        <f>AH39*Inputs!$C$55</f>
        <v>8.4813956326402554E-3</v>
      </c>
    </row>
    <row r="110" spans="1:36">
      <c r="A110" s="9" t="s">
        <v>344</v>
      </c>
      <c r="B110" s="35">
        <v>1</v>
      </c>
      <c r="C110" s="331">
        <f>C40*Inputs!$C$51</f>
        <v>2.7000000000000001E-3</v>
      </c>
      <c r="D110" s="331">
        <f>D40*Inputs!$C$51</f>
        <v>2.8886859146139473E-3</v>
      </c>
      <c r="E110" s="331">
        <f>E40*Inputs!$C$51</f>
        <v>3.4933610855665104E-3</v>
      </c>
      <c r="F110" s="331">
        <f>F40*Inputs!$C$51</f>
        <v>3.5292701201849411E-3</v>
      </c>
      <c r="G110" s="331">
        <f>G40*Inputs!$C$51</f>
        <v>3.9823442459983307E-3</v>
      </c>
      <c r="H110" s="402">
        <f>H40*Inputs!$C$51</f>
        <v>2.7000000000000001E-3</v>
      </c>
      <c r="I110" s="14">
        <f>I40*Inputs!$C$51</f>
        <v>2.9276122739902897E-3</v>
      </c>
      <c r="J110" s="14">
        <f>J40*Inputs!$C$51</f>
        <v>3.1906714522993858E-3</v>
      </c>
      <c r="K110" s="14">
        <f>K40*Inputs!$C$51</f>
        <v>3.4914814276492514E-3</v>
      </c>
      <c r="L110" s="14">
        <f>L40*Inputs!$C$51</f>
        <v>3.7800316928638523E-3</v>
      </c>
      <c r="M110" s="14">
        <f>M40*Inputs!$C$51</f>
        <v>4.0417265682897259E-3</v>
      </c>
      <c r="N110" s="182">
        <f>N40*Inputs!$C$51</f>
        <v>4.3340399826635474E-3</v>
      </c>
      <c r="O110" s="14">
        <f>O40*Inputs!$C$51</f>
        <v>4.5298807643147816E-3</v>
      </c>
      <c r="P110" s="14">
        <f>P40*Inputs!$C$51</f>
        <v>4.7432854811283566E-3</v>
      </c>
      <c r="Q110" s="14">
        <f>Q40*Inputs!$C$51</f>
        <v>5.0095394142479115E-3</v>
      </c>
      <c r="R110" s="14">
        <f>R40*Inputs!$C$51</f>
        <v>5.2278527188452497E-3</v>
      </c>
      <c r="S110" s="14">
        <f>S40*Inputs!$C$51</f>
        <v>5.471936149394817E-3</v>
      </c>
      <c r="T110" s="14">
        <f>T40*Inputs!$C$51</f>
        <v>5.7373202038025622E-3</v>
      </c>
      <c r="U110" s="14">
        <f>U40*Inputs!$C$51</f>
        <v>5.9895407042221821E-3</v>
      </c>
      <c r="V110" s="14">
        <f>V40*Inputs!$C$51</f>
        <v>6.2407345655721555E-3</v>
      </c>
      <c r="W110" s="14">
        <f>W40*Inputs!$C$51</f>
        <v>6.5131267305487475E-3</v>
      </c>
      <c r="X110" s="187">
        <f>X40*Inputs!$C$51</f>
        <v>6.799878503805412E-3</v>
      </c>
      <c r="Y110" s="158">
        <f>Y40*Inputs!$C$51</f>
        <v>7.0999985794862816E-3</v>
      </c>
      <c r="Z110" s="158">
        <f>Z40*Inputs!$C$51</f>
        <v>7.396240477861203E-3</v>
      </c>
      <c r="AA110" s="158">
        <f>AA40*Inputs!$C$51</f>
        <v>7.6993827795083141E-3</v>
      </c>
      <c r="AB110" s="158">
        <f>AB40*Inputs!$C$51</f>
        <v>8.0131381018409414E-3</v>
      </c>
      <c r="AC110" s="158">
        <f>AC40*Inputs!$C$51</f>
        <v>8.3245959359161126E-3</v>
      </c>
      <c r="AD110" s="158">
        <f>AD40*Inputs!$C$51</f>
        <v>8.6468592829759827E-3</v>
      </c>
      <c r="AE110" s="158">
        <f>AE40*Inputs!$C$51</f>
        <v>8.9717222191990961E-3</v>
      </c>
      <c r="AF110" s="158">
        <f>AF40*Inputs!$C$51</f>
        <v>9.2992974108219873E-3</v>
      </c>
      <c r="AG110" s="158">
        <f>AG40*Inputs!$C$51</f>
        <v>9.6163820929961764E-3</v>
      </c>
      <c r="AH110" s="187">
        <f>AH40*Inputs!$C$51</f>
        <v>9.956420960055952E-3</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0</v>
      </c>
      <c r="D112" s="331">
        <f>D42*Inputs!$C$57</f>
        <v>0.17</v>
      </c>
      <c r="E112" s="331">
        <f>E42*Inputs!$C$57</f>
        <v>7.4054368247351052E-2</v>
      </c>
      <c r="F112" s="331">
        <f>F42*Inputs!$C$57</f>
        <v>8.7388492617682834E-2</v>
      </c>
      <c r="G112" s="331">
        <f>G42*Inputs!$C$57</f>
        <v>0.10044350043425396</v>
      </c>
      <c r="H112" s="402">
        <f>H42*Inputs!$C$57</f>
        <v>0.10068363244745526</v>
      </c>
      <c r="I112" s="14">
        <f>I42*Inputs!$C$57</f>
        <v>0.1094117066724688</v>
      </c>
      <c r="J112" s="14">
        <f>J42*Inputs!$C$57</f>
        <v>0.11950537572477998</v>
      </c>
      <c r="K112" s="14">
        <f>K42*Inputs!$C$57</f>
        <v>0.13106001492339461</v>
      </c>
      <c r="L112" s="14">
        <f>L42*Inputs!$C$57</f>
        <v>0.14220374692344662</v>
      </c>
      <c r="M112" s="14">
        <f>M42*Inputs!$C$57</f>
        <v>0.15238339659014466</v>
      </c>
      <c r="N112" s="182">
        <f>N42*Inputs!$C$57</f>
        <v>0.16376411997678933</v>
      </c>
      <c r="O112" s="14">
        <f>O42*Inputs!$C$57</f>
        <v>0.17116407322848284</v>
      </c>
      <c r="P112" s="14">
        <f>P42*Inputs!$C$57</f>
        <v>0.17922768957435545</v>
      </c>
      <c r="Q112" s="14">
        <f>Q42*Inputs!$C$57</f>
        <v>0.18928824305842507</v>
      </c>
      <c r="R112" s="14">
        <f>R42*Inputs!$C$57</f>
        <v>0.19753733313364766</v>
      </c>
      <c r="S112" s="14">
        <f>S42*Inputs!$C$57</f>
        <v>0.2067601618026855</v>
      </c>
      <c r="T112" s="14">
        <f>T42*Inputs!$C$57</f>
        <v>0.21678784643406895</v>
      </c>
      <c r="U112" s="14">
        <f>U42*Inputs!$C$57</f>
        <v>0.22631813883020419</v>
      </c>
      <c r="V112" s="14">
        <f>V42*Inputs!$C$57</f>
        <v>0.23580963909602978</v>
      </c>
      <c r="W112" s="14">
        <f>W42*Inputs!$C$57</f>
        <v>0.24610212909713713</v>
      </c>
      <c r="X112" s="187">
        <f>X42*Inputs!$C$57</f>
        <v>0.25693720491254346</v>
      </c>
      <c r="Y112" s="158">
        <f>Y42*Inputs!$C$57</f>
        <v>0.2682774094971444</v>
      </c>
      <c r="Z112" s="158">
        <f>Z42*Inputs!$C$57</f>
        <v>0.2794710749874677</v>
      </c>
      <c r="AA112" s="158">
        <f>AA42*Inputs!$C$57</f>
        <v>0.29092547606718927</v>
      </c>
      <c r="AB112" s="158">
        <f>AB42*Inputs!$C$57</f>
        <v>0.30278089605762953</v>
      </c>
      <c r="AC112" s="158">
        <f>AC42*Inputs!$C$57</f>
        <v>0.31454950417181937</v>
      </c>
      <c r="AD112" s="158">
        <f>AD42*Inputs!$C$57</f>
        <v>0.32672640462570035</v>
      </c>
      <c r="AE112" s="158">
        <f>AE42*Inputs!$C$57</f>
        <v>0.33900153200718769</v>
      </c>
      <c r="AF112" s="158">
        <f>AF42*Inputs!$C$57</f>
        <v>0.35137914347291815</v>
      </c>
      <c r="AG112" s="158">
        <f>AG42*Inputs!$C$57</f>
        <v>0.36336036518339798</v>
      </c>
      <c r="AH112" s="187">
        <f>AH42*Inputs!$C$57</f>
        <v>0.37620892358265062</v>
      </c>
      <c r="AI112" s="31" t="s">
        <v>0</v>
      </c>
    </row>
    <row r="113" spans="1:35" s="20" customFormat="1">
      <c r="A113" s="10" t="s">
        <v>383</v>
      </c>
      <c r="B113" s="37"/>
      <c r="C113" s="334">
        <f>SUM(C100:C112)</f>
        <v>2416.9381740000003</v>
      </c>
      <c r="D113" s="334">
        <f t="shared" ref="D113:AH113" si="87">SUM(D100:D112)</f>
        <v>2414.77564039256</v>
      </c>
      <c r="E113" s="334">
        <f t="shared" si="87"/>
        <v>2746.5140136480968</v>
      </c>
      <c r="F113" s="334">
        <f t="shared" si="87"/>
        <v>2629.472537502329</v>
      </c>
      <c r="G113" s="334">
        <f t="shared" si="87"/>
        <v>2866.1293685913588</v>
      </c>
      <c r="H113" s="404">
        <f t="shared" si="87"/>
        <v>2790.2777011063899</v>
      </c>
      <c r="I113" s="19">
        <f t="shared" si="87"/>
        <v>2883.4235909000877</v>
      </c>
      <c r="J113" s="19">
        <f t="shared" si="87"/>
        <v>3031.7459623016193</v>
      </c>
      <c r="K113" s="19">
        <f t="shared" si="87"/>
        <v>3255.0814588057683</v>
      </c>
      <c r="L113" s="19">
        <f t="shared" si="87"/>
        <v>3564.834143477668</v>
      </c>
      <c r="M113" s="19">
        <f t="shared" si="87"/>
        <v>3874.1287419903774</v>
      </c>
      <c r="N113" s="182">
        <f t="shared" si="87"/>
        <v>4399.9395100003039</v>
      </c>
      <c r="O113" s="19">
        <f t="shared" si="87"/>
        <v>4489.5361534823878</v>
      </c>
      <c r="P113" s="19">
        <f t="shared" si="87"/>
        <v>4591.5366305903726</v>
      </c>
      <c r="Q113" s="19">
        <f t="shared" si="87"/>
        <v>4738.5414700237297</v>
      </c>
      <c r="R113" s="19">
        <f t="shared" si="87"/>
        <v>4834.4044933573596</v>
      </c>
      <c r="S113" s="19">
        <f t="shared" si="87"/>
        <v>4949.2400423920162</v>
      </c>
      <c r="T113" s="19">
        <f t="shared" si="87"/>
        <v>5077.9660934850108</v>
      </c>
      <c r="U113" s="19">
        <f t="shared" si="87"/>
        <v>5189.9461222897289</v>
      </c>
      <c r="V113" s="19">
        <f t="shared" si="87"/>
        <v>5296.6213705347782</v>
      </c>
      <c r="W113" s="19">
        <f t="shared" si="87"/>
        <v>5416.9092857892438</v>
      </c>
      <c r="X113" s="182">
        <f t="shared" si="87"/>
        <v>5544.5512001566785</v>
      </c>
      <c r="Y113" s="206">
        <f t="shared" si="87"/>
        <v>5695.5485813844189</v>
      </c>
      <c r="Z113" s="206">
        <f t="shared" si="87"/>
        <v>5839.0735318519392</v>
      </c>
      <c r="AA113" s="206">
        <f t="shared" si="87"/>
        <v>5983.9426171916093</v>
      </c>
      <c r="AB113" s="206">
        <f t="shared" si="87"/>
        <v>6133.0286376442291</v>
      </c>
      <c r="AC113" s="206">
        <f t="shared" si="87"/>
        <v>6276.5047871520082</v>
      </c>
      <c r="AD113" s="206">
        <f t="shared" si="87"/>
        <v>6424.4511865044215</v>
      </c>
      <c r="AE113" s="206">
        <f t="shared" si="87"/>
        <v>6570.7666054435767</v>
      </c>
      <c r="AF113" s="206">
        <f t="shared" si="87"/>
        <v>6715.703793127509</v>
      </c>
      <c r="AG113" s="206">
        <f t="shared" si="87"/>
        <v>6850.018442421394</v>
      </c>
      <c r="AH113" s="182">
        <f t="shared" si="87"/>
        <v>6997.7459012484205</v>
      </c>
      <c r="AI113" s="31" t="s">
        <v>0</v>
      </c>
    </row>
    <row r="114" spans="1:35" s="20" customFormat="1">
      <c r="A114" s="10" t="s">
        <v>384</v>
      </c>
      <c r="B114" s="37"/>
      <c r="C114" s="334">
        <f>SUM(C101:C103)</f>
        <v>2320.3485000000001</v>
      </c>
      <c r="D114" s="334">
        <f t="shared" ref="D114:AH114" si="88">SUM(D101:D103)</f>
        <v>2292.5112223617211</v>
      </c>
      <c r="E114" s="334">
        <f t="shared" si="88"/>
        <v>2559.9836914386733</v>
      </c>
      <c r="F114" s="334">
        <f t="shared" si="88"/>
        <v>2387.9285148516856</v>
      </c>
      <c r="G114" s="334">
        <f t="shared" si="88"/>
        <v>2487.581255954648</v>
      </c>
      <c r="H114" s="404">
        <f t="shared" si="88"/>
        <v>2491.7556837233687</v>
      </c>
      <c r="I114" s="19">
        <f t="shared" si="88"/>
        <v>2489.8966198390176</v>
      </c>
      <c r="J114" s="19">
        <f t="shared" si="88"/>
        <v>2500.4473801629747</v>
      </c>
      <c r="K114" s="19">
        <f t="shared" si="88"/>
        <v>2520.8888000309039</v>
      </c>
      <c r="L114" s="19">
        <f t="shared" si="88"/>
        <v>2514.1242451582416</v>
      </c>
      <c r="M114" s="19">
        <f t="shared" si="88"/>
        <v>2475.9571182358222</v>
      </c>
      <c r="N114" s="182">
        <f t="shared" si="88"/>
        <v>2445.0628338995548</v>
      </c>
      <c r="O114" s="19">
        <f t="shared" si="88"/>
        <v>2446.3251339490134</v>
      </c>
      <c r="P114" s="19">
        <f t="shared" si="88"/>
        <v>2452.0690224843293</v>
      </c>
      <c r="Q114" s="19">
        <f t="shared" si="88"/>
        <v>2478.9795374865516</v>
      </c>
      <c r="R114" s="19">
        <f t="shared" si="88"/>
        <v>2476.371944732894</v>
      </c>
      <c r="S114" s="19">
        <f t="shared" si="88"/>
        <v>2481.113215146991</v>
      </c>
      <c r="T114" s="19">
        <f t="shared" si="88"/>
        <v>2490.1373021958234</v>
      </c>
      <c r="U114" s="19">
        <f t="shared" si="88"/>
        <v>2488.3528121043055</v>
      </c>
      <c r="V114" s="19">
        <f t="shared" si="88"/>
        <v>2481.7266088867473</v>
      </c>
      <c r="W114" s="19">
        <f t="shared" si="88"/>
        <v>2479.1515389829465</v>
      </c>
      <c r="X114" s="182">
        <f t="shared" si="88"/>
        <v>2477.4535405640918</v>
      </c>
      <c r="Y114" s="206">
        <f t="shared" si="88"/>
        <v>2493.0812117003361</v>
      </c>
      <c r="Z114" s="206">
        <f t="shared" si="88"/>
        <v>2502.98571105678</v>
      </c>
      <c r="AA114" s="206">
        <f t="shared" si="88"/>
        <v>2511.1219057447956</v>
      </c>
      <c r="AB114" s="206">
        <f t="shared" si="88"/>
        <v>2518.6880131177054</v>
      </c>
      <c r="AC114" s="206">
        <f t="shared" si="88"/>
        <v>2521.6805358343399</v>
      </c>
      <c r="AD114" s="206">
        <f t="shared" si="88"/>
        <v>2524.2694619632744</v>
      </c>
      <c r="AE114" s="206">
        <f t="shared" si="88"/>
        <v>2524.0548582232473</v>
      </c>
      <c r="AF114" s="206">
        <f t="shared" si="88"/>
        <v>2521.238655459852</v>
      </c>
      <c r="AG114" s="206">
        <f t="shared" si="88"/>
        <v>2512.5316778165979</v>
      </c>
      <c r="AH114" s="182">
        <f t="shared" si="88"/>
        <v>2506.883982551401</v>
      </c>
      <c r="AI114" s="31"/>
    </row>
    <row r="115" spans="1:35" s="20" customFormat="1">
      <c r="A115" s="10" t="s">
        <v>385</v>
      </c>
      <c r="B115" s="37"/>
      <c r="C115" s="334">
        <f>SUMPRODUCT($B104:$B112,C104:C112)</f>
        <v>96.589674000000016</v>
      </c>
      <c r="D115" s="334">
        <f t="shared" ref="D115:AH115" si="89">SUMPRODUCT($B104:$B112,D104:D112)</f>
        <v>122.26441803083868</v>
      </c>
      <c r="E115" s="334">
        <f t="shared" si="89"/>
        <v>186.53032220942282</v>
      </c>
      <c r="F115" s="334">
        <f t="shared" si="89"/>
        <v>241.54402265064331</v>
      </c>
      <c r="G115" s="334">
        <f t="shared" si="89"/>
        <v>378.54811263671019</v>
      </c>
      <c r="H115" s="404">
        <f t="shared" si="89"/>
        <v>298.52201738302125</v>
      </c>
      <c r="I115" s="19">
        <f t="shared" si="89"/>
        <v>393.52697106106979</v>
      </c>
      <c r="J115" s="19">
        <f t="shared" si="89"/>
        <v>531.29858213864452</v>
      </c>
      <c r="K115" s="19">
        <f t="shared" si="89"/>
        <v>734.19265877486453</v>
      </c>
      <c r="L115" s="19">
        <f t="shared" si="89"/>
        <v>1050.7098983194269</v>
      </c>
      <c r="M115" s="19">
        <f t="shared" si="89"/>
        <v>1398.171623754555</v>
      </c>
      <c r="N115" s="182">
        <f t="shared" si="89"/>
        <v>1954.8766761007494</v>
      </c>
      <c r="O115" s="19">
        <f t="shared" si="89"/>
        <v>2043.2110195333746</v>
      </c>
      <c r="P115" s="19">
        <f t="shared" si="89"/>
        <v>2139.4676081060438</v>
      </c>
      <c r="Q115" s="19">
        <f t="shared" si="89"/>
        <v>2259.5619325371786</v>
      </c>
      <c r="R115" s="19">
        <f t="shared" si="89"/>
        <v>2358.032548624466</v>
      </c>
      <c r="S115" s="19">
        <f t="shared" si="89"/>
        <v>2468.1268272450252</v>
      </c>
      <c r="T115" s="19">
        <f t="shared" si="89"/>
        <v>2587.8287912891878</v>
      </c>
      <c r="U115" s="19">
        <f t="shared" si="89"/>
        <v>2701.5933101854248</v>
      </c>
      <c r="V115" s="19">
        <f t="shared" si="89"/>
        <v>2814.89476164803</v>
      </c>
      <c r="W115" s="19">
        <f t="shared" si="89"/>
        <v>2937.7577468062973</v>
      </c>
      <c r="X115" s="182">
        <f t="shared" si="89"/>
        <v>3067.0976595925863</v>
      </c>
      <c r="Y115" s="206">
        <f t="shared" si="89"/>
        <v>3202.4673696840832</v>
      </c>
      <c r="Z115" s="206">
        <f t="shared" si="89"/>
        <v>3336.0878207951591</v>
      </c>
      <c r="AA115" s="206">
        <f t="shared" si="89"/>
        <v>3472.8207114468146</v>
      </c>
      <c r="AB115" s="206">
        <f t="shared" si="89"/>
        <v>3614.3406245265237</v>
      </c>
      <c r="AC115" s="206">
        <f t="shared" si="89"/>
        <v>3754.8242513176688</v>
      </c>
      <c r="AD115" s="206">
        <f t="shared" si="89"/>
        <v>3900.1817245411476</v>
      </c>
      <c r="AE115" s="206">
        <f t="shared" si="89"/>
        <v>4046.7117472203295</v>
      </c>
      <c r="AF115" s="206">
        <f t="shared" si="89"/>
        <v>4194.4651376676575</v>
      </c>
      <c r="AG115" s="206">
        <f t="shared" si="89"/>
        <v>4337.4867646047951</v>
      </c>
      <c r="AH115" s="182">
        <f t="shared" si="89"/>
        <v>4490.8619186970182</v>
      </c>
    </row>
    <row r="116" spans="1:35" s="20" customFormat="1">
      <c r="A116" s="10" t="s">
        <v>142</v>
      </c>
      <c r="B116" s="37"/>
      <c r="C116" s="334">
        <f>C47*Inputs!$C$60</f>
        <v>1996.2750037999997</v>
      </c>
      <c r="D116" s="334">
        <f>D47*Inputs!$C$60</f>
        <v>2538.0716694765047</v>
      </c>
      <c r="E116" s="334">
        <f>E47*Inputs!$C$60</f>
        <v>2793.8080782547372</v>
      </c>
      <c r="F116" s="334">
        <f>F47*Inputs!$C$60</f>
        <v>2416.9046627164707</v>
      </c>
      <c r="G116" s="334">
        <f>G47*Inputs!$C$60</f>
        <v>2691.2826925329041</v>
      </c>
      <c r="H116" s="404">
        <f>H47*Inputs!$C$60</f>
        <v>2760.9832452008591</v>
      </c>
      <c r="I116" s="19">
        <f>I47*Inputs!$C$60</f>
        <v>2736.9144851273732</v>
      </c>
      <c r="J116" s="19">
        <f>J47*Inputs!$C$60</f>
        <v>2702.4744809161243</v>
      </c>
      <c r="K116" s="19">
        <f>K47*Inputs!$C$60</f>
        <v>2728.5651344531643</v>
      </c>
      <c r="L116" s="19">
        <f>L47*Inputs!$C$60</f>
        <v>2693.5373579451066</v>
      </c>
      <c r="M116" s="19">
        <f>M47*Inputs!$C$60</f>
        <v>2635.7272903671078</v>
      </c>
      <c r="N116" s="182">
        <f>N47*Inputs!$C$60</f>
        <v>2537.9714636422605</v>
      </c>
      <c r="O116" s="19">
        <f>O47*Inputs!$C$60</f>
        <v>2545.2437354713593</v>
      </c>
      <c r="P116" s="19">
        <f>P47*Inputs!$C$60</f>
        <v>2539.2550792797529</v>
      </c>
      <c r="Q116" s="19">
        <f>Q47*Inputs!$C$60</f>
        <v>2540.6975300043468</v>
      </c>
      <c r="R116" s="19">
        <f>R47*Inputs!$C$60</f>
        <v>2533.5651331071458</v>
      </c>
      <c r="S116" s="19">
        <f>S47*Inputs!$C$60</f>
        <v>2529.5026921435333</v>
      </c>
      <c r="T116" s="19">
        <f>T47*Inputs!$C$60</f>
        <v>2501.9618209382179</v>
      </c>
      <c r="U116" s="19">
        <f>U47*Inputs!$C$60</f>
        <v>2480.0813426741606</v>
      </c>
      <c r="V116" s="19">
        <f>V47*Inputs!$C$60</f>
        <v>2463.5305276145418</v>
      </c>
      <c r="W116" s="19">
        <f>W47*Inputs!$C$60</f>
        <v>2440.1985621677977</v>
      </c>
      <c r="X116" s="182">
        <f>X47*Inputs!$C$60</f>
        <v>2425.191290965166</v>
      </c>
      <c r="Y116" s="206">
        <f>Y47*Inputs!$C$60</f>
        <v>2400.5795043539288</v>
      </c>
      <c r="Z116" s="206">
        <f>Z47*Inputs!$C$60</f>
        <v>2373.0530649163711</v>
      </c>
      <c r="AA116" s="206">
        <f>AA47*Inputs!$C$60</f>
        <v>2341.2169669171153</v>
      </c>
      <c r="AB116" s="206">
        <f>AB47*Inputs!$C$60</f>
        <v>2314.6504159687443</v>
      </c>
      <c r="AC116" s="206">
        <f>AC47*Inputs!$C$60</f>
        <v>2287.6566384421017</v>
      </c>
      <c r="AD116" s="206">
        <f>AD47*Inputs!$C$60</f>
        <v>2257.5209371967749</v>
      </c>
      <c r="AE116" s="206">
        <f>AE47*Inputs!$C$60</f>
        <v>2227.7003229974102</v>
      </c>
      <c r="AF116" s="206">
        <f>AF47*Inputs!$C$60</f>
        <v>2198.5748608097174</v>
      </c>
      <c r="AG116" s="206">
        <f>AG47*Inputs!$C$60</f>
        <v>2171.1639448748647</v>
      </c>
      <c r="AH116" s="182">
        <f>AH47*Inputs!$C$60</f>
        <v>2141.5509378669517</v>
      </c>
      <c r="AI116" s="31"/>
    </row>
    <row r="117" spans="1:35" s="20" customFormat="1">
      <c r="A117" s="10" t="s">
        <v>222</v>
      </c>
      <c r="B117" s="37"/>
      <c r="C117" s="334">
        <f>C48*Inputs!$C$61</f>
        <v>855.54643019999992</v>
      </c>
      <c r="D117" s="334">
        <f>D48*Inputs!$C$61</f>
        <v>310.66391864430608</v>
      </c>
      <c r="E117" s="334">
        <f>E48*Inputs!$C$61</f>
        <v>412.51642790284842</v>
      </c>
      <c r="F117" s="334">
        <f>F48*Inputs!$C$61</f>
        <v>600.71705089241095</v>
      </c>
      <c r="G117" s="334">
        <f>G48*Inputs!$C$61</f>
        <v>471.77349885967595</v>
      </c>
      <c r="H117" s="404">
        <f>H48*Inputs!$C$61</f>
        <v>465.62360518225597</v>
      </c>
      <c r="I117" s="19">
        <f>I48*Inputs!$C$61</f>
        <v>522.06953316030001</v>
      </c>
      <c r="J117" s="19">
        <f>J48*Inputs!$C$61</f>
        <v>597.30680289630459</v>
      </c>
      <c r="K117" s="19">
        <f>K48*Inputs!$C$61</f>
        <v>609.70064393653627</v>
      </c>
      <c r="L117" s="19">
        <f>L48*Inputs!$C$61</f>
        <v>609.07608499861851</v>
      </c>
      <c r="M117" s="19">
        <f>M48*Inputs!$C$61</f>
        <v>600.11043335242243</v>
      </c>
      <c r="N117" s="182">
        <f>N48*Inputs!$C$61</f>
        <v>580.25332461671553</v>
      </c>
      <c r="O117" s="19">
        <f>O48*Inputs!$C$61</f>
        <v>566.76480558426726</v>
      </c>
      <c r="P117" s="19">
        <f>P48*Inputs!$C$61</f>
        <v>571.37775202759019</v>
      </c>
      <c r="Q117" s="19">
        <f>Q48*Inputs!$C$61</f>
        <v>594.78635107397997</v>
      </c>
      <c r="R117" s="19">
        <f>R48*Inputs!$C$61</f>
        <v>587.82232827870519</v>
      </c>
      <c r="S117" s="19">
        <f>S48*Inputs!$C$61</f>
        <v>585.93047461785955</v>
      </c>
      <c r="T117" s="19">
        <f>T48*Inputs!$C$61</f>
        <v>611.70412764591265</v>
      </c>
      <c r="U117" s="19">
        <f>U48*Inputs!$C$61</f>
        <v>616.68280581746069</v>
      </c>
      <c r="V117" s="19">
        <f>V48*Inputs!$C$61</f>
        <v>608.87518781517156</v>
      </c>
      <c r="W117" s="19">
        <f>W48*Inputs!$C$61</f>
        <v>611.48012141361392</v>
      </c>
      <c r="X117" s="182">
        <f>X48*Inputs!$C$61</f>
        <v>605.24561441209062</v>
      </c>
      <c r="Y117" s="206">
        <f>Y48*Inputs!$C$61</f>
        <v>635.28269458519583</v>
      </c>
      <c r="Z117" s="206">
        <f>Z48*Inputs!$C$61</f>
        <v>659.75887372715715</v>
      </c>
      <c r="AA117" s="206">
        <f>AA48*Inputs!$C$61</f>
        <v>684.97704346189118</v>
      </c>
      <c r="AB117" s="206">
        <f>AB48*Inputs!$C$61</f>
        <v>702.82978199128195</v>
      </c>
      <c r="AC117" s="206">
        <f>AC48*Inputs!$C$61</f>
        <v>714.23314164847102</v>
      </c>
      <c r="AD117" s="206">
        <f>AD48*Inputs!$C$61</f>
        <v>726.88982860324052</v>
      </c>
      <c r="AE117" s="206">
        <f>AE48*Inputs!$C$61</f>
        <v>734.41105781642204</v>
      </c>
      <c r="AF117" s="206">
        <f>AF48*Inputs!$C$61</f>
        <v>736.70664222691551</v>
      </c>
      <c r="AG117" s="206">
        <f>AG48*Inputs!$C$61</f>
        <v>728.8514123660234</v>
      </c>
      <c r="AH117" s="182">
        <f>AH48*Inputs!$C$61</f>
        <v>725.39454024760471</v>
      </c>
      <c r="AI117" s="31"/>
    </row>
    <row r="118" spans="1:35" s="20" customFormat="1">
      <c r="A118" s="10" t="s">
        <v>58</v>
      </c>
      <c r="B118" s="37"/>
      <c r="C118" s="334">
        <f>SUM(C113,C116,C117)</f>
        <v>5268.7596080000003</v>
      </c>
      <c r="D118" s="334">
        <f>SUM(D113,D116,D117)</f>
        <v>5263.511228513371</v>
      </c>
      <c r="E118" s="334">
        <f t="shared" ref="E118:AH118" si="90">SUM(E113,E116,E117)</f>
        <v>5952.8385198056822</v>
      </c>
      <c r="F118" s="334">
        <f t="shared" si="90"/>
        <v>5647.0942511112107</v>
      </c>
      <c r="G118" s="334">
        <f t="shared" si="90"/>
        <v>6029.1855599839391</v>
      </c>
      <c r="H118" s="404">
        <f t="shared" si="90"/>
        <v>6016.8845514895056</v>
      </c>
      <c r="I118" s="19">
        <f t="shared" si="90"/>
        <v>6142.4076091877614</v>
      </c>
      <c r="J118" s="19">
        <f t="shared" si="90"/>
        <v>6331.5272461140485</v>
      </c>
      <c r="K118" s="19">
        <f t="shared" si="90"/>
        <v>6593.3472371954686</v>
      </c>
      <c r="L118" s="19">
        <f t="shared" si="90"/>
        <v>6867.4475864213928</v>
      </c>
      <c r="M118" s="19">
        <f t="shared" si="90"/>
        <v>7109.9664657099083</v>
      </c>
      <c r="N118" s="182">
        <f t="shared" si="90"/>
        <v>7518.1642982592803</v>
      </c>
      <c r="O118" s="19">
        <f t="shared" si="90"/>
        <v>7601.5446945380145</v>
      </c>
      <c r="P118" s="19">
        <f t="shared" si="90"/>
        <v>7702.1694618977153</v>
      </c>
      <c r="Q118" s="19">
        <f t="shared" si="90"/>
        <v>7874.0253511020564</v>
      </c>
      <c r="R118" s="19">
        <f t="shared" si="90"/>
        <v>7955.7919547432102</v>
      </c>
      <c r="S118" s="19">
        <f t="shared" si="90"/>
        <v>8064.6732091534095</v>
      </c>
      <c r="T118" s="19">
        <f t="shared" si="90"/>
        <v>8191.6320420691409</v>
      </c>
      <c r="U118" s="19">
        <f t="shared" si="90"/>
        <v>8286.7102707813501</v>
      </c>
      <c r="V118" s="19">
        <f t="shared" si="90"/>
        <v>8369.0270859644916</v>
      </c>
      <c r="W118" s="19">
        <f t="shared" si="90"/>
        <v>8468.5879693706556</v>
      </c>
      <c r="X118" s="182">
        <f t="shared" si="90"/>
        <v>8574.9881055339356</v>
      </c>
      <c r="Y118" s="206">
        <f t="shared" si="90"/>
        <v>8731.4107803235438</v>
      </c>
      <c r="Z118" s="206">
        <f t="shared" si="90"/>
        <v>8871.8854704954683</v>
      </c>
      <c r="AA118" s="206">
        <f t="shared" si="90"/>
        <v>9010.1366275706168</v>
      </c>
      <c r="AB118" s="206">
        <f t="shared" si="90"/>
        <v>9150.5088356042561</v>
      </c>
      <c r="AC118" s="206">
        <f t="shared" si="90"/>
        <v>9278.3945672425798</v>
      </c>
      <c r="AD118" s="206">
        <f t="shared" si="90"/>
        <v>9408.8619523044363</v>
      </c>
      <c r="AE118" s="206">
        <f t="shared" si="90"/>
        <v>9532.8779862574083</v>
      </c>
      <c r="AF118" s="206">
        <f t="shared" si="90"/>
        <v>9650.9852961641427</v>
      </c>
      <c r="AG118" s="206">
        <f t="shared" si="90"/>
        <v>9750.0337996622839</v>
      </c>
      <c r="AH118" s="182">
        <f t="shared" si="90"/>
        <v>9864.6913793629756</v>
      </c>
      <c r="AI118" s="31"/>
    </row>
    <row r="119" spans="1:35" s="1" customFormat="1">
      <c r="A119" s="1" t="s">
        <v>335</v>
      </c>
      <c r="B119" s="13"/>
      <c r="C119" s="341">
        <f>C118-'Output - Jobs vs Yr (BAU)'!C55</f>
        <v>-0.47856599999977334</v>
      </c>
      <c r="D119" s="341">
        <f>D118-'Output - Jobs vs Yr (BAU)'!D55</f>
        <v>27.710108513370869</v>
      </c>
      <c r="E119" s="341">
        <f>E118-'Output - Jobs vs Yr (BAU)'!E55</f>
        <v>24.654756088463728</v>
      </c>
      <c r="F119" s="341">
        <f>F118-'Output - Jobs vs Yr (BAU)'!F55</f>
        <v>17.849407901037921</v>
      </c>
      <c r="G119" s="341">
        <f>G118-'Output - Jobs vs Yr (BAU)'!G55</f>
        <v>50.974050366321535</v>
      </c>
      <c r="H119" s="405">
        <f>H118-'Output - Jobs vs Yr (BAU)'!H55</f>
        <v>-18.796730177648897</v>
      </c>
      <c r="I119" s="15">
        <f>I118-'Output - Jobs vs Yr (BAU)'!I55</f>
        <v>-35.231600154976149</v>
      </c>
      <c r="J119" s="15">
        <f>J118-'Output - Jobs vs Yr (BAU)'!J55</f>
        <v>-34.119772794944765</v>
      </c>
      <c r="K119" s="15">
        <f>K118-'Output - Jobs vs Yr (BAU)'!K55</f>
        <v>-30.031843737592681</v>
      </c>
      <c r="L119" s="15">
        <f>L118-'Output - Jobs vs Yr (BAU)'!L55</f>
        <v>-30.506752130224413</v>
      </c>
      <c r="M119" s="15">
        <f>M118-'Output - Jobs vs Yr (BAU)'!M55</f>
        <v>104.83568321225448</v>
      </c>
      <c r="N119" s="182">
        <f>N118-'Output - Jobs vs Yr (BAU)'!N55</f>
        <v>411.71470106816378</v>
      </c>
      <c r="O119" s="15">
        <f>O118-'Output - Jobs vs Yr (BAU)'!O55</f>
        <v>463.42691862677111</v>
      </c>
      <c r="P119" s="15">
        <f>P118-'Output - Jobs vs Yr (BAU)'!P55</f>
        <v>517.3412793540956</v>
      </c>
      <c r="Q119" s="15">
        <f>Q118-'Output - Jobs vs Yr (BAU)'!Q55</f>
        <v>478.43517495242668</v>
      </c>
      <c r="R119" s="15">
        <f>R118-'Output - Jobs vs Yr (BAU)'!R55</f>
        <v>472.31064716031869</v>
      </c>
      <c r="S119" s="15">
        <f>S118-'Output - Jobs vs Yr (BAU)'!S55</f>
        <v>453.83723313711289</v>
      </c>
      <c r="T119" s="15">
        <f>T118-'Output - Jobs vs Yr (BAU)'!T55</f>
        <v>457.60951094453503</v>
      </c>
      <c r="U119" s="15">
        <f>U118-'Output - Jobs vs Yr (BAU)'!U55</f>
        <v>462.51775990765327</v>
      </c>
      <c r="V119" s="15">
        <f>V118-'Output - Jobs vs Yr (BAU)'!V55</f>
        <v>462.38904413601358</v>
      </c>
      <c r="W119" s="15">
        <f>W118-'Output - Jobs vs Yr (BAU)'!W55</f>
        <v>470.00872084458024</v>
      </c>
      <c r="X119" s="190">
        <f>X118-'Output - Jobs vs Yr (BAU)'!X55</f>
        <v>455.5605831640496</v>
      </c>
      <c r="Y119" s="130">
        <f>Y118-'Output - Jobs vs Yr (BAU)'!Y55</f>
        <v>447.66018751227057</v>
      </c>
      <c r="Z119" s="130">
        <f>Z118-'Output - Jobs vs Yr (BAU)'!Z55</f>
        <v>451.77610645775894</v>
      </c>
      <c r="AA119" s="130">
        <f>AA118-'Output - Jobs vs Yr (BAU)'!AA55</f>
        <v>464.69760192870308</v>
      </c>
      <c r="AB119" s="130">
        <f>AB118-'Output - Jobs vs Yr (BAU)'!AB55</f>
        <v>477.86134920769655</v>
      </c>
      <c r="AC119" s="130">
        <f>AC118-'Output - Jobs vs Yr (BAU)'!AC55</f>
        <v>493.10926217408996</v>
      </c>
      <c r="AD119" s="130">
        <f>AD118-'Output - Jobs vs Yr (BAU)'!AD55</f>
        <v>513.85695368923734</v>
      </c>
      <c r="AE119" s="130">
        <f>AE118-'Output - Jobs vs Yr (BAU)'!AE55</f>
        <v>534.20494120330477</v>
      </c>
      <c r="AF119" s="130">
        <f>AF118-'Output - Jobs vs Yr (BAU)'!AF55</f>
        <v>556.47164936905938</v>
      </c>
      <c r="AG119" s="130">
        <f>AG118-'Output - Jobs vs Yr (BAU)'!AG55</f>
        <v>580.69307105152984</v>
      </c>
      <c r="AH119" s="190">
        <f>AH118-'Output - Jobs vs Yr (BAU)'!AH55</f>
        <v>609.29464184272001</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25.517718773209936</v>
      </c>
    </row>
    <row r="123" spans="1:35" hidden="1">
      <c r="W123" s="2" t="s">
        <v>134</v>
      </c>
      <c r="X123" s="187">
        <f>X115-'Output - Jobs vs Yr (BAU)'!X51</f>
        <v>970.07268070524333</v>
      </c>
    </row>
    <row r="124" spans="1:35" hidden="1">
      <c r="W124" s="2" t="s">
        <v>137</v>
      </c>
      <c r="X124" s="187">
        <f>SUM(X101,X106,X111)</f>
        <v>0</v>
      </c>
    </row>
    <row r="125" spans="1:35" hidden="1">
      <c r="W125" s="2" t="s">
        <v>132</v>
      </c>
      <c r="X125" s="187">
        <f>SUM(X121:X124)</f>
        <v>995.59039947845326</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255.01365000000001</v>
      </c>
      <c r="D129" s="331">
        <f>D102*Inputs!$H48</f>
        <v>267.24584995560809</v>
      </c>
      <c r="E129" s="331">
        <f>E102*Inputs!$H48</f>
        <v>315.82896020256356</v>
      </c>
      <c r="F129" s="331">
        <f>F102*Inputs!$H48</f>
        <v>311.14963758526272</v>
      </c>
      <c r="G129" s="331">
        <f>G102*Inputs!$H48</f>
        <v>341.70921131109492</v>
      </c>
      <c r="H129" s="402">
        <f>H102*Inputs!$H48</f>
        <v>392.42601767103156</v>
      </c>
      <c r="I129" s="14">
        <f>I102*Inputs!$H48</f>
        <v>405.22268160818447</v>
      </c>
      <c r="J129" s="14">
        <f>J102*Inputs!$H48</f>
        <v>420.39255296543257</v>
      </c>
      <c r="K129" s="14">
        <f>K102*Inputs!$H48</f>
        <v>437.71345832951749</v>
      </c>
      <c r="L129" s="14">
        <f>L102*Inputs!$H48</f>
        <v>450.71786673093675</v>
      </c>
      <c r="M129" s="14">
        <f>M102*Inputs!$H48</f>
        <v>458.17813809827578</v>
      </c>
      <c r="N129" s="182">
        <f>N102*Inputs!$H48</f>
        <v>466.93236086959922</v>
      </c>
      <c r="O129" s="14">
        <f>O102*Inputs!$H48</f>
        <v>467.17342164482659</v>
      </c>
      <c r="P129" s="14">
        <f>P102*Inputs!$H48</f>
        <v>468.2703290114523</v>
      </c>
      <c r="Q129" s="14">
        <f>Q102*Inputs!$H48</f>
        <v>473.40941587989244</v>
      </c>
      <c r="R129" s="14">
        <f>R102*Inputs!$H48</f>
        <v>472.91144526589807</v>
      </c>
      <c r="S129" s="14">
        <f>S102*Inputs!$H48</f>
        <v>473.81688317828298</v>
      </c>
      <c r="T129" s="14">
        <f>T102*Inputs!$H48</f>
        <v>475.54020832640759</v>
      </c>
      <c r="U129" s="14">
        <f>U102*Inputs!$H48</f>
        <v>475.19942519403634</v>
      </c>
      <c r="V129" s="14">
        <f>V102*Inputs!$H48</f>
        <v>473.93402265751274</v>
      </c>
      <c r="W129" s="14">
        <f>W102*Inputs!$H48</f>
        <v>473.44226291501627</v>
      </c>
      <c r="X129" s="187">
        <f>X102*Inputs!$H48</f>
        <v>473.11799705179311</v>
      </c>
      <c r="Y129" s="158">
        <f>Y102*Inputs!$H48</f>
        <v>476.10240517307744</v>
      </c>
      <c r="Z129" s="158">
        <f>Z102*Inputs!$H48</f>
        <v>477.99386219561956</v>
      </c>
      <c r="AA129" s="158">
        <f>AA102*Inputs!$H48</f>
        <v>479.5476270075082</v>
      </c>
      <c r="AB129" s="158">
        <f>AB102*Inputs!$H48</f>
        <v>480.99252254526061</v>
      </c>
      <c r="AC129" s="158">
        <f>AC102*Inputs!$H48</f>
        <v>481.56400303143113</v>
      </c>
      <c r="AD129" s="158">
        <f>AD102*Inputs!$H48</f>
        <v>482.05840888993919</v>
      </c>
      <c r="AE129" s="158">
        <f>AE102*Inputs!$H48</f>
        <v>482.01742612679999</v>
      </c>
      <c r="AF129" s="158">
        <f>AF102*Inputs!$H48</f>
        <v>481.47961736918108</v>
      </c>
      <c r="AG129" s="158">
        <f>AG102*Inputs!$H48</f>
        <v>479.81685043712679</v>
      </c>
      <c r="AH129" s="187">
        <f>AH102*Inputs!$H48</f>
        <v>478.73831304860278</v>
      </c>
    </row>
    <row r="130" spans="1:35">
      <c r="A130" s="10" t="s">
        <v>59</v>
      </c>
      <c r="B130" s="35">
        <v>0</v>
      </c>
      <c r="C130" s="331">
        <f>C103*Inputs!$H53</f>
        <v>1833.3000000000002</v>
      </c>
      <c r="D130" s="331">
        <f>D103*Inputs!$H53</f>
        <v>1796.0142501699411</v>
      </c>
      <c r="E130" s="331">
        <f>E103*Inputs!$H53</f>
        <v>1988.1563620922425</v>
      </c>
      <c r="F130" s="331">
        <f>F103*Inputs!$H53</f>
        <v>1837.9860257812545</v>
      </c>
      <c r="G130" s="331">
        <f>G103*Inputs!$H53</f>
        <v>1897.1139190480883</v>
      </c>
      <c r="H130" s="402">
        <f>H103*Inputs!$H53</f>
        <v>1850.1540976800002</v>
      </c>
      <c r="I130" s="14">
        <f>I103*Inputs!$H53</f>
        <v>1835.6842762469314</v>
      </c>
      <c r="J130" s="14">
        <f>J103*Inputs!$H53</f>
        <v>1830.0100891812449</v>
      </c>
      <c r="K130" s="14">
        <f>K103*Inputs!$H53</f>
        <v>1831.086461698296</v>
      </c>
      <c r="L130" s="14">
        <f>L103*Inputs!$H53</f>
        <v>1811.9939539114807</v>
      </c>
      <c r="M130" s="14">
        <f>M103*Inputs!$H53</f>
        <v>1770.1832683139642</v>
      </c>
      <c r="N130" s="182">
        <f>N103*Inputs!$H53</f>
        <v>1733.6241896399999</v>
      </c>
      <c r="O130" s="14">
        <f>O103*Inputs!$H53</f>
        <v>1734.5191989092857</v>
      </c>
      <c r="P130" s="14">
        <f>P103*Inputs!$H53</f>
        <v>1738.5917912244443</v>
      </c>
      <c r="Q130" s="14">
        <f>Q103*Inputs!$H53</f>
        <v>1757.6721678580041</v>
      </c>
      <c r="R130" s="14">
        <f>R103*Inputs!$H53</f>
        <v>1755.8233049937064</v>
      </c>
      <c r="S130" s="14">
        <f>S103*Inputs!$H53</f>
        <v>1759.1850104540092</v>
      </c>
      <c r="T130" s="14">
        <f>T103*Inputs!$H53</f>
        <v>1765.5833636498335</v>
      </c>
      <c r="U130" s="14">
        <f>U103*Inputs!$H53</f>
        <v>1764.3181056998387</v>
      </c>
      <c r="V130" s="14">
        <f>V103*Inputs!$H53</f>
        <v>1759.61992534056</v>
      </c>
      <c r="W130" s="14">
        <f>W103*Inputs!$H53</f>
        <v>1757.7941221696356</v>
      </c>
      <c r="X130" s="187">
        <f>X103*Inputs!$H53</f>
        <v>1756.5901894558892</v>
      </c>
      <c r="Y130" s="158">
        <f>Y103*Inputs!$H53</f>
        <v>1767.6706853572248</v>
      </c>
      <c r="Z130" s="158">
        <f>Z103*Inputs!$H53</f>
        <v>1774.6932777554823</v>
      </c>
      <c r="AA130" s="158">
        <f>AA103*Inputs!$H53</f>
        <v>1780.462088162808</v>
      </c>
      <c r="AB130" s="158">
        <f>AB103*Inputs!$H53</f>
        <v>1785.8266892606741</v>
      </c>
      <c r="AC130" s="158">
        <f>AC103*Inputs!$H53</f>
        <v>1787.9484792194751</v>
      </c>
      <c r="AD130" s="158">
        <f>AD103*Inputs!$H53</f>
        <v>1789.7841068770076</v>
      </c>
      <c r="AE130" s="158">
        <f>AE103*Inputs!$H53</f>
        <v>1789.6319462741226</v>
      </c>
      <c r="AF130" s="158">
        <f>AF103*Inputs!$H53</f>
        <v>1787.6351725446857</v>
      </c>
      <c r="AG130" s="158">
        <f>AG103*Inputs!$H53</f>
        <v>1781.4616595978116</v>
      </c>
      <c r="AH130" s="187">
        <f>AH103*Inputs!$H53</f>
        <v>1777.4572712476584</v>
      </c>
    </row>
    <row r="131" spans="1:35">
      <c r="A131" s="10" t="s">
        <v>121</v>
      </c>
      <c r="B131" s="35">
        <v>1</v>
      </c>
      <c r="C131" s="330">
        <f>Inputs!$H46*'Output -Jobs vs Yr'!C104</f>
        <v>33.075000000000003</v>
      </c>
      <c r="D131" s="330">
        <f>Inputs!$H46*'Output -Jobs vs Yr'!D104</f>
        <v>47.22444841043167</v>
      </c>
      <c r="E131" s="330">
        <f>Inputs!$H46*'Output -Jobs vs Yr'!E104</f>
        <v>76.215013308714205</v>
      </c>
      <c r="F131" s="330">
        <f>Inputs!$H46*'Output -Jobs vs Yr'!F104</f>
        <v>102.75724038732491</v>
      </c>
      <c r="G131" s="330">
        <f>Inputs!$H46*'Output -Jobs vs Yr'!G104</f>
        <v>154.73794103082051</v>
      </c>
      <c r="H131" s="286">
        <f>Inputs!$H46*'Output -Jobs vs Yr'!H104</f>
        <v>47.684435237527268</v>
      </c>
      <c r="I131" s="40">
        <f>Inputs!$H46*'Output -Jobs vs Yr'!I104</f>
        <v>69.001243901439636</v>
      </c>
      <c r="J131" s="40">
        <f>Inputs!$H46*'Output -Jobs vs Yr'!J104</f>
        <v>100.35890838162794</v>
      </c>
      <c r="K131" s="40">
        <f>Inputs!$H46*'Output -Jobs vs Yr'!K104</f>
        <v>148.39097434314721</v>
      </c>
      <c r="L131" s="40">
        <f>Inputs!$H46*'Output -Jobs vs Yr'!L104</f>
        <v>246.3643931657052</v>
      </c>
      <c r="M131" s="40">
        <f>Inputs!$H46*'Output -Jobs vs Yr'!M104</f>
        <v>302.15669107175455</v>
      </c>
      <c r="N131" s="177">
        <f>Inputs!$H46*'Output -Jobs vs Yr'!N104</f>
        <v>432.40298332145102</v>
      </c>
      <c r="O131" s="40">
        <f>Inputs!$H46*'Output -Jobs vs Yr'!O104</f>
        <v>451.94182896679155</v>
      </c>
      <c r="P131" s="40">
        <f>Inputs!$H46*'Output -Jobs vs Yr'!P104</f>
        <v>473.23301146030184</v>
      </c>
      <c r="Q131" s="40">
        <f>Inputs!$H46*'Output -Jobs vs Yr'!Q104</f>
        <v>499.79690922370253</v>
      </c>
      <c r="R131" s="40">
        <f>Inputs!$H46*'Output -Jobs vs Yr'!R104</f>
        <v>521.57781677976038</v>
      </c>
      <c r="S131" s="40">
        <f>Inputs!$H46*'Output -Jobs vs Yr'!S104</f>
        <v>545.92978491368251</v>
      </c>
      <c r="T131" s="40">
        <f>Inputs!$H46*'Output -Jobs vs Yr'!T104</f>
        <v>572.40689571812129</v>
      </c>
      <c r="U131" s="40">
        <f>Inputs!$H46*'Output -Jobs vs Yr'!U104</f>
        <v>597.57069145432217</v>
      </c>
      <c r="V131" s="40">
        <f>Inputs!$H46*'Output -Jobs vs Yr'!V104</f>
        <v>622.6320604020566</v>
      </c>
      <c r="W131" s="40">
        <f>Inputs!$H46*'Output -Jobs vs Yr'!W104</f>
        <v>649.8083636296243</v>
      </c>
      <c r="X131" s="184">
        <f>Inputs!$H46*'Output -Jobs vs Yr'!X104</f>
        <v>678.41731110700744</v>
      </c>
      <c r="Y131" s="271">
        <f>Inputs!$H46*'Output -Jobs vs Yr'!Y104</f>
        <v>708.36000120635276</v>
      </c>
      <c r="Z131" s="271">
        <f>Inputs!$H46*'Output -Jobs vs Yr'!Z104</f>
        <v>737.91576930136773</v>
      </c>
      <c r="AA131" s="271">
        <f>Inputs!$H46*'Output -Jobs vs Yr'!AA104</f>
        <v>768.15998396654629</v>
      </c>
      <c r="AB131" s="271">
        <f>Inputs!$H46*'Output -Jobs vs Yr'!AB104</f>
        <v>799.46304945562702</v>
      </c>
      <c r="AC131" s="271">
        <f>Inputs!$H46*'Output -Jobs vs Yr'!AC104</f>
        <v>830.53689676014005</v>
      </c>
      <c r="AD131" s="271">
        <f>Inputs!$H46*'Output -Jobs vs Yr'!AD104</f>
        <v>862.688799659339</v>
      </c>
      <c r="AE131" s="271">
        <f>Inputs!$H46*'Output -Jobs vs Yr'!AE104</f>
        <v>895.10006105871162</v>
      </c>
      <c r="AF131" s="271">
        <f>Inputs!$H46*'Output -Jobs vs Yr'!AF104</f>
        <v>927.78192155986562</v>
      </c>
      <c r="AG131" s="271">
        <f>Inputs!$H46*'Output -Jobs vs Yr'!AG104</f>
        <v>959.41715406489459</v>
      </c>
      <c r="AH131" s="184">
        <f>Inputs!$H46*'Output -Jobs vs Yr'!AH104</f>
        <v>993.34250342716143</v>
      </c>
    </row>
    <row r="132" spans="1:35">
      <c r="A132" s="10" t="s">
        <v>50</v>
      </c>
      <c r="B132" s="35">
        <v>1</v>
      </c>
      <c r="C132" s="331">
        <f>C105*Inputs!$H49</f>
        <v>0</v>
      </c>
      <c r="D132" s="331">
        <f>D105*Inputs!$H49</f>
        <v>0</v>
      </c>
      <c r="E132" s="331">
        <f>E105*Inputs!$H49</f>
        <v>2.2500000000000003E-9</v>
      </c>
      <c r="F132" s="331">
        <f>F105*Inputs!$H49</f>
        <v>2.2500000000000003E-9</v>
      </c>
      <c r="G132" s="331">
        <f>G105*Inputs!$H49</f>
        <v>2.2500000000000003E-9</v>
      </c>
      <c r="H132" s="402">
        <f>H105*Inputs!$H49</f>
        <v>2.2500000000000003E-9</v>
      </c>
      <c r="I132" s="14">
        <f>I105*Inputs!$H49</f>
        <v>2.439676894991908E-9</v>
      </c>
      <c r="J132" s="14">
        <f>J105*Inputs!$H49</f>
        <v>2.658892876916155E-9</v>
      </c>
      <c r="K132" s="14">
        <f>K105*Inputs!$H49</f>
        <v>2.9095678563743754E-9</v>
      </c>
      <c r="L132" s="14">
        <f>L105*Inputs!$H49</f>
        <v>3.1500264107198767E-9</v>
      </c>
      <c r="M132" s="14">
        <f>M105*Inputs!$H49</f>
        <v>3.3681054735747716E-9</v>
      </c>
      <c r="N132" s="182">
        <f>N105*Inputs!$H49</f>
        <v>3.6116999855529554E-9</v>
      </c>
      <c r="O132" s="14">
        <f>O105*Inputs!$H49</f>
        <v>3.7749006369289843E-9</v>
      </c>
      <c r="P132" s="14">
        <f>P105*Inputs!$H49</f>
        <v>3.9527379009402975E-9</v>
      </c>
      <c r="Q132" s="14">
        <f>Q105*Inputs!$H49</f>
        <v>4.1746161785399267E-9</v>
      </c>
      <c r="R132" s="14">
        <f>R105*Inputs!$H49</f>
        <v>4.3565439323710415E-9</v>
      </c>
      <c r="S132" s="14">
        <f>S105*Inputs!$H49</f>
        <v>4.5599467911623473E-9</v>
      </c>
      <c r="T132" s="14">
        <f>T105*Inputs!$H49</f>
        <v>4.7811001698354681E-9</v>
      </c>
      <c r="U132" s="14">
        <f>U105*Inputs!$H49</f>
        <v>4.9912839201851518E-9</v>
      </c>
      <c r="V132" s="14">
        <f>V105*Inputs!$H49</f>
        <v>5.2006121379767951E-9</v>
      </c>
      <c r="W132" s="14">
        <f>W105*Inputs!$H49</f>
        <v>5.4276056087906228E-9</v>
      </c>
      <c r="X132" s="187">
        <f>X105*Inputs!$H49</f>
        <v>5.6665654198378433E-9</v>
      </c>
      <c r="Y132" s="158">
        <f>Y105*Inputs!$H49</f>
        <v>5.9166654829052342E-9</v>
      </c>
      <c r="Z132" s="158">
        <f>Z105*Inputs!$H49</f>
        <v>6.1635337315510029E-9</v>
      </c>
      <c r="AA132" s="158">
        <f>AA105*Inputs!$H49</f>
        <v>6.4161523162569296E-9</v>
      </c>
      <c r="AB132" s="158">
        <f>AB105*Inputs!$H49</f>
        <v>6.677615084867452E-9</v>
      </c>
      <c r="AC132" s="158">
        <f>AC105*Inputs!$H49</f>
        <v>6.9371632799300956E-9</v>
      </c>
      <c r="AD132" s="158">
        <f>AD105*Inputs!$H49</f>
        <v>7.2057160691466535E-9</v>
      </c>
      <c r="AE132" s="158">
        <f>AE105*Inputs!$H49</f>
        <v>7.4764351826659158E-9</v>
      </c>
      <c r="AF132" s="158">
        <f>AF105*Inputs!$H49</f>
        <v>7.7494145090183236E-9</v>
      </c>
      <c r="AG132" s="158">
        <f>AG105*Inputs!$H49</f>
        <v>8.0136517441634819E-9</v>
      </c>
      <c r="AH132" s="187">
        <f>AH105*Inputs!$H49</f>
        <v>8.2970174667132947E-9</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50.76</v>
      </c>
      <c r="D134" s="331">
        <f>D107*Inputs!$H52</f>
        <v>54.945</v>
      </c>
      <c r="E134" s="331">
        <f>E107*Inputs!$H52</f>
        <v>74.192631085924319</v>
      </c>
      <c r="F134" s="331">
        <f>F107*Inputs!$H52</f>
        <v>81.783798597191435</v>
      </c>
      <c r="G134" s="331">
        <f>G107*Inputs!$H52</f>
        <v>99.707289252319171</v>
      </c>
      <c r="H134" s="402">
        <f>H107*Inputs!$H52</f>
        <v>100.11314644201686</v>
      </c>
      <c r="I134" s="14">
        <f>I107*Inputs!$H52</f>
        <v>108.43741332267062</v>
      </c>
      <c r="J134" s="14">
        <f>J107*Inputs!$H52</f>
        <v>118.05541709488617</v>
      </c>
      <c r="K134" s="14">
        <f>K107*Inputs!$H52</f>
        <v>129.04815885272194</v>
      </c>
      <c r="L134" s="14">
        <f>L107*Inputs!$H52</f>
        <v>139.56475608653216</v>
      </c>
      <c r="M134" s="14">
        <f>M107*Inputs!$H52</f>
        <v>149.06836642729587</v>
      </c>
      <c r="N134" s="182">
        <f>N107*Inputs!$H52</f>
        <v>159.67970433332221</v>
      </c>
      <c r="O134" s="14">
        <f>O107*Inputs!$H52</f>
        <v>166.89509649296187</v>
      </c>
      <c r="P134" s="14">
        <f>P107*Inputs!$H52</f>
        <v>174.7575994279685</v>
      </c>
      <c r="Q134" s="14">
        <f>Q107*Inputs!$H52</f>
        <v>184.56723420018537</v>
      </c>
      <c r="R134" s="14">
        <f>R107*Inputs!$H52</f>
        <v>192.61058499288146</v>
      </c>
      <c r="S134" s="14">
        <f>S107*Inputs!$H52</f>
        <v>201.60338851539652</v>
      </c>
      <c r="T134" s="14">
        <f>T107*Inputs!$H52</f>
        <v>211.38097421190963</v>
      </c>
      <c r="U134" s="14">
        <f>U107*Inputs!$H52</f>
        <v>220.6735730561538</v>
      </c>
      <c r="V134" s="14">
        <f>V107*Inputs!$H52</f>
        <v>229.92834727862387</v>
      </c>
      <c r="W134" s="14">
        <f>W107*Inputs!$H52</f>
        <v>239.96413387500061</v>
      </c>
      <c r="X134" s="187">
        <f>X107*Inputs!$H52</f>
        <v>250.52897373661645</v>
      </c>
      <c r="Y134" s="158">
        <f>Y107*Inputs!$H52</f>
        <v>261.58634402874821</v>
      </c>
      <c r="Z134" s="158">
        <f>Z107*Inputs!$H52</f>
        <v>272.50083003553817</v>
      </c>
      <c r="AA134" s="158">
        <f>AA107*Inputs!$H52</f>
        <v>283.66954866562918</v>
      </c>
      <c r="AB134" s="158">
        <f>AB107*Inputs!$H52</f>
        <v>295.22928445567391</v>
      </c>
      <c r="AC134" s="158">
        <f>AC107*Inputs!$H52</f>
        <v>306.70437353107644</v>
      </c>
      <c r="AD134" s="158">
        <f>AD107*Inputs!$H52</f>
        <v>318.57757178993552</v>
      </c>
      <c r="AE134" s="158">
        <f>AE107*Inputs!$H52</f>
        <v>330.54654711375844</v>
      </c>
      <c r="AF134" s="158">
        <f>AF107*Inputs!$H52</f>
        <v>342.61545048209518</v>
      </c>
      <c r="AG134" s="158">
        <f>AG107*Inputs!$H52</f>
        <v>354.29785039089427</v>
      </c>
      <c r="AH134" s="187">
        <f>AH107*Inputs!$H52</f>
        <v>366.82595487796306</v>
      </c>
    </row>
    <row r="135" spans="1:35">
      <c r="A135" s="9" t="s">
        <v>347</v>
      </c>
      <c r="B135" s="35">
        <v>1</v>
      </c>
      <c r="C135" s="331">
        <f>C108*Inputs!$H54</f>
        <v>3.0932766000000012</v>
      </c>
      <c r="D135" s="331">
        <f>D108*Inputs!$H54</f>
        <v>7.7129280000000016</v>
      </c>
      <c r="E135" s="331">
        <f>E108*Inputs!$H54</f>
        <v>17.397782635192424</v>
      </c>
      <c r="F135" s="331">
        <f>F108*Inputs!$H54</f>
        <v>32.764685412348562</v>
      </c>
      <c r="G135" s="331">
        <f>G108*Inputs!$H54</f>
        <v>86.152017827437263</v>
      </c>
      <c r="H135" s="402">
        <f>H108*Inputs!$H54</f>
        <v>120.77711869372231</v>
      </c>
      <c r="I135" s="14">
        <f>I108*Inputs!$H54</f>
        <v>176.63226683861765</v>
      </c>
      <c r="J135" s="14">
        <f>J108*Inputs!$H54</f>
        <v>259.64152582170095</v>
      </c>
      <c r="K135" s="14">
        <f>K108*Inputs!$H54</f>
        <v>383.21048654945548</v>
      </c>
      <c r="L135" s="14">
        <f>L108*Inputs!$H54</f>
        <v>559.57547580704409</v>
      </c>
      <c r="M135" s="14">
        <f>M108*Inputs!$H54</f>
        <v>806.98552260880263</v>
      </c>
      <c r="N135" s="182">
        <f>N108*Inputs!$H54</f>
        <v>1167.1517097243393</v>
      </c>
      <c r="O135" s="14">
        <f>O108*Inputs!$H54</f>
        <v>1219.8913946493294</v>
      </c>
      <c r="P135" s="14">
        <f>P108*Inputs!$H54</f>
        <v>1277.3610260067978</v>
      </c>
      <c r="Q135" s="14">
        <f>Q108*Inputs!$H54</f>
        <v>1349.0628872042887</v>
      </c>
      <c r="R135" s="14">
        <f>R108*Inputs!$H54</f>
        <v>1407.8543952973357</v>
      </c>
      <c r="S135" s="14">
        <f>S108*Inputs!$H54</f>
        <v>1473.5857670476792</v>
      </c>
      <c r="T135" s="14">
        <f>T108*Inputs!$H54</f>
        <v>1545.0533709633262</v>
      </c>
      <c r="U135" s="14">
        <f>U108*Inputs!$H54</f>
        <v>1612.9760457586269</v>
      </c>
      <c r="V135" s="14">
        <f>V108*Inputs!$H54</f>
        <v>1680.6222478978841</v>
      </c>
      <c r="W135" s="14">
        <f>W108*Inputs!$H54</f>
        <v>1753.97712748821</v>
      </c>
      <c r="X135" s="187">
        <f>X108*Inputs!$H54</f>
        <v>1831.1990321687763</v>
      </c>
      <c r="Y135" s="158">
        <f>Y108*Inputs!$H54</f>
        <v>1912.0210044751441</v>
      </c>
      <c r="Z135" s="158">
        <f>Z108*Inputs!$H54</f>
        <v>1991.7985883376218</v>
      </c>
      <c r="AA135" s="158">
        <f>AA108*Inputs!$H54</f>
        <v>2073.4344424304486</v>
      </c>
      <c r="AB135" s="158">
        <f>AB108*Inputs!$H54</f>
        <v>2157.9283701192708</v>
      </c>
      <c r="AC135" s="158">
        <f>AC108*Inputs!$H54</f>
        <v>2241.8035870074341</v>
      </c>
      <c r="AD135" s="158">
        <f>AD108*Inputs!$H54</f>
        <v>2328.5887154342508</v>
      </c>
      <c r="AE135" s="158">
        <f>AE108*Inputs!$H54</f>
        <v>2416.0739100691785</v>
      </c>
      <c r="AF135" s="158">
        <f>AF108*Inputs!$H54</f>
        <v>2504.2895117930389</v>
      </c>
      <c r="AG135" s="158">
        <f>AG108*Inputs!$H54</f>
        <v>2589.6800320483603</v>
      </c>
      <c r="AH135" s="187">
        <f>AH108*Inputs!$H54</f>
        <v>2681.2520864477374</v>
      </c>
    </row>
    <row r="136" spans="1:35">
      <c r="A136" s="9" t="s">
        <v>348</v>
      </c>
      <c r="B136" s="35">
        <v>1</v>
      </c>
      <c r="C136" s="331">
        <f>C109*Inputs!$H55</f>
        <v>0</v>
      </c>
      <c r="D136" s="331">
        <f>D109*Inputs!$H55</f>
        <v>0</v>
      </c>
      <c r="E136" s="331">
        <f>E109*Inputs!$H55</f>
        <v>2.0700000000000002E-3</v>
      </c>
      <c r="F136" s="331">
        <f>F109*Inputs!$H55</f>
        <v>2.0700000000000002E-3</v>
      </c>
      <c r="G136" s="331">
        <f>G109*Inputs!$H55</f>
        <v>2.0700000000000002E-3</v>
      </c>
      <c r="H136" s="402">
        <f>H109*Inputs!$H55</f>
        <v>2.0700000000000002E-3</v>
      </c>
      <c r="I136" s="14">
        <f>I109*Inputs!$H55</f>
        <v>2.2445027433925552E-3</v>
      </c>
      <c r="J136" s="14">
        <f>J109*Inputs!$H55</f>
        <v>2.4461814467628628E-3</v>
      </c>
      <c r="K136" s="14">
        <f>K109*Inputs!$H55</f>
        <v>2.676802427864426E-3</v>
      </c>
      <c r="L136" s="14">
        <f>L109*Inputs!$H55</f>
        <v>2.8980242978622868E-3</v>
      </c>
      <c r="M136" s="14">
        <f>M109*Inputs!$H55</f>
        <v>3.0986570356887899E-3</v>
      </c>
      <c r="N136" s="187">
        <f>N109*Inputs!$H55</f>
        <v>3.3227639867087193E-3</v>
      </c>
      <c r="O136" s="14">
        <f>O109*Inputs!$H55</f>
        <v>3.4729085859746657E-3</v>
      </c>
      <c r="P136" s="14">
        <f>P109*Inputs!$H55</f>
        <v>3.6365188688650732E-3</v>
      </c>
      <c r="Q136" s="14">
        <f>Q109*Inputs!$H55</f>
        <v>3.8406468842567321E-3</v>
      </c>
      <c r="R136" s="14">
        <f>R109*Inputs!$H55</f>
        <v>4.0080204177813583E-3</v>
      </c>
      <c r="S136" s="14">
        <f>S109*Inputs!$H55</f>
        <v>4.1951510478693598E-3</v>
      </c>
      <c r="T136" s="14">
        <f>T109*Inputs!$H55</f>
        <v>4.3986121562486309E-3</v>
      </c>
      <c r="U136" s="14">
        <f>U109*Inputs!$H55</f>
        <v>4.5919812065703391E-3</v>
      </c>
      <c r="V136" s="14">
        <f>V109*Inputs!$H55</f>
        <v>4.7845631669386525E-3</v>
      </c>
      <c r="W136" s="14">
        <f>W109*Inputs!$H55</f>
        <v>4.9933971600873732E-3</v>
      </c>
      <c r="X136" s="187">
        <f>X109*Inputs!$H55</f>
        <v>5.213240186250816E-3</v>
      </c>
      <c r="Y136" s="158">
        <f>Y109*Inputs!$H55</f>
        <v>5.4433322442728159E-3</v>
      </c>
      <c r="Z136" s="158">
        <f>Z109*Inputs!$H55</f>
        <v>5.6704510330269223E-3</v>
      </c>
      <c r="AA136" s="158">
        <f>AA109*Inputs!$H55</f>
        <v>5.9028601309563744E-3</v>
      </c>
      <c r="AB136" s="158">
        <f>AB109*Inputs!$H55</f>
        <v>6.1434058780780549E-3</v>
      </c>
      <c r="AC136" s="158">
        <f>AC109*Inputs!$H55</f>
        <v>6.3821902175356868E-3</v>
      </c>
      <c r="AD136" s="158">
        <f>AD109*Inputs!$H55</f>
        <v>6.6292587836149193E-3</v>
      </c>
      <c r="AE136" s="158">
        <f>AE109*Inputs!$H55</f>
        <v>6.8783203680526407E-3</v>
      </c>
      <c r="AF136" s="158">
        <f>AF109*Inputs!$H55</f>
        <v>7.1294613482968559E-3</v>
      </c>
      <c r="AG136" s="158">
        <f>AG109*Inputs!$H55</f>
        <v>7.3725596046304021E-3</v>
      </c>
      <c r="AH136" s="187">
        <f>AH109*Inputs!$H55</f>
        <v>7.6332560693762302E-3</v>
      </c>
    </row>
    <row r="137" spans="1:35">
      <c r="A137" s="9" t="s">
        <v>344</v>
      </c>
      <c r="B137" s="35">
        <v>1</v>
      </c>
      <c r="C137" s="331">
        <f>C110*Inputs!$H56</f>
        <v>2.16E-3</v>
      </c>
      <c r="D137" s="331">
        <f>D110*Inputs!$H56</f>
        <v>2.3109487316911579E-3</v>
      </c>
      <c r="E137" s="331">
        <f>E110*Inputs!$H56</f>
        <v>2.7946888684532087E-3</v>
      </c>
      <c r="F137" s="331">
        <f>F110*Inputs!$H56</f>
        <v>2.8234160961479529E-3</v>
      </c>
      <c r="G137" s="331">
        <f>G110*Inputs!$H56</f>
        <v>3.1858753967986646E-3</v>
      </c>
      <c r="H137" s="402">
        <f>H110*Inputs!$H56</f>
        <v>2.16E-3</v>
      </c>
      <c r="I137" s="14">
        <f>I110*Inputs!$H56</f>
        <v>2.3420898191922317E-3</v>
      </c>
      <c r="J137" s="14">
        <f>J110*Inputs!$H56</f>
        <v>2.5525371618395089E-3</v>
      </c>
      <c r="K137" s="14">
        <f>K110*Inputs!$H56</f>
        <v>2.7931851421194014E-3</v>
      </c>
      <c r="L137" s="14">
        <f>L110*Inputs!$H56</f>
        <v>3.0240253542910822E-3</v>
      </c>
      <c r="M137" s="14">
        <f>M110*Inputs!$H56</f>
        <v>3.233381254631781E-3</v>
      </c>
      <c r="N137" s="187">
        <f>N110*Inputs!$H56</f>
        <v>3.4672319861308379E-3</v>
      </c>
      <c r="O137" s="14">
        <f>O110*Inputs!$H56</f>
        <v>3.6239046114518256E-3</v>
      </c>
      <c r="P137" s="14">
        <f>P110*Inputs!$H56</f>
        <v>3.7946283849026857E-3</v>
      </c>
      <c r="Q137" s="14">
        <f>Q110*Inputs!$H56</f>
        <v>4.0076315313983292E-3</v>
      </c>
      <c r="R137" s="14">
        <f>R110*Inputs!$H56</f>
        <v>4.1822821750761999E-3</v>
      </c>
      <c r="S137" s="14">
        <f>S110*Inputs!$H56</f>
        <v>4.3775489195158534E-3</v>
      </c>
      <c r="T137" s="14">
        <f>T110*Inputs!$H56</f>
        <v>4.5898561630420501E-3</v>
      </c>
      <c r="U137" s="14">
        <f>U110*Inputs!$H56</f>
        <v>4.791632563377746E-3</v>
      </c>
      <c r="V137" s="14">
        <f>V110*Inputs!$H56</f>
        <v>4.9925876524577247E-3</v>
      </c>
      <c r="W137" s="14">
        <f>W110*Inputs!$H56</f>
        <v>5.2105013844389982E-3</v>
      </c>
      <c r="X137" s="187">
        <f>X110*Inputs!$H56</f>
        <v>5.4399028030443298E-3</v>
      </c>
      <c r="Y137" s="158">
        <f>Y110*Inputs!$H56</f>
        <v>5.6799988635890253E-3</v>
      </c>
      <c r="Z137" s="158">
        <f>Z110*Inputs!$H56</f>
        <v>5.9169923822889629E-3</v>
      </c>
      <c r="AA137" s="158">
        <f>AA110*Inputs!$H56</f>
        <v>6.1595062236066518E-3</v>
      </c>
      <c r="AB137" s="158">
        <f>AB110*Inputs!$H56</f>
        <v>6.4105104814727535E-3</v>
      </c>
      <c r="AC137" s="158">
        <f>AC110*Inputs!$H56</f>
        <v>6.6596767487328906E-3</v>
      </c>
      <c r="AD137" s="158">
        <f>AD110*Inputs!$H56</f>
        <v>6.9174874263807865E-3</v>
      </c>
      <c r="AE137" s="158">
        <f>AE110*Inputs!$H56</f>
        <v>7.1773777753592772E-3</v>
      </c>
      <c r="AF137" s="158">
        <f>AF110*Inputs!$H56</f>
        <v>7.4394379286575902E-3</v>
      </c>
      <c r="AG137" s="158">
        <f>AG110*Inputs!$H56</f>
        <v>7.6931056743969415E-3</v>
      </c>
      <c r="AH137" s="187">
        <f>AH110*Inputs!$H56</f>
        <v>7.9651367680447626E-3</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0</v>
      </c>
      <c r="D139" s="331">
        <f>D112*Inputs!$H57</f>
        <v>0.15300000000000002</v>
      </c>
      <c r="E139" s="331">
        <f>E112*Inputs!$H57</f>
        <v>6.6648931422615951E-2</v>
      </c>
      <c r="F139" s="331">
        <f>F112*Inputs!$H57</f>
        <v>7.8649643355914553E-2</v>
      </c>
      <c r="G139" s="331">
        <f>G112*Inputs!$H57</f>
        <v>9.0399150390828562E-2</v>
      </c>
      <c r="H139" s="402">
        <f>H112*Inputs!$H57</f>
        <v>9.0615269202709736E-2</v>
      </c>
      <c r="I139" s="14">
        <f>I112*Inputs!$H57</f>
        <v>9.8470536005221918E-2</v>
      </c>
      <c r="J139" s="14">
        <f>J112*Inputs!$H57</f>
        <v>0.10755483815230199</v>
      </c>
      <c r="K139" s="14">
        <f>K112*Inputs!$H57</f>
        <v>0.11795401343105516</v>
      </c>
      <c r="L139" s="14">
        <f>L112*Inputs!$H57</f>
        <v>0.12798337223110196</v>
      </c>
      <c r="M139" s="14">
        <f>M112*Inputs!$H57</f>
        <v>0.13714505693113019</v>
      </c>
      <c r="N139" s="182">
        <f>N112*Inputs!$H57</f>
        <v>0.14738770797911041</v>
      </c>
      <c r="O139" s="14">
        <f>O112*Inputs!$H57</f>
        <v>0.15404766590563457</v>
      </c>
      <c r="P139" s="14">
        <f>P112*Inputs!$H57</f>
        <v>0.16130492061691989</v>
      </c>
      <c r="Q139" s="14">
        <f>Q112*Inputs!$H57</f>
        <v>0.17035941875258256</v>
      </c>
      <c r="R139" s="14">
        <f>R112*Inputs!$H57</f>
        <v>0.17778359982028288</v>
      </c>
      <c r="S139" s="14">
        <f>S112*Inputs!$H57</f>
        <v>0.18608414562241696</v>
      </c>
      <c r="T139" s="14">
        <f>T112*Inputs!$H57</f>
        <v>0.19510906179066206</v>
      </c>
      <c r="U139" s="14">
        <f>U112*Inputs!$H57</f>
        <v>0.20368632494718378</v>
      </c>
      <c r="V139" s="14">
        <f>V112*Inputs!$H57</f>
        <v>0.2122286751864268</v>
      </c>
      <c r="W139" s="14">
        <f>W112*Inputs!$H57</f>
        <v>0.22149191618742342</v>
      </c>
      <c r="X139" s="187">
        <f>X112*Inputs!$H57</f>
        <v>0.23124348442128911</v>
      </c>
      <c r="Y139" s="158">
        <f>Y112*Inputs!$H57</f>
        <v>0.24144966854742997</v>
      </c>
      <c r="Z139" s="158">
        <f>Z112*Inputs!$H57</f>
        <v>0.25152396748872097</v>
      </c>
      <c r="AA139" s="158">
        <f>AA112*Inputs!$H57</f>
        <v>0.26183292846047035</v>
      </c>
      <c r="AB139" s="158">
        <f>AB112*Inputs!$H57</f>
        <v>0.27250280645186659</v>
      </c>
      <c r="AC139" s="158">
        <f>AC112*Inputs!$H57</f>
        <v>0.28309455375463743</v>
      </c>
      <c r="AD139" s="158">
        <f>AD112*Inputs!$H57</f>
        <v>0.29405376416313034</v>
      </c>
      <c r="AE139" s="158">
        <f>AE112*Inputs!$H57</f>
        <v>0.30510137880646893</v>
      </c>
      <c r="AF139" s="158">
        <f>AF112*Inputs!$H57</f>
        <v>0.31624122912562636</v>
      </c>
      <c r="AG139" s="158">
        <f>AG112*Inputs!$H57</f>
        <v>0.32702432866505821</v>
      </c>
      <c r="AH139" s="187">
        <f>AH112*Inputs!$H57</f>
        <v>0.33858803122438558</v>
      </c>
      <c r="AI139" s="31">
        <f>SUM(C139:X139)</f>
        <v>3.1291477323528123</v>
      </c>
    </row>
    <row r="140" spans="1:35">
      <c r="A140" s="10" t="s">
        <v>383</v>
      </c>
      <c r="C140" s="331">
        <f t="shared" ref="C140:AH140" si="91">SUM(C127:C139)</f>
        <v>2175.2440866000002</v>
      </c>
      <c r="D140" s="331">
        <f t="shared" si="91"/>
        <v>2173.2977874847124</v>
      </c>
      <c r="E140" s="331">
        <f t="shared" si="91"/>
        <v>2471.8622629471784</v>
      </c>
      <c r="F140" s="331">
        <f t="shared" si="91"/>
        <v>2366.524930825085</v>
      </c>
      <c r="G140" s="331">
        <f t="shared" si="91"/>
        <v>2579.5160334977982</v>
      </c>
      <c r="H140" s="402">
        <f t="shared" si="91"/>
        <v>2511.2496609957516</v>
      </c>
      <c r="I140" s="14">
        <f t="shared" si="91"/>
        <v>2595.0809390488512</v>
      </c>
      <c r="J140" s="14">
        <f t="shared" si="91"/>
        <v>2728.5710470043127</v>
      </c>
      <c r="K140" s="14">
        <f t="shared" si="91"/>
        <v>2929.5729637770487</v>
      </c>
      <c r="L140" s="14">
        <f t="shared" si="91"/>
        <v>3208.3503511267322</v>
      </c>
      <c r="M140" s="14">
        <f t="shared" si="91"/>
        <v>3486.7154636186829</v>
      </c>
      <c r="N140" s="182">
        <f t="shared" si="91"/>
        <v>3959.9451255962749</v>
      </c>
      <c r="O140" s="14">
        <f t="shared" si="91"/>
        <v>4040.5820851460726</v>
      </c>
      <c r="P140" s="14">
        <f t="shared" si="91"/>
        <v>4132.3824932027883</v>
      </c>
      <c r="Q140" s="14">
        <f t="shared" si="91"/>
        <v>4264.686822067416</v>
      </c>
      <c r="R140" s="14">
        <f t="shared" si="91"/>
        <v>4350.963521236351</v>
      </c>
      <c r="S140" s="14">
        <f t="shared" si="91"/>
        <v>4454.3154909591995</v>
      </c>
      <c r="T140" s="14">
        <f t="shared" si="91"/>
        <v>4570.168910404489</v>
      </c>
      <c r="U140" s="14">
        <f t="shared" si="91"/>
        <v>4670.9509111066855</v>
      </c>
      <c r="V140" s="14">
        <f t="shared" si="91"/>
        <v>4766.9586094078441</v>
      </c>
      <c r="W140" s="14">
        <f t="shared" si="91"/>
        <v>4875.2177058976458</v>
      </c>
      <c r="X140" s="187">
        <f t="shared" si="91"/>
        <v>4990.0954001531609</v>
      </c>
      <c r="Y140" s="158">
        <f t="shared" si="91"/>
        <v>5125.9930132461186</v>
      </c>
      <c r="Z140" s="158">
        <f t="shared" si="91"/>
        <v>5255.1654390426975</v>
      </c>
      <c r="AA140" s="158">
        <f t="shared" si="91"/>
        <v>5385.547585534171</v>
      </c>
      <c r="AB140" s="158">
        <f t="shared" si="91"/>
        <v>5519.7249725659949</v>
      </c>
      <c r="AC140" s="158">
        <f t="shared" si="91"/>
        <v>5648.8534759772137</v>
      </c>
      <c r="AD140" s="158">
        <f t="shared" si="91"/>
        <v>5782.0052031680507</v>
      </c>
      <c r="AE140" s="158">
        <f t="shared" si="91"/>
        <v>5913.6890477269972</v>
      </c>
      <c r="AF140" s="158">
        <f t="shared" si="91"/>
        <v>6044.1324838850187</v>
      </c>
      <c r="AG140" s="158">
        <f t="shared" si="91"/>
        <v>6165.0156365410458</v>
      </c>
      <c r="AH140" s="187">
        <f t="shared" si="91"/>
        <v>6297.9703154814815</v>
      </c>
      <c r="AI140" s="48" t="s">
        <v>0</v>
      </c>
    </row>
    <row r="141" spans="1:35">
      <c r="A141" s="10" t="s">
        <v>386</v>
      </c>
      <c r="C141" s="331">
        <f>SUM(C128:C130)</f>
        <v>2088.3136500000001</v>
      </c>
      <c r="D141" s="331">
        <f t="shared" ref="D141:AH141" si="92">SUM(D128:D130)</f>
        <v>2063.2601001255493</v>
      </c>
      <c r="E141" s="331">
        <f t="shared" si="92"/>
        <v>2303.9853222948059</v>
      </c>
      <c r="F141" s="331">
        <f t="shared" si="92"/>
        <v>2149.1356633665173</v>
      </c>
      <c r="G141" s="331">
        <f t="shared" si="92"/>
        <v>2238.8231303591833</v>
      </c>
      <c r="H141" s="402">
        <f t="shared" si="92"/>
        <v>2242.580115351032</v>
      </c>
      <c r="I141" s="14">
        <f t="shared" si="92"/>
        <v>2240.9069578551157</v>
      </c>
      <c r="J141" s="14">
        <f t="shared" si="92"/>
        <v>2250.4026421466774</v>
      </c>
      <c r="K141" s="14">
        <f t="shared" si="92"/>
        <v>2268.7999200278136</v>
      </c>
      <c r="L141" s="14">
        <f t="shared" si="92"/>
        <v>2262.7118206424175</v>
      </c>
      <c r="M141" s="14">
        <f t="shared" si="92"/>
        <v>2228.3614064122398</v>
      </c>
      <c r="N141" s="187">
        <f t="shared" si="92"/>
        <v>2200.5565505095992</v>
      </c>
      <c r="O141" s="14">
        <f t="shared" si="92"/>
        <v>2201.6926205541122</v>
      </c>
      <c r="P141" s="14">
        <f t="shared" si="92"/>
        <v>2206.8621202358963</v>
      </c>
      <c r="Q141" s="14">
        <f t="shared" si="92"/>
        <v>2231.0815837378964</v>
      </c>
      <c r="R141" s="14">
        <f t="shared" si="92"/>
        <v>2228.7347502596044</v>
      </c>
      <c r="S141" s="14">
        <f t="shared" si="92"/>
        <v>2233.0018936322922</v>
      </c>
      <c r="T141" s="14">
        <f t="shared" si="92"/>
        <v>2241.1235719762412</v>
      </c>
      <c r="U141" s="14">
        <f t="shared" si="92"/>
        <v>2239.5175308938751</v>
      </c>
      <c r="V141" s="14">
        <f t="shared" si="92"/>
        <v>2233.5539479980725</v>
      </c>
      <c r="W141" s="14">
        <f t="shared" si="92"/>
        <v>2231.2363850846518</v>
      </c>
      <c r="X141" s="187">
        <f t="shared" si="92"/>
        <v>2229.7081865076825</v>
      </c>
      <c r="Y141" s="158">
        <f t="shared" si="92"/>
        <v>2243.7730905303024</v>
      </c>
      <c r="Z141" s="158">
        <f t="shared" si="92"/>
        <v>2252.6871399511019</v>
      </c>
      <c r="AA141" s="158">
        <f t="shared" si="92"/>
        <v>2260.0097151703162</v>
      </c>
      <c r="AB141" s="158">
        <f t="shared" si="92"/>
        <v>2266.8192118059346</v>
      </c>
      <c r="AC141" s="158">
        <f t="shared" si="92"/>
        <v>2269.512482250906</v>
      </c>
      <c r="AD141" s="158">
        <f t="shared" si="92"/>
        <v>2271.8425157669467</v>
      </c>
      <c r="AE141" s="158">
        <f t="shared" si="92"/>
        <v>2271.6493724009224</v>
      </c>
      <c r="AF141" s="158">
        <f t="shared" si="92"/>
        <v>2269.1147899138668</v>
      </c>
      <c r="AG141" s="158">
        <f t="shared" si="92"/>
        <v>2261.2785100349383</v>
      </c>
      <c r="AH141" s="187">
        <f t="shared" si="92"/>
        <v>2256.1955842962611</v>
      </c>
      <c r="AI141" s="48"/>
    </row>
    <row r="142" spans="1:35">
      <c r="A142" s="10" t="s">
        <v>385</v>
      </c>
      <c r="C142" s="330">
        <f t="shared" ref="C142:AH142" si="93">SUMPRODUCT($B131:$B139,C131:C139)</f>
        <v>86.930436600000007</v>
      </c>
      <c r="D142" s="330">
        <f t="shared" si="93"/>
        <v>110.03768735916337</v>
      </c>
      <c r="E142" s="330">
        <f t="shared" si="93"/>
        <v>167.87694065237201</v>
      </c>
      <c r="F142" s="330">
        <f t="shared" si="93"/>
        <v>217.38926745856696</v>
      </c>
      <c r="G142" s="330">
        <f t="shared" si="93"/>
        <v>340.69290313861461</v>
      </c>
      <c r="H142" s="286">
        <f t="shared" si="93"/>
        <v>268.66954564471916</v>
      </c>
      <c r="I142" s="40">
        <f t="shared" si="93"/>
        <v>354.17398119373536</v>
      </c>
      <c r="J142" s="40">
        <f t="shared" si="93"/>
        <v>478.16840485763481</v>
      </c>
      <c r="K142" s="40">
        <f t="shared" si="93"/>
        <v>660.77304374923517</v>
      </c>
      <c r="L142" s="40">
        <f t="shared" si="93"/>
        <v>945.63853048431486</v>
      </c>
      <c r="M142" s="40">
        <f t="shared" si="93"/>
        <v>1258.3540572064426</v>
      </c>
      <c r="N142" s="177">
        <f t="shared" si="93"/>
        <v>1759.3885750866762</v>
      </c>
      <c r="O142" s="40">
        <f t="shared" si="93"/>
        <v>1838.8894645919609</v>
      </c>
      <c r="P142" s="40">
        <f t="shared" si="93"/>
        <v>1925.5203729668915</v>
      </c>
      <c r="Q142" s="40">
        <f t="shared" si="93"/>
        <v>2033.6052383295196</v>
      </c>
      <c r="R142" s="40">
        <f t="shared" si="93"/>
        <v>2122.228770976747</v>
      </c>
      <c r="S142" s="40">
        <f t="shared" si="93"/>
        <v>2221.3135973269077</v>
      </c>
      <c r="T142" s="40">
        <f t="shared" si="93"/>
        <v>2329.0453384282487</v>
      </c>
      <c r="U142" s="40">
        <f t="shared" si="93"/>
        <v>2431.4333802128112</v>
      </c>
      <c r="V142" s="40">
        <f t="shared" si="93"/>
        <v>2533.4046614097711</v>
      </c>
      <c r="W142" s="40">
        <f t="shared" si="93"/>
        <v>2643.981320812994</v>
      </c>
      <c r="X142" s="184">
        <f t="shared" si="93"/>
        <v>2760.387213645477</v>
      </c>
      <c r="Y142" s="271">
        <f t="shared" si="93"/>
        <v>2882.2199227158176</v>
      </c>
      <c r="Z142" s="271">
        <f t="shared" si="93"/>
        <v>3002.4782990915951</v>
      </c>
      <c r="AA142" s="271">
        <f t="shared" si="93"/>
        <v>3125.5378703638553</v>
      </c>
      <c r="AB142" s="271">
        <f t="shared" si="93"/>
        <v>3252.9057607600607</v>
      </c>
      <c r="AC142" s="271">
        <f t="shared" si="93"/>
        <v>3379.3409937263091</v>
      </c>
      <c r="AD142" s="271">
        <f t="shared" si="93"/>
        <v>3510.162687401104</v>
      </c>
      <c r="AE142" s="271">
        <f t="shared" si="93"/>
        <v>3642.0396753260748</v>
      </c>
      <c r="AF142" s="271">
        <f t="shared" si="93"/>
        <v>3775.0176939711514</v>
      </c>
      <c r="AG142" s="271">
        <f t="shared" si="93"/>
        <v>3903.737126506107</v>
      </c>
      <c r="AH142" s="184">
        <f t="shared" si="93"/>
        <v>4041.7747311852208</v>
      </c>
    </row>
    <row r="143" spans="1:35">
      <c r="A143" s="10" t="s">
        <v>142</v>
      </c>
      <c r="C143" s="331">
        <f>C116*Inputs!$H$60</f>
        <v>1796.6475034199998</v>
      </c>
      <c r="D143" s="331">
        <f>D116*Inputs!$H$60</f>
        <v>2284.2645025288543</v>
      </c>
      <c r="E143" s="331">
        <f>E116*Inputs!$H$60</f>
        <v>2514.4272704292634</v>
      </c>
      <c r="F143" s="331">
        <f>F116*Inputs!$H$60</f>
        <v>2175.2141964448238</v>
      </c>
      <c r="G143" s="331">
        <f>G116*Inputs!$H$60</f>
        <v>2422.1544232796136</v>
      </c>
      <c r="H143" s="402">
        <f>H116*Inputs!$H$60</f>
        <v>2484.8849206807731</v>
      </c>
      <c r="I143" s="14">
        <f>I116*Inputs!$H$60</f>
        <v>2463.2230366146359</v>
      </c>
      <c r="J143" s="14">
        <f>J116*Inputs!$H$60</f>
        <v>2432.2270328245118</v>
      </c>
      <c r="K143" s="14">
        <f>K116*Inputs!$H$60</f>
        <v>2455.7086210078478</v>
      </c>
      <c r="L143" s="14">
        <f>L116*Inputs!$H$60</f>
        <v>2424.183622150596</v>
      </c>
      <c r="M143" s="14">
        <f>M116*Inputs!$H$60</f>
        <v>2372.154561330397</v>
      </c>
      <c r="N143" s="182">
        <f>N116*Inputs!$H$60</f>
        <v>2284.1743172780343</v>
      </c>
      <c r="O143" s="14">
        <f>O116*Inputs!$H$60</f>
        <v>2290.7193619242234</v>
      </c>
      <c r="P143" s="14">
        <f>P116*Inputs!$H$60</f>
        <v>2285.3295713517778</v>
      </c>
      <c r="Q143" s="14">
        <f>Q116*Inputs!$H$60</f>
        <v>2286.6277770039123</v>
      </c>
      <c r="R143" s="14">
        <f>R116*Inputs!$H$60</f>
        <v>2280.2086197964313</v>
      </c>
      <c r="S143" s="14">
        <f>S116*Inputs!$H$60</f>
        <v>2276.55242292918</v>
      </c>
      <c r="T143" s="14">
        <f>T116*Inputs!$H$60</f>
        <v>2251.7656388443961</v>
      </c>
      <c r="U143" s="14">
        <f>U116*Inputs!$H$60</f>
        <v>2232.0732084067445</v>
      </c>
      <c r="V143" s="14">
        <f>V116*Inputs!$H$60</f>
        <v>2217.1774748530879</v>
      </c>
      <c r="W143" s="14">
        <f>W116*Inputs!$H$60</f>
        <v>2196.1787059510179</v>
      </c>
      <c r="X143" s="187">
        <f>X116*Inputs!$H$60</f>
        <v>2182.6721618686493</v>
      </c>
      <c r="Y143" s="158">
        <f>Y116*Inputs!$H$60</f>
        <v>2160.521553918536</v>
      </c>
      <c r="Z143" s="158">
        <f>Z116*Inputs!$H$60</f>
        <v>2135.747758424734</v>
      </c>
      <c r="AA143" s="158">
        <f>AA116*Inputs!$H$60</f>
        <v>2107.095270225404</v>
      </c>
      <c r="AB143" s="158">
        <f>AB116*Inputs!$H$60</f>
        <v>2083.1853743718698</v>
      </c>
      <c r="AC143" s="158">
        <f>AC116*Inputs!$H$60</f>
        <v>2058.8909745978917</v>
      </c>
      <c r="AD143" s="158">
        <f>AD116*Inputs!$H$60</f>
        <v>2031.7688434770973</v>
      </c>
      <c r="AE143" s="158">
        <f>AE116*Inputs!$H$60</f>
        <v>2004.9302906976693</v>
      </c>
      <c r="AF143" s="158">
        <f>AF116*Inputs!$H$60</f>
        <v>1978.7173747287457</v>
      </c>
      <c r="AG143" s="158">
        <f>AG116*Inputs!$H$60</f>
        <v>1954.0475503873784</v>
      </c>
      <c r="AH143" s="187">
        <f>AH116*Inputs!$H$60</f>
        <v>1927.3958440802567</v>
      </c>
      <c r="AI143" s="48"/>
    </row>
    <row r="144" spans="1:35">
      <c r="A144" s="10" t="s">
        <v>222</v>
      </c>
      <c r="C144" s="331">
        <f>C117*Inputs!$H$61</f>
        <v>769.99178717999996</v>
      </c>
      <c r="D144" s="331">
        <f>D117*Inputs!$H$61</f>
        <v>279.59752677987547</v>
      </c>
      <c r="E144" s="331">
        <f>E117*Inputs!$H$61</f>
        <v>371.26478511256357</v>
      </c>
      <c r="F144" s="331">
        <f>F117*Inputs!$H$61</f>
        <v>540.6453458031699</v>
      </c>
      <c r="G144" s="331">
        <f>G117*Inputs!$H$61</f>
        <v>424.59614897370835</v>
      </c>
      <c r="H144" s="402">
        <f>H117*Inputs!$H$61</f>
        <v>419.06124466403037</v>
      </c>
      <c r="I144" s="14">
        <f>I117*Inputs!$H$61</f>
        <v>469.86257984427004</v>
      </c>
      <c r="J144" s="14">
        <f>J117*Inputs!$H$61</f>
        <v>537.57612260667418</v>
      </c>
      <c r="K144" s="14">
        <f>K117*Inputs!$H$61</f>
        <v>548.73057954288265</v>
      </c>
      <c r="L144" s="14">
        <f>L117*Inputs!$H$61</f>
        <v>548.16847649875672</v>
      </c>
      <c r="M144" s="14">
        <f>M117*Inputs!$H$61</f>
        <v>540.09939001718021</v>
      </c>
      <c r="N144" s="182">
        <f>N117*Inputs!$H$61</f>
        <v>522.22799215504403</v>
      </c>
      <c r="O144" s="14">
        <f>O117*Inputs!$H$61</f>
        <v>510.08832502584056</v>
      </c>
      <c r="P144" s="14">
        <f>P117*Inputs!$H$61</f>
        <v>514.23997682483116</v>
      </c>
      <c r="Q144" s="14">
        <f>Q117*Inputs!$H$61</f>
        <v>535.30771596658201</v>
      </c>
      <c r="R144" s="14">
        <f>R117*Inputs!$H$61</f>
        <v>529.04009545083466</v>
      </c>
      <c r="S144" s="14">
        <f>S117*Inputs!$H$61</f>
        <v>527.33742715607366</v>
      </c>
      <c r="T144" s="14">
        <f>T117*Inputs!$H$61</f>
        <v>550.53371488132143</v>
      </c>
      <c r="U144" s="14">
        <f>U117*Inputs!$H$61</f>
        <v>555.01452523571459</v>
      </c>
      <c r="V144" s="14">
        <f>V117*Inputs!$H$61</f>
        <v>547.98766903365447</v>
      </c>
      <c r="W144" s="14">
        <f>W117*Inputs!$H$61</f>
        <v>550.33210927225252</v>
      </c>
      <c r="X144" s="187">
        <f>X117*Inputs!$H$61</f>
        <v>544.7210529708816</v>
      </c>
      <c r="Y144" s="158">
        <f>Y117*Inputs!$H$61</f>
        <v>571.75442512667621</v>
      </c>
      <c r="Z144" s="158">
        <f>Z117*Inputs!$H$61</f>
        <v>593.7829863544415</v>
      </c>
      <c r="AA144" s="158">
        <f>AA117*Inputs!$H$61</f>
        <v>616.47933911570203</v>
      </c>
      <c r="AB144" s="158">
        <f>AB117*Inputs!$H$61</f>
        <v>632.54680379215381</v>
      </c>
      <c r="AC144" s="158">
        <f>AC117*Inputs!$H$61</f>
        <v>642.80982748362396</v>
      </c>
      <c r="AD144" s="158">
        <f>AD117*Inputs!$H$61</f>
        <v>654.2008457429165</v>
      </c>
      <c r="AE144" s="158">
        <f>AE117*Inputs!$H$61</f>
        <v>660.96995203477991</v>
      </c>
      <c r="AF144" s="158">
        <f>AF117*Inputs!$H$61</f>
        <v>663.03597800422392</v>
      </c>
      <c r="AG144" s="158">
        <f>AG117*Inputs!$H$61</f>
        <v>655.9662711294211</v>
      </c>
      <c r="AH144" s="187">
        <f>AH117*Inputs!$H$61</f>
        <v>652.85508622284431</v>
      </c>
      <c r="AI144" s="48"/>
    </row>
    <row r="145" spans="1:35">
      <c r="A145" s="10" t="s">
        <v>58</v>
      </c>
      <c r="C145" s="331">
        <f>SUM(C140,C143,C144)</f>
        <v>4741.8833771999998</v>
      </c>
      <c r="D145" s="331">
        <f>SUM(D140,D143,D144)</f>
        <v>4737.1598167934426</v>
      </c>
      <c r="E145" s="331">
        <f t="shared" ref="E145:AH145" si="94">SUM(E140,E143,E144)</f>
        <v>5357.5543184890057</v>
      </c>
      <c r="F145" s="331">
        <f t="shared" si="94"/>
        <v>5082.3844730730789</v>
      </c>
      <c r="G145" s="331">
        <f t="shared" si="94"/>
        <v>5426.2666057511206</v>
      </c>
      <c r="H145" s="402">
        <f t="shared" si="94"/>
        <v>5415.195826340555</v>
      </c>
      <c r="I145" s="14">
        <f t="shared" si="94"/>
        <v>5528.166555507757</v>
      </c>
      <c r="J145" s="14">
        <f t="shared" si="94"/>
        <v>5698.3742024354988</v>
      </c>
      <c r="K145" s="14">
        <f t="shared" si="94"/>
        <v>5934.0121643277789</v>
      </c>
      <c r="L145" s="14">
        <f t="shared" si="94"/>
        <v>6180.7024497760849</v>
      </c>
      <c r="M145" s="14">
        <f t="shared" si="94"/>
        <v>6398.9694149662591</v>
      </c>
      <c r="N145" s="187">
        <f t="shared" si="94"/>
        <v>6766.3474350293536</v>
      </c>
      <c r="O145" s="14">
        <f t="shared" si="94"/>
        <v>6841.3897720961368</v>
      </c>
      <c r="P145" s="14">
        <f t="shared" si="94"/>
        <v>6931.9520413793971</v>
      </c>
      <c r="Q145" s="14">
        <f t="shared" si="94"/>
        <v>7086.6223150379101</v>
      </c>
      <c r="R145" s="14">
        <f t="shared" si="94"/>
        <v>7160.2122364836177</v>
      </c>
      <c r="S145" s="14">
        <f t="shared" si="94"/>
        <v>7258.2053410444532</v>
      </c>
      <c r="T145" s="14">
        <f t="shared" si="94"/>
        <v>7372.4682641302061</v>
      </c>
      <c r="U145" s="14">
        <f t="shared" si="94"/>
        <v>7458.0386447491437</v>
      </c>
      <c r="V145" s="14">
        <f t="shared" si="94"/>
        <v>7532.1237532945861</v>
      </c>
      <c r="W145" s="14">
        <f t="shared" si="94"/>
        <v>7621.7285211209164</v>
      </c>
      <c r="X145" s="187">
        <f t="shared" si="94"/>
        <v>7717.4886149926924</v>
      </c>
      <c r="Y145" s="158">
        <f t="shared" si="94"/>
        <v>7858.2689922913314</v>
      </c>
      <c r="Z145" s="158">
        <f t="shared" si="94"/>
        <v>7984.6961838218722</v>
      </c>
      <c r="AA145" s="158">
        <f t="shared" si="94"/>
        <v>8109.1221948752773</v>
      </c>
      <c r="AB145" s="158">
        <f t="shared" si="94"/>
        <v>8235.4571507300188</v>
      </c>
      <c r="AC145" s="158">
        <f t="shared" si="94"/>
        <v>8350.5542780587293</v>
      </c>
      <c r="AD145" s="158">
        <f t="shared" si="94"/>
        <v>8467.9748923880652</v>
      </c>
      <c r="AE145" s="158">
        <f t="shared" si="94"/>
        <v>8579.5892904594457</v>
      </c>
      <c r="AF145" s="158">
        <f t="shared" si="94"/>
        <v>8685.8858366179884</v>
      </c>
      <c r="AG145" s="158">
        <f t="shared" si="94"/>
        <v>8775.0294580578447</v>
      </c>
      <c r="AH145" s="187">
        <f t="shared" si="94"/>
        <v>8878.2212457845817</v>
      </c>
      <c r="AI145" s="48"/>
    </row>
    <row r="146" spans="1:35" s="1" customFormat="1">
      <c r="A146" s="1" t="s">
        <v>335</v>
      </c>
      <c r="B146" s="13"/>
      <c r="C146" s="341">
        <f>C145-'Output - Jobs vs Yr (BAU)'!C73</f>
        <v>-0.43097940000097879</v>
      </c>
      <c r="D146" s="341">
        <f>D145-'Output - Jobs vs Yr (BAU)'!D73</f>
        <v>24.938808793442149</v>
      </c>
      <c r="E146" s="341">
        <f>E145-'Output - Jobs vs Yr (BAU)'!E73</f>
        <v>22.188931143508853</v>
      </c>
      <c r="F146" s="341">
        <f>F145-'Output - Jobs vs Yr (BAU)'!F73</f>
        <v>16.064114183923266</v>
      </c>
      <c r="G146" s="341">
        <f>G145-'Output - Jobs vs Yr (BAU)'!G73</f>
        <v>45.876247095263352</v>
      </c>
      <c r="H146" s="405">
        <f>H145-'Output - Jobs vs Yr (BAU)'!H73</f>
        <v>-16.917327159884735</v>
      </c>
      <c r="I146" s="15">
        <f>I145-'Output - Jobs vs Yr (BAU)'!I73</f>
        <v>-31.708732900708128</v>
      </c>
      <c r="J146" s="15">
        <f>J145-'Output - Jobs vs Yr (BAU)'!J73</f>
        <v>-30.708114582595044</v>
      </c>
      <c r="K146" s="15">
        <f>K145-'Output - Jobs vs Yr (BAU)'!K73</f>
        <v>-27.029008511976826</v>
      </c>
      <c r="L146" s="15">
        <f>L145-'Output - Jobs vs Yr (BAU)'!L73</f>
        <v>-27.456454920369652</v>
      </c>
      <c r="M146" s="15">
        <f>M145-'Output - Jobs vs Yr (BAU)'!M73</f>
        <v>94.351710718370668</v>
      </c>
      <c r="N146" s="182">
        <f>N145-'Output - Jobs vs Yr (BAU)'!N73</f>
        <v>370.54279755734842</v>
      </c>
      <c r="O146" s="15">
        <f>O145-'Output - Jobs vs Yr (BAU)'!O73</f>
        <v>417.08377377601664</v>
      </c>
      <c r="P146" s="15">
        <f>P145-'Output - Jobs vs Yr (BAU)'!P73</f>
        <v>465.60667709013978</v>
      </c>
      <c r="Q146" s="15">
        <f>Q145-'Output - Jobs vs Yr (BAU)'!Q73</f>
        <v>430.59115650324384</v>
      </c>
      <c r="R146" s="15">
        <f>R145-'Output - Jobs vs Yr (BAU)'!R73</f>
        <v>425.07905965901591</v>
      </c>
      <c r="S146" s="15">
        <f>S145-'Output - Jobs vs Yr (BAU)'!S73</f>
        <v>408.45296262978718</v>
      </c>
      <c r="T146" s="15">
        <f>T145-'Output - Jobs vs Yr (BAU)'!T73</f>
        <v>411.84798611806036</v>
      </c>
      <c r="U146" s="15">
        <f>U145-'Output - Jobs vs Yr (BAU)'!U73</f>
        <v>416.26538496281592</v>
      </c>
      <c r="V146" s="15">
        <f>V145-'Output - Jobs vs Yr (BAU)'!V73</f>
        <v>416.14951564895546</v>
      </c>
      <c r="W146" s="15">
        <f>W145-'Output - Jobs vs Yr (BAU)'!W73</f>
        <v>423.00719744744765</v>
      </c>
      <c r="X146" s="190">
        <f>X145-'Output - Jobs vs Yr (BAU)'!X73</f>
        <v>410.00384485979703</v>
      </c>
      <c r="Y146" s="130">
        <f>Y145-'Output - Jobs vs Yr (BAU)'!Y73</f>
        <v>402.89345876118659</v>
      </c>
      <c r="Z146" s="130">
        <f>Z145-'Output - Jobs vs Yr (BAU)'!Z73</f>
        <v>406.59775618793356</v>
      </c>
      <c r="AA146" s="130">
        <f>AA145-'Output - Jobs vs Yr (BAU)'!AA73</f>
        <v>418.22707179755525</v>
      </c>
      <c r="AB146" s="130">
        <f>AB145-'Output - Jobs vs Yr (BAU)'!AB73</f>
        <v>430.07441297311561</v>
      </c>
      <c r="AC146" s="130">
        <f>AC145-'Output - Jobs vs Yr (BAU)'!AC73</f>
        <v>443.79750349708866</v>
      </c>
      <c r="AD146" s="130">
        <f>AD145-'Output - Jobs vs Yr (BAU)'!AD73</f>
        <v>462.47039363438762</v>
      </c>
      <c r="AE146" s="130">
        <f>AE145-'Output - Jobs vs Yr (BAU)'!AE73</f>
        <v>480.78354991075503</v>
      </c>
      <c r="AF146" s="130">
        <f>AF145-'Output - Jobs vs Yr (BAU)'!AF73</f>
        <v>500.82355450241539</v>
      </c>
      <c r="AG146" s="130">
        <f>AG145-'Output - Jobs vs Yr (BAU)'!AG73</f>
        <v>522.62280230816759</v>
      </c>
      <c r="AH146" s="190">
        <f>AH145-'Output - Jobs vs Yr (BAU)'!AH73</f>
        <v>548.36418201635206</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10011.552530600002</v>
      </c>
      <c r="D176" s="334">
        <f>'Output - Jobs vs Yr (BAU)'!D55+'Output - Jobs vs Yr (BAU)'!D73</f>
        <v>9948.0221280000005</v>
      </c>
      <c r="E176" s="334">
        <f>'Output - Jobs vs Yr (BAU)'!E55+'Output - Jobs vs Yr (BAU)'!E73</f>
        <v>11263.549151062714</v>
      </c>
      <c r="F176" s="334">
        <f>'Output - Jobs vs Yr (BAU)'!F55+'Output - Jobs vs Yr (BAU)'!F73</f>
        <v>10695.565202099329</v>
      </c>
      <c r="G176" s="334">
        <f>'Output - Jobs vs Yr (BAU)'!G55+'Output - Jobs vs Yr (BAU)'!G73</f>
        <v>11358.601868273476</v>
      </c>
      <c r="H176" s="404">
        <f>'Output - Jobs vs Yr (BAU)'!H55+'Output - Jobs vs Yr (BAU)'!H73</f>
        <v>11467.794435167594</v>
      </c>
      <c r="I176" s="19">
        <f>'Output - Jobs vs Yr (BAU)'!I55+'Output - Jobs vs Yr (BAU)'!I73</f>
        <v>11737.514497751203</v>
      </c>
      <c r="J176" s="19">
        <f>'Output - Jobs vs Yr (BAU)'!J55+'Output - Jobs vs Yr (BAU)'!J73</f>
        <v>12094.729335927088</v>
      </c>
      <c r="K176" s="19">
        <f>'Output - Jobs vs Yr (BAU)'!K55+'Output - Jobs vs Yr (BAU)'!K73</f>
        <v>12584.420253772816</v>
      </c>
      <c r="L176" s="19">
        <f>'Output - Jobs vs Yr (BAU)'!L55+'Output - Jobs vs Yr (BAU)'!L73</f>
        <v>13106.113243248072</v>
      </c>
      <c r="M176" s="19">
        <f>'Output - Jobs vs Yr (BAU)'!M55+'Output - Jobs vs Yr (BAU)'!M73</f>
        <v>13309.748486745542</v>
      </c>
      <c r="N176" s="182">
        <f>'Output - Jobs vs Yr (BAU)'!N55+'Output - Jobs vs Yr (BAU)'!N73</f>
        <v>13502.254234663122</v>
      </c>
      <c r="O176" s="19">
        <f>'Output - Jobs vs Yr (BAU)'!O55+'Output - Jobs vs Yr (BAU)'!O73</f>
        <v>13562.423774231363</v>
      </c>
      <c r="P176" s="19">
        <f>'Output - Jobs vs Yr (BAU)'!P55+'Output - Jobs vs Yr (BAU)'!P73</f>
        <v>13651.173546832877</v>
      </c>
      <c r="Q176" s="19">
        <f>'Output - Jobs vs Yr (BAU)'!Q55+'Output - Jobs vs Yr (BAU)'!Q73</f>
        <v>14051.621334684296</v>
      </c>
      <c r="R176" s="19">
        <f>'Output - Jobs vs Yr (BAU)'!R55+'Output - Jobs vs Yr (BAU)'!R73</f>
        <v>14218.614484407493</v>
      </c>
      <c r="S176" s="19">
        <f>'Output - Jobs vs Yr (BAU)'!S55+'Output - Jobs vs Yr (BAU)'!S73</f>
        <v>14460.588354430962</v>
      </c>
      <c r="T176" s="19">
        <f>'Output - Jobs vs Yr (BAU)'!T55+'Output - Jobs vs Yr (BAU)'!T73</f>
        <v>14694.642809136752</v>
      </c>
      <c r="U176" s="19">
        <f>'Output - Jobs vs Yr (BAU)'!U55+'Output - Jobs vs Yr (BAU)'!U73</f>
        <v>14865.965770660025</v>
      </c>
      <c r="V176" s="19">
        <f>'Output - Jobs vs Yr (BAU)'!V55+'Output - Jobs vs Yr (BAU)'!V73</f>
        <v>15022.61227947411</v>
      </c>
      <c r="W176" s="19">
        <f>'Output - Jobs vs Yr (BAU)'!W55+'Output - Jobs vs Yr (BAU)'!W73</f>
        <v>15197.300572199543</v>
      </c>
      <c r="X176" s="182">
        <f>'Output - Jobs vs Yr (BAU)'!X55+'Output - Jobs vs Yr (BAU)'!X73</f>
        <v>15426.91229250278</v>
      </c>
      <c r="Y176" s="206">
        <f>'Output - Jobs vs Yr (BAU)'!Y55+'Output - Jobs vs Yr (BAU)'!Y73</f>
        <v>15739.126126341418</v>
      </c>
      <c r="Z176" s="206">
        <f>'Output - Jobs vs Yr (BAU)'!Z55+'Output - Jobs vs Yr (BAU)'!Z73</f>
        <v>15998.207791671648</v>
      </c>
      <c r="AA176" s="206">
        <f>'Output - Jobs vs Yr (BAU)'!AA55+'Output - Jobs vs Yr (BAU)'!AA73</f>
        <v>16236.334148719636</v>
      </c>
      <c r="AB176" s="206">
        <f>'Output - Jobs vs Yr (BAU)'!AB55+'Output - Jobs vs Yr (BAU)'!AB73</f>
        <v>16478.030224153463</v>
      </c>
      <c r="AC176" s="206">
        <f>'Output - Jobs vs Yr (BAU)'!AC55+'Output - Jobs vs Yr (BAU)'!AC73</f>
        <v>16692.04207963013</v>
      </c>
      <c r="AD176" s="206">
        <f>'Output - Jobs vs Yr (BAU)'!AD55+'Output - Jobs vs Yr (BAU)'!AD73</f>
        <v>16900.509497368876</v>
      </c>
      <c r="AE176" s="206">
        <f>'Output - Jobs vs Yr (BAU)'!AE55+'Output - Jobs vs Yr (BAU)'!AE73</f>
        <v>17097.478785602794</v>
      </c>
      <c r="AF176" s="206">
        <f>'Output - Jobs vs Yr (BAU)'!AF55+'Output - Jobs vs Yr (BAU)'!AF73</f>
        <v>17279.575928910657</v>
      </c>
      <c r="AG176" s="206">
        <f>'Output - Jobs vs Yr (BAU)'!AG55+'Output - Jobs vs Yr (BAU)'!AG73</f>
        <v>17421.747384360431</v>
      </c>
      <c r="AH176" s="182">
        <f>'Output - Jobs vs Yr (BAU)'!AH55+'Output - Jobs vs Yr (BAU)'!AH73</f>
        <v>17585.253801288483</v>
      </c>
      <c r="AI176" s="1"/>
    </row>
    <row r="177" spans="1:35">
      <c r="A177" s="76" t="s">
        <v>300</v>
      </c>
      <c r="C177" s="334">
        <f>'Output - Jobs vs Yr (BAU)'!C55</f>
        <v>5269.2381740000001</v>
      </c>
      <c r="D177" s="334">
        <f>'Output - Jobs vs Yr (BAU)'!D55</f>
        <v>5235.8011200000001</v>
      </c>
      <c r="E177" s="334">
        <f>'Output - Jobs vs Yr (BAU)'!E55</f>
        <v>5928.1837637172184</v>
      </c>
      <c r="F177" s="334">
        <f>'Output - Jobs vs Yr (BAU)'!F55</f>
        <v>5629.2448432101728</v>
      </c>
      <c r="G177" s="334">
        <f>'Output - Jobs vs Yr (BAU)'!G55</f>
        <v>5978.2115096176176</v>
      </c>
      <c r="H177" s="404">
        <f>'Output - Jobs vs Yr (BAU)'!H55</f>
        <v>6035.6812816671545</v>
      </c>
      <c r="I177" s="19">
        <f>'Output - Jobs vs Yr (BAU)'!I55</f>
        <v>6177.6392093427376</v>
      </c>
      <c r="J177" s="19">
        <f>'Output - Jobs vs Yr (BAU)'!J55</f>
        <v>6365.6470189089932</v>
      </c>
      <c r="K177" s="19">
        <f>'Output - Jobs vs Yr (BAU)'!K55</f>
        <v>6623.3790809330612</v>
      </c>
      <c r="L177" s="19">
        <f>'Output - Jobs vs Yr (BAU)'!L55</f>
        <v>6897.9543385516172</v>
      </c>
      <c r="M177" s="19">
        <f>'Output - Jobs vs Yr (BAU)'!M55</f>
        <v>7005.1307824976539</v>
      </c>
      <c r="N177" s="182">
        <f>'Output - Jobs vs Yr (BAU)'!N55</f>
        <v>7106.4495971911165</v>
      </c>
      <c r="O177" s="19">
        <f>'Output - Jobs vs Yr (BAU)'!O55</f>
        <v>7138.1177759112434</v>
      </c>
      <c r="P177" s="19">
        <f>'Output - Jobs vs Yr (BAU)'!P55</f>
        <v>7184.8281825436197</v>
      </c>
      <c r="Q177" s="19">
        <f>'Output - Jobs vs Yr (BAU)'!Q55</f>
        <v>7395.5901761496298</v>
      </c>
      <c r="R177" s="19">
        <f>'Output - Jobs vs Yr (BAU)'!R55</f>
        <v>7483.4813075828915</v>
      </c>
      <c r="S177" s="19">
        <f>'Output - Jobs vs Yr (BAU)'!S55</f>
        <v>7610.8359760162966</v>
      </c>
      <c r="T177" s="19">
        <f>'Output - Jobs vs Yr (BAU)'!T55</f>
        <v>7734.0225311246058</v>
      </c>
      <c r="U177" s="19">
        <f>'Output - Jobs vs Yr (BAU)'!U55</f>
        <v>7824.1925108736968</v>
      </c>
      <c r="V177" s="19">
        <f>'Output - Jobs vs Yr (BAU)'!V55</f>
        <v>7906.638041828478</v>
      </c>
      <c r="W177" s="19">
        <f>'Output - Jobs vs Yr (BAU)'!W55</f>
        <v>7998.5792485260754</v>
      </c>
      <c r="X177" s="182">
        <f>'Output - Jobs vs Yr (BAU)'!X55</f>
        <v>8119.427522369886</v>
      </c>
      <c r="Y177" s="206">
        <f>'Output - Jobs vs Yr (BAU)'!Y55</f>
        <v>8283.7505928112732</v>
      </c>
      <c r="Z177" s="206">
        <f>'Output - Jobs vs Yr (BAU)'!Z55</f>
        <v>8420.1093640377094</v>
      </c>
      <c r="AA177" s="206">
        <f>'Output - Jobs vs Yr (BAU)'!AA55</f>
        <v>8545.4390256419138</v>
      </c>
      <c r="AB177" s="206">
        <f>'Output - Jobs vs Yr (BAU)'!AB55</f>
        <v>8672.6474863965595</v>
      </c>
      <c r="AC177" s="206">
        <f>'Output - Jobs vs Yr (BAU)'!AC55</f>
        <v>8785.2853050684898</v>
      </c>
      <c r="AD177" s="206">
        <f>'Output - Jobs vs Yr (BAU)'!AD55</f>
        <v>8895.0049986151989</v>
      </c>
      <c r="AE177" s="206">
        <f>'Output - Jobs vs Yr (BAU)'!AE55</f>
        <v>8998.6730450541036</v>
      </c>
      <c r="AF177" s="206">
        <f>'Output - Jobs vs Yr (BAU)'!AF55</f>
        <v>9094.5136467950833</v>
      </c>
      <c r="AG177" s="206">
        <f>'Output - Jobs vs Yr (BAU)'!AG55</f>
        <v>9169.340728610754</v>
      </c>
      <c r="AH177" s="182">
        <f>'Output - Jobs vs Yr (BAU)'!AH55</f>
        <v>9255.3967375202556</v>
      </c>
      <c r="AI177" s="1"/>
    </row>
    <row r="178" spans="1:35">
      <c r="A178" s="76" t="s">
        <v>301</v>
      </c>
      <c r="C178" s="334">
        <f>'Output - Jobs vs Yr (BAU)'!C73</f>
        <v>4742.3143566000008</v>
      </c>
      <c r="D178" s="334">
        <f>'Output - Jobs vs Yr (BAU)'!D73</f>
        <v>4712.2210080000004</v>
      </c>
      <c r="E178" s="334">
        <f>'Output - Jobs vs Yr (BAU)'!E73</f>
        <v>5335.3653873454969</v>
      </c>
      <c r="F178" s="334">
        <f>'Output - Jobs vs Yr (BAU)'!F73</f>
        <v>5066.3203588891556</v>
      </c>
      <c r="G178" s="334">
        <f>'Output - Jobs vs Yr (BAU)'!G73</f>
        <v>5380.3903586558572</v>
      </c>
      <c r="H178" s="404">
        <f>'Output - Jobs vs Yr (BAU)'!H73</f>
        <v>5432.1131535004397</v>
      </c>
      <c r="I178" s="19">
        <f>'Output - Jobs vs Yr (BAU)'!I73</f>
        <v>5559.8752884084652</v>
      </c>
      <c r="J178" s="19">
        <f>'Output - Jobs vs Yr (BAU)'!J73</f>
        <v>5729.0823170180938</v>
      </c>
      <c r="K178" s="19">
        <f>'Output - Jobs vs Yr (BAU)'!K73</f>
        <v>5961.0411728397557</v>
      </c>
      <c r="L178" s="19">
        <f>'Output - Jobs vs Yr (BAU)'!L73</f>
        <v>6208.1589046964546</v>
      </c>
      <c r="M178" s="19">
        <f>'Output - Jobs vs Yr (BAU)'!M73</f>
        <v>6304.6177042478885</v>
      </c>
      <c r="N178" s="182">
        <f>'Output - Jobs vs Yr (BAU)'!N73</f>
        <v>6395.8046374720052</v>
      </c>
      <c r="O178" s="19">
        <f>'Output - Jobs vs Yr (BAU)'!O73</f>
        <v>6424.3059983201201</v>
      </c>
      <c r="P178" s="19">
        <f>'Output - Jobs vs Yr (BAU)'!P73</f>
        <v>6466.3453642892573</v>
      </c>
      <c r="Q178" s="19">
        <f>'Output - Jobs vs Yr (BAU)'!Q73</f>
        <v>6656.0311585346662</v>
      </c>
      <c r="R178" s="19">
        <f>'Output - Jobs vs Yr (BAU)'!R73</f>
        <v>6735.1331768246018</v>
      </c>
      <c r="S178" s="19">
        <f>'Output - Jobs vs Yr (BAU)'!S73</f>
        <v>6849.7523784146661</v>
      </c>
      <c r="T178" s="19">
        <f>'Output - Jobs vs Yr (BAU)'!T73</f>
        <v>6960.6202780121457</v>
      </c>
      <c r="U178" s="19">
        <f>'Output - Jobs vs Yr (BAU)'!U73</f>
        <v>7041.7732597863278</v>
      </c>
      <c r="V178" s="19">
        <f>'Output - Jobs vs Yr (BAU)'!V73</f>
        <v>7115.9742376456306</v>
      </c>
      <c r="W178" s="19">
        <f>'Output - Jobs vs Yr (BAU)'!W73</f>
        <v>7198.7213236734688</v>
      </c>
      <c r="X178" s="182">
        <f>'Output - Jobs vs Yr (BAU)'!X73</f>
        <v>7307.4847701328954</v>
      </c>
      <c r="Y178" s="206">
        <f>'Output - Jobs vs Yr (BAU)'!Y73</f>
        <v>7455.3755335301448</v>
      </c>
      <c r="Z178" s="206">
        <f>'Output - Jobs vs Yr (BAU)'!Z73</f>
        <v>7578.0984276339386</v>
      </c>
      <c r="AA178" s="206">
        <f>'Output - Jobs vs Yr (BAU)'!AA73</f>
        <v>7690.895123077722</v>
      </c>
      <c r="AB178" s="206">
        <f>'Output - Jobs vs Yr (BAU)'!AB73</f>
        <v>7805.3827377569032</v>
      </c>
      <c r="AC178" s="206">
        <f>'Output - Jobs vs Yr (BAU)'!AC73</f>
        <v>7906.7567745616407</v>
      </c>
      <c r="AD178" s="206">
        <f>'Output - Jobs vs Yr (BAU)'!AD73</f>
        <v>8005.5044987536776</v>
      </c>
      <c r="AE178" s="206">
        <f>'Output - Jobs vs Yr (BAU)'!AE73</f>
        <v>8098.8057405486907</v>
      </c>
      <c r="AF178" s="206">
        <f>'Output - Jobs vs Yr (BAU)'!AF73</f>
        <v>8185.062282115573</v>
      </c>
      <c r="AG178" s="206">
        <f>'Output - Jobs vs Yr (BAU)'!AG73</f>
        <v>8252.4066557496772</v>
      </c>
      <c r="AH178" s="182">
        <f>'Output - Jobs vs Yr (BAU)'!AH73</f>
        <v>8329.8570637682296</v>
      </c>
      <c r="AI178" s="80" t="s">
        <v>0</v>
      </c>
    </row>
    <row r="179" spans="1:35">
      <c r="A179" s="75" t="s">
        <v>298</v>
      </c>
      <c r="C179" s="331">
        <f>SUM(C118,C145)</f>
        <v>10010.6429852</v>
      </c>
      <c r="D179" s="331">
        <f t="shared" ref="D179:AH179" si="99">SUM(D118,D145)+D249+D252</f>
        <v>10000.671045306814</v>
      </c>
      <c r="E179" s="331">
        <f t="shared" si="99"/>
        <v>11310.392838294687</v>
      </c>
      <c r="F179" s="331">
        <f t="shared" si="99"/>
        <v>10729.47872418429</v>
      </c>
      <c r="G179" s="331">
        <f t="shared" si="99"/>
        <v>11455.45216573506</v>
      </c>
      <c r="H179" s="402">
        <f>SUM(H118,H145)+H249+H252</f>
        <v>11432.080377830061</v>
      </c>
      <c r="I179" s="14">
        <f t="shared" si="99"/>
        <v>11670.574164695518</v>
      </c>
      <c r="J179" s="14">
        <f t="shared" si="99"/>
        <v>12029.901448549546</v>
      </c>
      <c r="K179" s="14">
        <f t="shared" si="99"/>
        <v>12527.359401523248</v>
      </c>
      <c r="L179" s="14">
        <f t="shared" si="99"/>
        <v>13048.150036197478</v>
      </c>
      <c r="M179" s="14">
        <f t="shared" si="99"/>
        <v>13508.935880676167</v>
      </c>
      <c r="N179" s="187">
        <f t="shared" si="99"/>
        <v>14284.511733288633</v>
      </c>
      <c r="O179" s="14">
        <f t="shared" si="99"/>
        <v>14442.934466634151</v>
      </c>
      <c r="P179" s="14">
        <f t="shared" si="99"/>
        <v>14634.121503277112</v>
      </c>
      <c r="Q179" s="14">
        <f t="shared" si="99"/>
        <v>14960.647666139967</v>
      </c>
      <c r="R179" s="14">
        <f t="shared" si="99"/>
        <v>15116.004191226828</v>
      </c>
      <c r="S179" s="14">
        <f t="shared" si="99"/>
        <v>15322.878550197864</v>
      </c>
      <c r="T179" s="14">
        <f t="shared" si="99"/>
        <v>15564.100306199347</v>
      </c>
      <c r="U179" s="14">
        <f t="shared" si="99"/>
        <v>15744.748915530494</v>
      </c>
      <c r="V179" s="14">
        <f t="shared" si="99"/>
        <v>15901.150839259077</v>
      </c>
      <c r="W179" s="14">
        <f t="shared" si="99"/>
        <v>16090.316490491572</v>
      </c>
      <c r="X179" s="187">
        <f t="shared" si="99"/>
        <v>16292.476720526629</v>
      </c>
      <c r="Y179" s="158">
        <f t="shared" si="99"/>
        <v>16589.679772614876</v>
      </c>
      <c r="Z179" s="158">
        <f t="shared" si="99"/>
        <v>16856.581654317342</v>
      </c>
      <c r="AA179" s="158">
        <f t="shared" si="99"/>
        <v>17119.258822445896</v>
      </c>
      <c r="AB179" s="158">
        <f t="shared" si="99"/>
        <v>17385.965986334275</v>
      </c>
      <c r="AC179" s="158">
        <f t="shared" si="99"/>
        <v>17628.948845301311</v>
      </c>
      <c r="AD179" s="158">
        <f t="shared" si="99"/>
        <v>17876.836844692501</v>
      </c>
      <c r="AE179" s="158">
        <f t="shared" si="99"/>
        <v>18112.467276716852</v>
      </c>
      <c r="AF179" s="158">
        <f t="shared" si="99"/>
        <v>18336.871132782129</v>
      </c>
      <c r="AG179" s="158">
        <f t="shared" si="99"/>
        <v>18525.063257720129</v>
      </c>
      <c r="AH179" s="187">
        <f t="shared" si="99"/>
        <v>18742.912625147557</v>
      </c>
    </row>
    <row r="180" spans="1:35">
      <c r="A180" s="76" t="s">
        <v>302</v>
      </c>
      <c r="C180" s="331">
        <f>C118</f>
        <v>5268.7596080000003</v>
      </c>
      <c r="D180" s="331">
        <f t="shared" ref="D180:AH180" si="100">D118+D250+D253</f>
        <v>5263.511228513371</v>
      </c>
      <c r="E180" s="331">
        <f t="shared" si="100"/>
        <v>5952.8385198056822</v>
      </c>
      <c r="F180" s="331">
        <f t="shared" si="100"/>
        <v>5647.0942511112107</v>
      </c>
      <c r="G180" s="331">
        <f t="shared" si="100"/>
        <v>6029.1855599839391</v>
      </c>
      <c r="H180" s="402">
        <f t="shared" si="100"/>
        <v>6016.8845514895056</v>
      </c>
      <c r="I180" s="14">
        <f t="shared" si="100"/>
        <v>6142.4076091877614</v>
      </c>
      <c r="J180" s="14">
        <f t="shared" si="100"/>
        <v>6331.5272461140485</v>
      </c>
      <c r="K180" s="14">
        <f t="shared" si="100"/>
        <v>6593.3472371954686</v>
      </c>
      <c r="L180" s="14">
        <f t="shared" si="100"/>
        <v>6867.4475864213928</v>
      </c>
      <c r="M180" s="14">
        <f t="shared" si="100"/>
        <v>7109.9664657099083</v>
      </c>
      <c r="N180" s="187">
        <f t="shared" si="100"/>
        <v>7518.1642982592803</v>
      </c>
      <c r="O180" s="14">
        <f t="shared" si="100"/>
        <v>7601.5446945380145</v>
      </c>
      <c r="P180" s="14">
        <f t="shared" si="100"/>
        <v>7702.1694618977153</v>
      </c>
      <c r="Q180" s="14">
        <f t="shared" si="100"/>
        <v>7874.0253511020564</v>
      </c>
      <c r="R180" s="14">
        <f t="shared" si="100"/>
        <v>7955.7919547432102</v>
      </c>
      <c r="S180" s="14">
        <f t="shared" si="100"/>
        <v>8064.6732091534095</v>
      </c>
      <c r="T180" s="14">
        <f t="shared" si="100"/>
        <v>8191.6320420691409</v>
      </c>
      <c r="U180" s="14">
        <f t="shared" si="100"/>
        <v>8286.7102707813501</v>
      </c>
      <c r="V180" s="14">
        <f t="shared" si="100"/>
        <v>8369.0270859644916</v>
      </c>
      <c r="W180" s="14">
        <f t="shared" si="100"/>
        <v>8468.5879693706556</v>
      </c>
      <c r="X180" s="187">
        <f t="shared" si="100"/>
        <v>8574.9881055339356</v>
      </c>
      <c r="Y180" s="158">
        <f t="shared" si="100"/>
        <v>8731.4107803235438</v>
      </c>
      <c r="Z180" s="158">
        <f t="shared" si="100"/>
        <v>8871.8854704954683</v>
      </c>
      <c r="AA180" s="158">
        <f t="shared" si="100"/>
        <v>9010.1366275706168</v>
      </c>
      <c r="AB180" s="158">
        <f t="shared" si="100"/>
        <v>9150.5088356042561</v>
      </c>
      <c r="AC180" s="158">
        <f t="shared" si="100"/>
        <v>9278.3945672425798</v>
      </c>
      <c r="AD180" s="158">
        <f t="shared" si="100"/>
        <v>9408.8619523044363</v>
      </c>
      <c r="AE180" s="158">
        <f t="shared" si="100"/>
        <v>9532.8779862574083</v>
      </c>
      <c r="AF180" s="158">
        <f t="shared" si="100"/>
        <v>9650.9852961641427</v>
      </c>
      <c r="AG180" s="158">
        <f t="shared" si="100"/>
        <v>9750.0337996622839</v>
      </c>
      <c r="AH180" s="187">
        <f t="shared" si="100"/>
        <v>9864.6913793629756</v>
      </c>
    </row>
    <row r="181" spans="1:35">
      <c r="A181" s="76" t="s">
        <v>303</v>
      </c>
      <c r="C181" s="331">
        <f>C145</f>
        <v>4741.8833771999998</v>
      </c>
      <c r="D181" s="331">
        <f t="shared" ref="D181:AH181" si="101">D145+D251+D254</f>
        <v>4737.1598167934426</v>
      </c>
      <c r="E181" s="331">
        <f t="shared" si="101"/>
        <v>5357.5543184890057</v>
      </c>
      <c r="F181" s="331">
        <f t="shared" si="101"/>
        <v>5082.3844730730789</v>
      </c>
      <c r="G181" s="331">
        <f t="shared" si="101"/>
        <v>5426.2666057511206</v>
      </c>
      <c r="H181" s="402">
        <f>H145+H251+H254</f>
        <v>5415.195826340555</v>
      </c>
      <c r="I181" s="14">
        <f t="shared" si="101"/>
        <v>5528.166555507757</v>
      </c>
      <c r="J181" s="14">
        <f t="shared" si="101"/>
        <v>5698.3742024354988</v>
      </c>
      <c r="K181" s="14">
        <f t="shared" si="101"/>
        <v>5934.0121643277789</v>
      </c>
      <c r="L181" s="14">
        <f t="shared" si="101"/>
        <v>6180.7024497760849</v>
      </c>
      <c r="M181" s="14">
        <f t="shared" si="101"/>
        <v>6398.9694149662591</v>
      </c>
      <c r="N181" s="187">
        <f t="shared" si="101"/>
        <v>6766.3474350293536</v>
      </c>
      <c r="O181" s="14">
        <f t="shared" si="101"/>
        <v>6841.3897720961368</v>
      </c>
      <c r="P181" s="14">
        <f t="shared" si="101"/>
        <v>6931.9520413793971</v>
      </c>
      <c r="Q181" s="14">
        <f t="shared" si="101"/>
        <v>7086.6223150379101</v>
      </c>
      <c r="R181" s="14">
        <f t="shared" si="101"/>
        <v>7160.2122364836177</v>
      </c>
      <c r="S181" s="14">
        <f t="shared" si="101"/>
        <v>7258.2053410444532</v>
      </c>
      <c r="T181" s="14">
        <f t="shared" si="101"/>
        <v>7372.4682641302061</v>
      </c>
      <c r="U181" s="14">
        <f t="shared" si="101"/>
        <v>7458.0386447491437</v>
      </c>
      <c r="V181" s="14">
        <f t="shared" si="101"/>
        <v>7532.1237532945861</v>
      </c>
      <c r="W181" s="14">
        <f t="shared" si="101"/>
        <v>7621.7285211209164</v>
      </c>
      <c r="X181" s="187">
        <f t="shared" si="101"/>
        <v>7717.4886149926924</v>
      </c>
      <c r="Y181" s="158">
        <f t="shared" si="101"/>
        <v>7858.2689922913314</v>
      </c>
      <c r="Z181" s="158">
        <f t="shared" si="101"/>
        <v>7984.6961838218722</v>
      </c>
      <c r="AA181" s="158">
        <f t="shared" si="101"/>
        <v>8109.1221948752773</v>
      </c>
      <c r="AB181" s="158">
        <f t="shared" si="101"/>
        <v>8235.4571507300188</v>
      </c>
      <c r="AC181" s="158">
        <f t="shared" si="101"/>
        <v>8350.5542780587293</v>
      </c>
      <c r="AD181" s="158">
        <f t="shared" si="101"/>
        <v>8467.9748923880652</v>
      </c>
      <c r="AE181" s="158">
        <f t="shared" si="101"/>
        <v>8579.5892904594457</v>
      </c>
      <c r="AF181" s="158">
        <f t="shared" si="101"/>
        <v>8685.8858366179884</v>
      </c>
      <c r="AG181" s="158">
        <f t="shared" si="101"/>
        <v>8775.0294580578447</v>
      </c>
      <c r="AH181" s="187">
        <f t="shared" si="101"/>
        <v>8878.2212457845817</v>
      </c>
      <c r="AI181" s="31" t="s">
        <v>0</v>
      </c>
    </row>
    <row r="182" spans="1:35" s="1" customFormat="1">
      <c r="A182" s="75" t="s">
        <v>304</v>
      </c>
      <c r="B182" s="13"/>
      <c r="C182" s="341" t="s">
        <v>0</v>
      </c>
      <c r="D182" s="341">
        <f t="shared" ref="D182:AH182" si="102">D179-D176</f>
        <v>52.648917306813019</v>
      </c>
      <c r="E182" s="341">
        <f t="shared" si="102"/>
        <v>46.843687231972581</v>
      </c>
      <c r="F182" s="341">
        <f t="shared" si="102"/>
        <v>33.913522084960277</v>
      </c>
      <c r="G182" s="341">
        <f t="shared" si="102"/>
        <v>96.850297461583978</v>
      </c>
      <c r="H182" s="405">
        <f>H179-H176</f>
        <v>-35.714057337532722</v>
      </c>
      <c r="I182" s="15">
        <f t="shared" si="102"/>
        <v>-66.940333055685187</v>
      </c>
      <c r="J182" s="15">
        <f t="shared" si="102"/>
        <v>-64.827887377541629</v>
      </c>
      <c r="K182" s="15">
        <f t="shared" si="102"/>
        <v>-57.060852249567688</v>
      </c>
      <c r="L182" s="15">
        <f t="shared" si="102"/>
        <v>-57.963207050594065</v>
      </c>
      <c r="M182" s="15">
        <f t="shared" si="102"/>
        <v>199.18739393062424</v>
      </c>
      <c r="N182" s="190">
        <f t="shared" si="102"/>
        <v>782.25749862551129</v>
      </c>
      <c r="O182" s="15">
        <f t="shared" si="102"/>
        <v>880.51069240278775</v>
      </c>
      <c r="P182" s="15">
        <f t="shared" si="102"/>
        <v>982.94795644423539</v>
      </c>
      <c r="Q182" s="15">
        <f t="shared" si="102"/>
        <v>909.02633145567052</v>
      </c>
      <c r="R182" s="15">
        <f t="shared" si="102"/>
        <v>897.38970681933461</v>
      </c>
      <c r="S182" s="15">
        <f t="shared" si="102"/>
        <v>862.29019576690189</v>
      </c>
      <c r="T182" s="15">
        <f t="shared" si="102"/>
        <v>869.45749706259448</v>
      </c>
      <c r="U182" s="15">
        <f t="shared" si="102"/>
        <v>878.78314487046919</v>
      </c>
      <c r="V182" s="15">
        <f t="shared" si="102"/>
        <v>878.53855978496722</v>
      </c>
      <c r="W182" s="15">
        <f t="shared" si="102"/>
        <v>893.0159182920288</v>
      </c>
      <c r="X182" s="190">
        <f t="shared" si="102"/>
        <v>865.56442802384845</v>
      </c>
      <c r="Y182" s="130">
        <f t="shared" si="102"/>
        <v>850.55364627345807</v>
      </c>
      <c r="Z182" s="130">
        <f t="shared" si="102"/>
        <v>858.37386264569432</v>
      </c>
      <c r="AA182" s="130">
        <f t="shared" si="102"/>
        <v>882.92467372626015</v>
      </c>
      <c r="AB182" s="130">
        <f t="shared" si="102"/>
        <v>907.93576218081216</v>
      </c>
      <c r="AC182" s="130">
        <f t="shared" si="102"/>
        <v>936.90676567118135</v>
      </c>
      <c r="AD182" s="130">
        <f t="shared" si="102"/>
        <v>976.32734732362587</v>
      </c>
      <c r="AE182" s="130">
        <f t="shared" si="102"/>
        <v>1014.988491114058</v>
      </c>
      <c r="AF182" s="130">
        <f t="shared" si="102"/>
        <v>1057.295203871472</v>
      </c>
      <c r="AG182" s="130">
        <f t="shared" si="102"/>
        <v>1103.3158733596974</v>
      </c>
      <c r="AH182" s="190">
        <f t="shared" si="102"/>
        <v>1157.6588238590739</v>
      </c>
    </row>
    <row r="183" spans="1:35" s="20" customFormat="1">
      <c r="A183" s="20" t="s">
        <v>305</v>
      </c>
      <c r="B183" s="33"/>
      <c r="C183" s="334" t="s">
        <v>0</v>
      </c>
      <c r="D183" s="334">
        <f t="shared" ref="D183:AH183" si="103">D180-D177</f>
        <v>27.710108513370869</v>
      </c>
      <c r="E183" s="334">
        <f t="shared" si="103"/>
        <v>24.654756088463728</v>
      </c>
      <c r="F183" s="334">
        <f t="shared" si="103"/>
        <v>17.849407901037921</v>
      </c>
      <c r="G183" s="334">
        <f t="shared" si="103"/>
        <v>50.974050366321535</v>
      </c>
      <c r="H183" s="404">
        <f>H180-H177</f>
        <v>-18.796730177648897</v>
      </c>
      <c r="I183" s="19">
        <f t="shared" si="103"/>
        <v>-35.231600154976149</v>
      </c>
      <c r="J183" s="19">
        <f t="shared" si="103"/>
        <v>-34.119772794944765</v>
      </c>
      <c r="K183" s="19">
        <f t="shared" si="103"/>
        <v>-30.031843737592681</v>
      </c>
      <c r="L183" s="19">
        <f t="shared" si="103"/>
        <v>-30.506752130224413</v>
      </c>
      <c r="M183" s="19">
        <f t="shared" si="103"/>
        <v>104.83568321225448</v>
      </c>
      <c r="N183" s="182">
        <f t="shared" si="103"/>
        <v>411.71470106816378</v>
      </c>
      <c r="O183" s="19">
        <f t="shared" si="103"/>
        <v>463.42691862677111</v>
      </c>
      <c r="P183" s="19">
        <f t="shared" si="103"/>
        <v>517.3412793540956</v>
      </c>
      <c r="Q183" s="19">
        <f t="shared" si="103"/>
        <v>478.43517495242668</v>
      </c>
      <c r="R183" s="19">
        <f t="shared" si="103"/>
        <v>472.31064716031869</v>
      </c>
      <c r="S183" s="19">
        <f t="shared" si="103"/>
        <v>453.83723313711289</v>
      </c>
      <c r="T183" s="19">
        <f t="shared" si="103"/>
        <v>457.60951094453503</v>
      </c>
      <c r="U183" s="19">
        <f t="shared" si="103"/>
        <v>462.51775990765327</v>
      </c>
      <c r="V183" s="19">
        <f t="shared" si="103"/>
        <v>462.38904413601358</v>
      </c>
      <c r="W183" s="19">
        <f t="shared" si="103"/>
        <v>470.00872084458024</v>
      </c>
      <c r="X183" s="182">
        <f t="shared" si="103"/>
        <v>455.5605831640496</v>
      </c>
      <c r="Y183" s="206">
        <f t="shared" si="103"/>
        <v>447.66018751227057</v>
      </c>
      <c r="Z183" s="206">
        <f t="shared" si="103"/>
        <v>451.77610645775894</v>
      </c>
      <c r="AA183" s="206">
        <f t="shared" si="103"/>
        <v>464.69760192870308</v>
      </c>
      <c r="AB183" s="206">
        <f t="shared" si="103"/>
        <v>477.86134920769655</v>
      </c>
      <c r="AC183" s="206">
        <f t="shared" si="103"/>
        <v>493.10926217408996</v>
      </c>
      <c r="AD183" s="206">
        <f t="shared" si="103"/>
        <v>513.85695368923734</v>
      </c>
      <c r="AE183" s="206">
        <f t="shared" si="103"/>
        <v>534.20494120330477</v>
      </c>
      <c r="AF183" s="206">
        <f t="shared" si="103"/>
        <v>556.47164936905938</v>
      </c>
      <c r="AG183" s="206">
        <f t="shared" si="103"/>
        <v>580.69307105152984</v>
      </c>
      <c r="AH183" s="182">
        <f t="shared" si="103"/>
        <v>609.29464184272001</v>
      </c>
    </row>
    <row r="184" spans="1:35" s="20" customFormat="1">
      <c r="A184" s="20" t="s">
        <v>306</v>
      </c>
      <c r="B184" s="33"/>
      <c r="C184" s="334" t="s">
        <v>0</v>
      </c>
      <c r="D184" s="334">
        <f t="shared" ref="D184:AH184" si="104">D181-D178</f>
        <v>24.938808793442149</v>
      </c>
      <c r="E184" s="334">
        <f t="shared" si="104"/>
        <v>22.188931143508853</v>
      </c>
      <c r="F184" s="334">
        <f t="shared" si="104"/>
        <v>16.064114183923266</v>
      </c>
      <c r="G184" s="334">
        <f t="shared" si="104"/>
        <v>45.876247095263352</v>
      </c>
      <c r="H184" s="404">
        <f t="shared" si="104"/>
        <v>-16.917327159884735</v>
      </c>
      <c r="I184" s="19">
        <f t="shared" si="104"/>
        <v>-31.708732900708128</v>
      </c>
      <c r="J184" s="19">
        <f t="shared" si="104"/>
        <v>-30.708114582595044</v>
      </c>
      <c r="K184" s="19">
        <f t="shared" si="104"/>
        <v>-27.029008511976826</v>
      </c>
      <c r="L184" s="19">
        <f t="shared" si="104"/>
        <v>-27.456454920369652</v>
      </c>
      <c r="M184" s="19">
        <f t="shared" si="104"/>
        <v>94.351710718370668</v>
      </c>
      <c r="N184" s="182">
        <f t="shared" si="104"/>
        <v>370.54279755734842</v>
      </c>
      <c r="O184" s="19">
        <f t="shared" si="104"/>
        <v>417.08377377601664</v>
      </c>
      <c r="P184" s="19">
        <f t="shared" si="104"/>
        <v>465.60667709013978</v>
      </c>
      <c r="Q184" s="19">
        <f t="shared" si="104"/>
        <v>430.59115650324384</v>
      </c>
      <c r="R184" s="19">
        <f t="shared" si="104"/>
        <v>425.07905965901591</v>
      </c>
      <c r="S184" s="19">
        <f t="shared" si="104"/>
        <v>408.45296262978718</v>
      </c>
      <c r="T184" s="19">
        <f t="shared" si="104"/>
        <v>411.84798611806036</v>
      </c>
      <c r="U184" s="19">
        <f t="shared" si="104"/>
        <v>416.26538496281592</v>
      </c>
      <c r="V184" s="19">
        <f t="shared" si="104"/>
        <v>416.14951564895546</v>
      </c>
      <c r="W184" s="19">
        <f t="shared" si="104"/>
        <v>423.00719744744765</v>
      </c>
      <c r="X184" s="182">
        <f t="shared" si="104"/>
        <v>410.00384485979703</v>
      </c>
      <c r="Y184" s="206">
        <f t="shared" si="104"/>
        <v>402.89345876118659</v>
      </c>
      <c r="Z184" s="206">
        <f t="shared" si="104"/>
        <v>406.59775618793356</v>
      </c>
      <c r="AA184" s="206">
        <f t="shared" si="104"/>
        <v>418.22707179755525</v>
      </c>
      <c r="AB184" s="206">
        <f t="shared" si="104"/>
        <v>430.07441297311561</v>
      </c>
      <c r="AC184" s="206">
        <f t="shared" si="104"/>
        <v>443.79750349708866</v>
      </c>
      <c r="AD184" s="206">
        <f t="shared" si="104"/>
        <v>462.47039363438762</v>
      </c>
      <c r="AE184" s="206">
        <f t="shared" si="104"/>
        <v>480.78354991075503</v>
      </c>
      <c r="AF184" s="206">
        <f t="shared" si="104"/>
        <v>500.82355450241539</v>
      </c>
      <c r="AG184" s="206">
        <f t="shared" si="104"/>
        <v>522.62280230816759</v>
      </c>
      <c r="AH184" s="182">
        <f t="shared" si="104"/>
        <v>548.36418201635206</v>
      </c>
    </row>
    <row r="185" spans="1:35" s="1" customFormat="1">
      <c r="A185" s="1" t="s">
        <v>449</v>
      </c>
      <c r="B185" s="13"/>
      <c r="C185" s="341"/>
      <c r="D185" s="341">
        <f>D182</f>
        <v>52.648917306813019</v>
      </c>
      <c r="E185" s="341">
        <f>D185+E182</f>
        <v>99.492604538785599</v>
      </c>
      <c r="F185" s="341">
        <f t="shared" ref="E185:N187" si="105">E185+F182</f>
        <v>133.40612662374588</v>
      </c>
      <c r="G185" s="341">
        <f t="shared" si="105"/>
        <v>230.25642408532985</v>
      </c>
      <c r="H185" s="405">
        <f>+H182</f>
        <v>-35.714057337532722</v>
      </c>
      <c r="I185" s="15">
        <f t="shared" si="105"/>
        <v>-102.65439039321791</v>
      </c>
      <c r="J185" s="15">
        <f t="shared" si="105"/>
        <v>-167.48227777075954</v>
      </c>
      <c r="K185" s="15">
        <f t="shared" si="105"/>
        <v>-224.54313002032723</v>
      </c>
      <c r="L185" s="15">
        <f t="shared" si="105"/>
        <v>-282.50633707092129</v>
      </c>
      <c r="M185" s="15">
        <f t="shared" si="105"/>
        <v>-83.318943140297051</v>
      </c>
      <c r="N185" s="15">
        <f t="shared" si="105"/>
        <v>698.93855548521424</v>
      </c>
      <c r="O185" s="15">
        <f t="shared" ref="O185:X185" si="106">N185+O182</f>
        <v>1579.449247888002</v>
      </c>
      <c r="P185" s="15">
        <f t="shared" si="106"/>
        <v>2562.3972043322374</v>
      </c>
      <c r="Q185" s="15">
        <f t="shared" si="106"/>
        <v>3471.4235357879079</v>
      </c>
      <c r="R185" s="15">
        <f t="shared" si="106"/>
        <v>4368.8132426072425</v>
      </c>
      <c r="S185" s="130">
        <f t="shared" si="106"/>
        <v>5231.1034383741444</v>
      </c>
      <c r="T185" s="15">
        <f t="shared" si="106"/>
        <v>6100.5609354367389</v>
      </c>
      <c r="U185" s="15">
        <f t="shared" si="106"/>
        <v>6979.3440803072081</v>
      </c>
      <c r="V185" s="15">
        <f t="shared" si="106"/>
        <v>7857.8826400921753</v>
      </c>
      <c r="W185" s="15">
        <f t="shared" si="106"/>
        <v>8750.8985583842041</v>
      </c>
      <c r="X185" s="190">
        <f t="shared" si="106"/>
        <v>9616.4629864080525</v>
      </c>
      <c r="Y185" s="130">
        <f t="shared" ref="Y185:AH185" si="107">X185+Y182</f>
        <v>10467.016632681511</v>
      </c>
      <c r="Z185" s="130">
        <f t="shared" si="107"/>
        <v>11325.390495327205</v>
      </c>
      <c r="AA185" s="130">
        <f t="shared" si="107"/>
        <v>12208.315169053465</v>
      </c>
      <c r="AB185" s="130">
        <f t="shared" si="107"/>
        <v>13116.250931234277</v>
      </c>
      <c r="AC185" s="130">
        <f t="shared" si="107"/>
        <v>14053.157696905459</v>
      </c>
      <c r="AD185" s="130">
        <f t="shared" si="107"/>
        <v>15029.485044229084</v>
      </c>
      <c r="AE185" s="130">
        <f t="shared" si="107"/>
        <v>16044.473535343142</v>
      </c>
      <c r="AF185" s="130">
        <f t="shared" si="107"/>
        <v>17101.768739214614</v>
      </c>
      <c r="AG185" s="130">
        <f t="shared" si="107"/>
        <v>18205.084612574312</v>
      </c>
      <c r="AH185" s="190">
        <f t="shared" si="107"/>
        <v>19362.743436433386</v>
      </c>
    </row>
    <row r="186" spans="1:35" s="20" customFormat="1">
      <c r="A186" s="20" t="s">
        <v>450</v>
      </c>
      <c r="B186" s="33"/>
      <c r="C186" s="334"/>
      <c r="D186" s="334">
        <f>D183</f>
        <v>27.710108513370869</v>
      </c>
      <c r="E186" s="334">
        <f t="shared" si="105"/>
        <v>52.364864601834597</v>
      </c>
      <c r="F186" s="334">
        <f t="shared" si="105"/>
        <v>70.214272502872518</v>
      </c>
      <c r="G186" s="334">
        <f t="shared" si="105"/>
        <v>121.18832286919405</v>
      </c>
      <c r="H186" s="404">
        <f t="shared" si="105"/>
        <v>102.39159269154516</v>
      </c>
      <c r="I186" s="19">
        <f t="shared" ref="I186:X186" si="108">H186+I183</f>
        <v>67.159992536569007</v>
      </c>
      <c r="J186" s="19">
        <f t="shared" si="108"/>
        <v>33.040219741624242</v>
      </c>
      <c r="K186" s="19">
        <f t="shared" si="108"/>
        <v>3.008376004031561</v>
      </c>
      <c r="L186" s="19">
        <f t="shared" si="108"/>
        <v>-27.498376126192852</v>
      </c>
      <c r="M186" s="19">
        <f t="shared" si="108"/>
        <v>77.337307086061628</v>
      </c>
      <c r="N186" s="182">
        <f t="shared" si="108"/>
        <v>489.0520081542254</v>
      </c>
      <c r="O186" s="19">
        <f t="shared" si="108"/>
        <v>952.47892678099652</v>
      </c>
      <c r="P186" s="19">
        <f t="shared" si="108"/>
        <v>1469.8202061350921</v>
      </c>
      <c r="Q186" s="19">
        <f t="shared" si="108"/>
        <v>1948.2553810875188</v>
      </c>
      <c r="R186" s="19">
        <f t="shared" si="108"/>
        <v>2420.5660282478375</v>
      </c>
      <c r="S186" s="206">
        <f t="shared" si="108"/>
        <v>2874.4032613849504</v>
      </c>
      <c r="T186" s="19">
        <f t="shared" si="108"/>
        <v>3332.0127723294854</v>
      </c>
      <c r="U186" s="19">
        <f t="shared" si="108"/>
        <v>3794.5305322371387</v>
      </c>
      <c r="V186" s="19">
        <f t="shared" si="108"/>
        <v>4256.9195763731523</v>
      </c>
      <c r="W186" s="19">
        <f t="shared" si="108"/>
        <v>4726.9282972177325</v>
      </c>
      <c r="X186" s="182">
        <f t="shared" si="108"/>
        <v>5182.4888803817821</v>
      </c>
      <c r="Y186" s="206">
        <f t="shared" ref="Y186:AH186" si="109">X186+Y183</f>
        <v>5630.1490678940527</v>
      </c>
      <c r="Z186" s="206">
        <f t="shared" si="109"/>
        <v>6081.9251743518116</v>
      </c>
      <c r="AA186" s="206">
        <f t="shared" si="109"/>
        <v>6546.6227762805147</v>
      </c>
      <c r="AB186" s="206">
        <f t="shared" si="109"/>
        <v>7024.4841254882112</v>
      </c>
      <c r="AC186" s="206">
        <f t="shared" si="109"/>
        <v>7517.5933876623012</v>
      </c>
      <c r="AD186" s="206">
        <f t="shared" si="109"/>
        <v>8031.4503413515386</v>
      </c>
      <c r="AE186" s="206">
        <f t="shared" si="109"/>
        <v>8565.6552825548424</v>
      </c>
      <c r="AF186" s="206">
        <f t="shared" si="109"/>
        <v>9122.1269319239018</v>
      </c>
      <c r="AG186" s="206">
        <f t="shared" si="109"/>
        <v>9702.8200029754316</v>
      </c>
      <c r="AH186" s="182">
        <f t="shared" si="109"/>
        <v>10312.114644818152</v>
      </c>
    </row>
    <row r="187" spans="1:35" s="20" customFormat="1">
      <c r="A187" s="20" t="s">
        <v>451</v>
      </c>
      <c r="B187" s="33"/>
      <c r="C187" s="334"/>
      <c r="D187" s="334">
        <f>D184</f>
        <v>24.938808793442149</v>
      </c>
      <c r="E187" s="334">
        <f t="shared" si="105"/>
        <v>47.127739936951002</v>
      </c>
      <c r="F187" s="334">
        <f t="shared" si="105"/>
        <v>63.191854120874268</v>
      </c>
      <c r="G187" s="334">
        <f t="shared" si="105"/>
        <v>109.06810121613762</v>
      </c>
      <c r="H187" s="404">
        <f t="shared" si="105"/>
        <v>92.150774056252885</v>
      </c>
      <c r="I187" s="19">
        <f t="shared" ref="I187:X187" si="110">H187+I184</f>
        <v>60.442041155544757</v>
      </c>
      <c r="J187" s="19">
        <f t="shared" si="110"/>
        <v>29.733926572949713</v>
      </c>
      <c r="K187" s="19">
        <f t="shared" si="110"/>
        <v>2.7049180609728865</v>
      </c>
      <c r="L187" s="19">
        <f t="shared" si="110"/>
        <v>-24.751536859396765</v>
      </c>
      <c r="M187" s="19">
        <f t="shared" si="110"/>
        <v>69.600173858973903</v>
      </c>
      <c r="N187" s="182">
        <f t="shared" si="110"/>
        <v>440.14297141632233</v>
      </c>
      <c r="O187" s="19">
        <f t="shared" si="110"/>
        <v>857.22674519233897</v>
      </c>
      <c r="P187" s="19">
        <f t="shared" si="110"/>
        <v>1322.8334222824788</v>
      </c>
      <c r="Q187" s="19">
        <f t="shared" si="110"/>
        <v>1753.4245787857226</v>
      </c>
      <c r="R187" s="19">
        <f t="shared" si="110"/>
        <v>2178.5036384447385</v>
      </c>
      <c r="S187" s="206">
        <f t="shared" si="110"/>
        <v>2586.9566010745257</v>
      </c>
      <c r="T187" s="19">
        <f t="shared" si="110"/>
        <v>2998.804587192586</v>
      </c>
      <c r="U187" s="19">
        <f t="shared" si="110"/>
        <v>3415.069972155402</v>
      </c>
      <c r="V187" s="19">
        <f t="shared" si="110"/>
        <v>3831.2194878043574</v>
      </c>
      <c r="W187" s="19">
        <f t="shared" si="110"/>
        <v>4254.2266852518051</v>
      </c>
      <c r="X187" s="182">
        <f t="shared" si="110"/>
        <v>4664.2305301116021</v>
      </c>
      <c r="Y187" s="206">
        <f t="shared" ref="Y187:AH187" si="111">X187+Y184</f>
        <v>5067.1239888727887</v>
      </c>
      <c r="Z187" s="206">
        <f t="shared" si="111"/>
        <v>5473.7217450607222</v>
      </c>
      <c r="AA187" s="206">
        <f t="shared" si="111"/>
        <v>5891.9488168582775</v>
      </c>
      <c r="AB187" s="206">
        <f t="shared" si="111"/>
        <v>6322.0232298313931</v>
      </c>
      <c r="AC187" s="206">
        <f t="shared" si="111"/>
        <v>6765.8207333284818</v>
      </c>
      <c r="AD187" s="206">
        <f t="shared" si="111"/>
        <v>7228.2911269628694</v>
      </c>
      <c r="AE187" s="206">
        <f t="shared" si="111"/>
        <v>7709.0746768736244</v>
      </c>
      <c r="AF187" s="206">
        <f t="shared" si="111"/>
        <v>8209.8982313760389</v>
      </c>
      <c r="AG187" s="206">
        <f t="shared" si="111"/>
        <v>8732.5210336842065</v>
      </c>
      <c r="AH187" s="182">
        <f t="shared" si="111"/>
        <v>9280.8852157005585</v>
      </c>
    </row>
    <row r="188" spans="1:35" s="519" customFormat="1">
      <c r="A188" s="519" t="s">
        <v>549</v>
      </c>
      <c r="B188" s="520"/>
      <c r="C188"/>
      <c r="D188"/>
      <c r="E188"/>
      <c r="F188"/>
      <c r="G188"/>
      <c r="H188"/>
      <c r="I188"/>
      <c r="J188"/>
      <c r="K188"/>
      <c r="L188"/>
      <c r="M188"/>
      <c r="N188"/>
      <c r="O188"/>
      <c r="P188"/>
      <c r="Q188"/>
      <c r="R188"/>
      <c r="S188"/>
      <c r="T188"/>
      <c r="U188"/>
      <c r="V188"/>
      <c r="W188"/>
      <c r="X188"/>
      <c r="Y188"/>
      <c r="Z188"/>
      <c r="AA188" s="522"/>
      <c r="AB188" s="522"/>
      <c r="AC188" s="522"/>
      <c r="AD188" s="522"/>
      <c r="AE188" s="522"/>
      <c r="AF188" s="522"/>
      <c r="AG188" s="522"/>
      <c r="AH188" s="521"/>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411</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405</v>
      </c>
      <c r="I191" s="112"/>
      <c r="J191" s="112"/>
      <c r="K191" s="112"/>
      <c r="L191" s="112"/>
      <c r="M191" s="131"/>
      <c r="N191" s="192"/>
      <c r="O191" s="131"/>
      <c r="P191" s="112"/>
      <c r="Q191" s="112"/>
      <c r="R191" s="131"/>
      <c r="S191" s="131"/>
      <c r="T191" s="131"/>
      <c r="U191" s="131"/>
      <c r="V191" s="112"/>
      <c r="W191" s="112"/>
    </row>
    <row r="192" spans="1:35">
      <c r="A192" t="s">
        <v>406</v>
      </c>
      <c r="I192" s="112"/>
      <c r="J192" s="112"/>
      <c r="K192" s="112"/>
      <c r="L192" s="112"/>
      <c r="M192" s="131"/>
      <c r="N192" s="192"/>
      <c r="O192" s="131"/>
      <c r="P192" s="112"/>
      <c r="Q192" s="112"/>
      <c r="R192" s="131"/>
      <c r="S192" s="131"/>
      <c r="T192" s="131"/>
      <c r="U192" s="131"/>
      <c r="V192" s="112"/>
      <c r="W192" s="112"/>
    </row>
    <row r="193" spans="1:34">
      <c r="A193" t="s">
        <v>407</v>
      </c>
      <c r="I193" s="112"/>
      <c r="J193" s="112"/>
      <c r="K193" s="112"/>
      <c r="L193" s="112"/>
      <c r="M193" s="131"/>
      <c r="N193" s="192"/>
      <c r="O193" s="131"/>
      <c r="P193" s="112"/>
      <c r="Q193" s="112"/>
      <c r="R193" s="131"/>
      <c r="S193" s="131"/>
      <c r="T193" s="131"/>
      <c r="U193" s="131"/>
      <c r="V193" s="112"/>
      <c r="W193" s="112"/>
    </row>
    <row r="194" spans="1:34">
      <c r="A194" t="s">
        <v>387</v>
      </c>
      <c r="C194" s="331">
        <f>SUM(C195:C196)</f>
        <v>183.52038060000001</v>
      </c>
      <c r="D194" s="331">
        <f t="shared" ref="D194:AH194" si="112">SUM(D195:D196)</f>
        <v>198.440978</v>
      </c>
      <c r="E194" s="331">
        <f t="shared" si="112"/>
        <v>278.10436312496745</v>
      </c>
      <c r="F194" s="331">
        <f t="shared" si="112"/>
        <v>323.46970129788235</v>
      </c>
      <c r="G194" s="331">
        <f t="shared" si="112"/>
        <v>481.21005977595087</v>
      </c>
      <c r="H194" s="402">
        <f t="shared" si="112"/>
        <v>567.19183302774036</v>
      </c>
      <c r="I194" s="14">
        <f t="shared" si="112"/>
        <v>697.29381009532506</v>
      </c>
      <c r="J194" s="14">
        <f t="shared" si="112"/>
        <v>901.42907246138634</v>
      </c>
      <c r="K194" s="14">
        <f t="shared" si="112"/>
        <v>1248.5442304447092</v>
      </c>
      <c r="L194" s="14">
        <f t="shared" si="112"/>
        <v>1808.709688961344</v>
      </c>
      <c r="M194" s="14">
        <f t="shared" si="112"/>
        <v>2077.0150117303829</v>
      </c>
      <c r="N194" s="187">
        <f t="shared" si="112"/>
        <v>2313.8959004789044</v>
      </c>
      <c r="O194" s="14">
        <f t="shared" si="112"/>
        <v>2346.4228672679328</v>
      </c>
      <c r="P194" s="14">
        <f t="shared" si="112"/>
        <v>2400.2609387833782</v>
      </c>
      <c r="Q194" s="14">
        <f t="shared" si="112"/>
        <v>2713.9488142105665</v>
      </c>
      <c r="R194" s="14">
        <f t="shared" si="112"/>
        <v>2863.3446342827247</v>
      </c>
      <c r="S194" s="15">
        <f t="shared" si="112"/>
        <v>3093.4513734679422</v>
      </c>
      <c r="T194" s="14">
        <f t="shared" si="112"/>
        <v>3260.2857236355958</v>
      </c>
      <c r="U194" s="14">
        <f t="shared" si="112"/>
        <v>3404.7955112779855</v>
      </c>
      <c r="V194" s="14">
        <f t="shared" si="112"/>
        <v>3564.3982597228655</v>
      </c>
      <c r="W194" s="14">
        <f t="shared" si="112"/>
        <v>3722.8560664663819</v>
      </c>
      <c r="X194" s="187">
        <f t="shared" si="112"/>
        <v>3984.347459885952</v>
      </c>
      <c r="Y194" s="158">
        <f t="shared" si="112"/>
        <v>4224.6779929339555</v>
      </c>
      <c r="Z194" s="158">
        <f t="shared" si="112"/>
        <v>4412.4030409346142</v>
      </c>
      <c r="AA194" s="158">
        <f t="shared" si="112"/>
        <v>4578.6754235270892</v>
      </c>
      <c r="AB194" s="158">
        <f t="shared" si="112"/>
        <v>4749.0948539018646</v>
      </c>
      <c r="AC194" s="158">
        <f t="shared" si="112"/>
        <v>4908.0091991807412</v>
      </c>
      <c r="AD194" s="158">
        <f t="shared" si="112"/>
        <v>5062.1354209449837</v>
      </c>
      <c r="AE194" s="158">
        <f t="shared" si="112"/>
        <v>5225.0219561348704</v>
      </c>
      <c r="AF194" s="158">
        <f t="shared" si="112"/>
        <v>5384.8110251085873</v>
      </c>
      <c r="AG194" s="158">
        <f t="shared" si="112"/>
        <v>5527.9701228903614</v>
      </c>
      <c r="AH194" s="187">
        <f t="shared" si="112"/>
        <v>5680.1091885725964</v>
      </c>
    </row>
    <row r="195" spans="1:34">
      <c r="A195" t="s">
        <v>388</v>
      </c>
      <c r="C195" s="330">
        <f>'Output - Jobs vs Yr (BAU)'!C51</f>
        <v>96.589674000000016</v>
      </c>
      <c r="D195" s="330">
        <f>'Output - Jobs vs Yr (BAU)'!D51</f>
        <v>104.44261999999999</v>
      </c>
      <c r="E195" s="330">
        <f>'Output - Jobs vs Yr (BAU)'!E51</f>
        <v>146.37071743419338</v>
      </c>
      <c r="F195" s="330">
        <f>'Output - Jobs vs Yr (BAU)'!F51</f>
        <v>170.24721120941177</v>
      </c>
      <c r="G195" s="330">
        <f>'Output - Jobs vs Yr (BAU)'!G51</f>
        <v>253.26845251365836</v>
      </c>
      <c r="H195" s="286">
        <f>'Output - Jobs vs Yr (BAU)'!H51</f>
        <v>298.52201738302125</v>
      </c>
      <c r="I195" s="118">
        <f>'Output - Jobs vs Yr (BAU)'!I51</f>
        <v>366.99674215543422</v>
      </c>
      <c r="J195" s="118">
        <f>'Output - Jobs vs Yr (BAU)'!J51</f>
        <v>474.43635392704539</v>
      </c>
      <c r="K195" s="118">
        <f>'Output - Jobs vs Yr (BAU)'!K51</f>
        <v>657.12854233932069</v>
      </c>
      <c r="L195" s="118">
        <f>'Output - Jobs vs Yr (BAU)'!L51</f>
        <v>951.95246787439146</v>
      </c>
      <c r="M195" s="118">
        <f>'Output - Jobs vs Yr (BAU)'!M51</f>
        <v>1093.1657956475699</v>
      </c>
      <c r="N195" s="177">
        <f>'Output - Jobs vs Yr (BAU)'!N51</f>
        <v>1217.8399476204761</v>
      </c>
      <c r="O195" s="118">
        <f>'Output - Jobs vs Yr (BAU)'!O51</f>
        <v>1234.9594038252276</v>
      </c>
      <c r="P195" s="118">
        <f>'Output - Jobs vs Yr (BAU)'!P51</f>
        <v>1263.2952309386201</v>
      </c>
      <c r="Q195" s="118">
        <f>'Output - Jobs vs Yr (BAU)'!Q51</f>
        <v>1428.3941127424036</v>
      </c>
      <c r="R195" s="118">
        <f>'Output - Jobs vs Yr (BAU)'!R51</f>
        <v>1507.0234917277501</v>
      </c>
      <c r="S195" s="118">
        <f>'Output - Jobs vs Yr (BAU)'!S51</f>
        <v>1628.1323018252326</v>
      </c>
      <c r="T195" s="118">
        <f>'Output - Jobs vs Yr (BAU)'!T51</f>
        <v>1715.9398545450504</v>
      </c>
      <c r="U195" s="118">
        <f>'Output - Jobs vs Yr (BAU)'!U51</f>
        <v>1791.9976375147291</v>
      </c>
      <c r="V195" s="118">
        <f>'Output - Jobs vs Yr (BAU)'!V51</f>
        <v>1875.999084064666</v>
      </c>
      <c r="W195" s="118">
        <f>'Output - Jobs vs Yr (BAU)'!W51</f>
        <v>1959.3979297191486</v>
      </c>
      <c r="X195" s="184">
        <f>'Output - Jobs vs Yr (BAU)'!X51</f>
        <v>2097.024978887343</v>
      </c>
      <c r="Y195" s="271">
        <f>'Output - Jobs vs Yr (BAU)'!Y51</f>
        <v>2223.5147331231342</v>
      </c>
      <c r="Z195" s="271">
        <f>'Output - Jobs vs Yr (BAU)'!Z51</f>
        <v>2322.3173899655867</v>
      </c>
      <c r="AA195" s="271">
        <f>'Output - Jobs vs Yr (BAU)'!AA51</f>
        <v>2409.8291702774154</v>
      </c>
      <c r="AB195" s="271">
        <f>'Output - Jobs vs Yr (BAU)'!AB51</f>
        <v>2499.5236073167712</v>
      </c>
      <c r="AC195" s="271">
        <f>'Output - Jobs vs Yr (BAU)'!AC51</f>
        <v>2583.1627364109168</v>
      </c>
      <c r="AD195" s="271">
        <f>'Output - Jobs vs Yr (BAU)'!AD51</f>
        <v>2664.2818004973597</v>
      </c>
      <c r="AE195" s="271">
        <f>'Output - Jobs vs Yr (BAU)'!AE51</f>
        <v>2750.0115558604584</v>
      </c>
      <c r="AF195" s="271">
        <f>'Output - Jobs vs Yr (BAU)'!AF51</f>
        <v>2834.1110658466246</v>
      </c>
      <c r="AG195" s="271">
        <f>'Output - Jobs vs Yr (BAU)'!AG51</f>
        <v>2909.45795941598</v>
      </c>
      <c r="AH195" s="184">
        <f>'Output - Jobs vs Yr (BAU)'!AH51</f>
        <v>2989.5311518803142</v>
      </c>
    </row>
    <row r="196" spans="1:34">
      <c r="A196" t="s">
        <v>389</v>
      </c>
      <c r="C196" s="330">
        <f>'Output - Jobs vs Yr (BAU)'!C69</f>
        <v>86.930706600000008</v>
      </c>
      <c r="D196" s="330">
        <f>'Output - Jobs vs Yr (BAU)'!D69</f>
        <v>93.99835800000001</v>
      </c>
      <c r="E196" s="330">
        <f>'Output - Jobs vs Yr (BAU)'!E69</f>
        <v>131.73364569077404</v>
      </c>
      <c r="F196" s="330">
        <f>'Output - Jobs vs Yr (BAU)'!F69</f>
        <v>153.22249008847058</v>
      </c>
      <c r="G196" s="330">
        <f>'Output - Jobs vs Yr (BAU)'!G69</f>
        <v>227.94160726229254</v>
      </c>
      <c r="H196" s="286">
        <f>'Output - Jobs vs Yr (BAU)'!H69</f>
        <v>268.66981564471916</v>
      </c>
      <c r="I196" s="118">
        <f>'Output - Jobs vs Yr (BAU)'!I69</f>
        <v>330.29706793989084</v>
      </c>
      <c r="J196" s="118">
        <f>'Output - Jobs vs Yr (BAU)'!J69</f>
        <v>426.9927185343409</v>
      </c>
      <c r="K196" s="118">
        <f>'Output - Jobs vs Yr (BAU)'!K69</f>
        <v>591.41568810538865</v>
      </c>
      <c r="L196" s="118">
        <f>'Output - Jobs vs Yr (BAU)'!L69</f>
        <v>856.75722108695243</v>
      </c>
      <c r="M196" s="118">
        <f>'Output - Jobs vs Yr (BAU)'!M69</f>
        <v>983.84921608281297</v>
      </c>
      <c r="N196" s="177">
        <f>'Output - Jobs vs Yr (BAU)'!N69</f>
        <v>1096.0559528584283</v>
      </c>
      <c r="O196" s="118">
        <f>'Output - Jobs vs Yr (BAU)'!O69</f>
        <v>1111.463463442705</v>
      </c>
      <c r="P196" s="118">
        <f>'Output - Jobs vs Yr (BAU)'!P69</f>
        <v>1136.9657078447581</v>
      </c>
      <c r="Q196" s="118">
        <f>'Output - Jobs vs Yr (BAU)'!Q69</f>
        <v>1285.5547014681631</v>
      </c>
      <c r="R196" s="118">
        <f>'Output - Jobs vs Yr (BAU)'!R69</f>
        <v>1356.3211425549748</v>
      </c>
      <c r="S196" s="118">
        <f>'Output - Jobs vs Yr (BAU)'!S69</f>
        <v>1465.3190716427093</v>
      </c>
      <c r="T196" s="118">
        <f>'Output - Jobs vs Yr (BAU)'!T69</f>
        <v>1544.3458690905452</v>
      </c>
      <c r="U196" s="118">
        <f>'Output - Jobs vs Yr (BAU)'!U69</f>
        <v>1612.7978737632561</v>
      </c>
      <c r="V196" s="118">
        <f>'Output - Jobs vs Yr (BAU)'!V69</f>
        <v>1688.3991756581995</v>
      </c>
      <c r="W196" s="118">
        <f>'Output - Jobs vs Yr (BAU)'!W69</f>
        <v>1763.4581367472335</v>
      </c>
      <c r="X196" s="184">
        <f>'Output - Jobs vs Yr (BAU)'!X69</f>
        <v>1887.3224809986089</v>
      </c>
      <c r="Y196" s="271">
        <f>'Output - Jobs vs Yr (BAU)'!Y69</f>
        <v>2001.1632598108208</v>
      </c>
      <c r="Z196" s="271">
        <f>'Output - Jobs vs Yr (BAU)'!Z69</f>
        <v>2090.0856509690279</v>
      </c>
      <c r="AA196" s="271">
        <f>'Output - Jobs vs Yr (BAU)'!AA69</f>
        <v>2168.8462532496737</v>
      </c>
      <c r="AB196" s="271">
        <f>'Output - Jobs vs Yr (BAU)'!AB69</f>
        <v>2249.5712465850938</v>
      </c>
      <c r="AC196" s="271">
        <f>'Output - Jobs vs Yr (BAU)'!AC69</f>
        <v>2324.8464627698245</v>
      </c>
      <c r="AD196" s="271">
        <f>'Output - Jobs vs Yr (BAU)'!AD69</f>
        <v>2397.8536204476236</v>
      </c>
      <c r="AE196" s="271">
        <f>'Output - Jobs vs Yr (BAU)'!AE69</f>
        <v>2475.0104002744119</v>
      </c>
      <c r="AF196" s="271">
        <f>'Output - Jobs vs Yr (BAU)'!AF69</f>
        <v>2550.6999592619622</v>
      </c>
      <c r="AG196" s="271">
        <f>'Output - Jobs vs Yr (BAU)'!AG69</f>
        <v>2618.5121634743819</v>
      </c>
      <c r="AH196" s="184">
        <f>'Output - Jobs vs Yr (BAU)'!AH69</f>
        <v>2690.5780366922827</v>
      </c>
    </row>
    <row r="197" spans="1:34">
      <c r="A197" t="s">
        <v>390</v>
      </c>
      <c r="C197" s="331">
        <f>SUM(C198:C199)</f>
        <v>4408.6621500000001</v>
      </c>
      <c r="D197" s="331">
        <f t="shared" ref="D197:AH197" si="113">SUM(D198:D199)</f>
        <v>4197.4961500000009</v>
      </c>
      <c r="E197" s="331">
        <f t="shared" si="113"/>
        <v>4766.2853809319276</v>
      </c>
      <c r="F197" s="331">
        <f t="shared" si="113"/>
        <v>4648.1449092619605</v>
      </c>
      <c r="G197" s="331">
        <f t="shared" si="113"/>
        <v>4672.4237115473479</v>
      </c>
      <c r="H197" s="402">
        <f t="shared" si="113"/>
        <v>4734.3357990744007</v>
      </c>
      <c r="I197" s="14">
        <f t="shared" si="113"/>
        <v>4898.1344506315336</v>
      </c>
      <c r="J197" s="14">
        <f t="shared" si="113"/>
        <v>4953.9453155741039</v>
      </c>
      <c r="K197" s="14">
        <f t="shared" si="113"/>
        <v>4980.9253210516417</v>
      </c>
      <c r="L197" s="14">
        <f t="shared" si="113"/>
        <v>4852.3781184916434</v>
      </c>
      <c r="M197" s="14">
        <f t="shared" si="113"/>
        <v>4722.904517731642</v>
      </c>
      <c r="N197" s="187">
        <f t="shared" si="113"/>
        <v>4645.619384409154</v>
      </c>
      <c r="O197" s="14">
        <f t="shared" si="113"/>
        <v>4657.5918280082378</v>
      </c>
      <c r="P197" s="14">
        <f t="shared" si="113"/>
        <v>4657.5917162882379</v>
      </c>
      <c r="Q197" s="14">
        <f t="shared" si="113"/>
        <v>4699.5277229104868</v>
      </c>
      <c r="R197" s="14">
        <f t="shared" si="113"/>
        <v>4699.5278346304876</v>
      </c>
      <c r="S197" s="15">
        <f t="shared" si="113"/>
        <v>4699.5277229104868</v>
      </c>
      <c r="T197" s="14">
        <f t="shared" si="113"/>
        <v>4699.5278346304876</v>
      </c>
      <c r="U197" s="14">
        <f t="shared" si="113"/>
        <v>4699.5277229104868</v>
      </c>
      <c r="V197" s="14">
        <f t="shared" si="113"/>
        <v>4706.2500088807137</v>
      </c>
      <c r="W197" s="14">
        <f t="shared" si="113"/>
        <v>4706.2501206007146</v>
      </c>
      <c r="X197" s="187">
        <f t="shared" si="113"/>
        <v>4710.6248460481384</v>
      </c>
      <c r="Y197" s="158">
        <f t="shared" si="113"/>
        <v>4723.570329702623</v>
      </c>
      <c r="Z197" s="158">
        <f t="shared" si="113"/>
        <v>4734.8822415605509</v>
      </c>
      <c r="AA197" s="158">
        <f t="shared" si="113"/>
        <v>4734.882129840551</v>
      </c>
      <c r="AB197" s="158">
        <f t="shared" si="113"/>
        <v>4750.3381480052985</v>
      </c>
      <c r="AC197" s="158">
        <f t="shared" si="113"/>
        <v>4764.0743370279197</v>
      </c>
      <c r="AD197" s="158">
        <f t="shared" si="113"/>
        <v>4769.6891975488179</v>
      </c>
      <c r="AE197" s="158">
        <f t="shared" si="113"/>
        <v>4769.6891975488179</v>
      </c>
      <c r="AF197" s="158">
        <f t="shared" si="113"/>
        <v>4769.6891975488179</v>
      </c>
      <c r="AG197" s="158">
        <f t="shared" si="113"/>
        <v>4769.6891975488179</v>
      </c>
      <c r="AH197" s="187">
        <f t="shared" si="113"/>
        <v>4769.6893092688188</v>
      </c>
    </row>
    <row r="198" spans="1:34">
      <c r="A198" t="s">
        <v>392</v>
      </c>
      <c r="C198" s="330">
        <f>SUM('Output - Jobs vs Yr (BAU)'!C40:C43)</f>
        <v>2320.3485000000001</v>
      </c>
      <c r="D198" s="330">
        <f>SUM('Output - Jobs vs Yr (BAU)'!D40:D43)</f>
        <v>2209.2085000000002</v>
      </c>
      <c r="E198" s="330">
        <f>SUM('Output - Jobs vs Yr (BAU)'!E40:E43)</f>
        <v>2508.5712531220674</v>
      </c>
      <c r="F198" s="330">
        <f>SUM('Output - Jobs vs Yr (BAU)'!F40:F43)</f>
        <v>2446.3920575062948</v>
      </c>
      <c r="G198" s="330">
        <f>SUM('Output - Jobs vs Yr (BAU)'!G40:G43)</f>
        <v>2459.1703744986044</v>
      </c>
      <c r="H198" s="286">
        <f>SUM('Output - Jobs vs Yr (BAU)'!H40:H43)</f>
        <v>2491.7556837233687</v>
      </c>
      <c r="I198" s="118">
        <f>SUM('Output - Jobs vs Yr (BAU)'!I40:I43)</f>
        <v>2577.965500332386</v>
      </c>
      <c r="J198" s="118">
        <f>SUM('Output - Jobs vs Yr (BAU)'!J40:J43)</f>
        <v>2607.3396397758443</v>
      </c>
      <c r="K198" s="118">
        <f>SUM('Output - Jobs vs Yr (BAU)'!K40:K43)</f>
        <v>2621.539642658759</v>
      </c>
      <c r="L198" s="118">
        <f>SUM('Output - Jobs vs Yr (BAU)'!L40:L43)</f>
        <v>2553.8832202587596</v>
      </c>
      <c r="M198" s="118">
        <f>SUM('Output - Jobs vs Yr (BAU)'!M40:M43)</f>
        <v>2485.739219858759</v>
      </c>
      <c r="N198" s="177">
        <f>SUM('Output - Jobs vs Yr (BAU)'!N40:N43)</f>
        <v>2445.0628338995543</v>
      </c>
      <c r="O198" s="118">
        <f>SUM('Output - Jobs vs Yr (BAU)'!O40:O43)</f>
        <v>2451.3641200043357</v>
      </c>
      <c r="P198" s="118">
        <f>SUM('Output - Jobs vs Yr (BAU)'!P40:P43)</f>
        <v>2451.3640612043355</v>
      </c>
      <c r="Q198" s="118">
        <f>SUM('Output - Jobs vs Yr (BAU)'!Q40:Q43)</f>
        <v>2473.4356436370981</v>
      </c>
      <c r="R198" s="118">
        <f>SUM('Output - Jobs vs Yr (BAU)'!R40:R43)</f>
        <v>2473.4357024370984</v>
      </c>
      <c r="S198" s="118">
        <f>SUM('Output - Jobs vs Yr (BAU)'!S40:S43)</f>
        <v>2473.4356436370981</v>
      </c>
      <c r="T198" s="118">
        <f>SUM('Output - Jobs vs Yr (BAU)'!T40:T43)</f>
        <v>2473.4357024370984</v>
      </c>
      <c r="U198" s="118">
        <f>SUM('Output - Jobs vs Yr (BAU)'!U40:U43)</f>
        <v>2473.4356436370981</v>
      </c>
      <c r="V198" s="118">
        <f>SUM('Output - Jobs vs Yr (BAU)'!V40:V43)</f>
        <v>2476.9736888845864</v>
      </c>
      <c r="W198" s="118">
        <f>SUM('Output - Jobs vs Yr (BAU)'!W40:W43)</f>
        <v>2476.9737476845867</v>
      </c>
      <c r="X198" s="184">
        <f>SUM('Output - Jobs vs Yr (BAU)'!X40:X43)</f>
        <v>2479.2762347621783</v>
      </c>
      <c r="Y198" s="271">
        <f>SUM('Output - Jobs vs Yr (BAU)'!Y40:Y43)</f>
        <v>2486.089647211907</v>
      </c>
      <c r="Z198" s="271">
        <f>SUM('Output - Jobs vs Yr (BAU)'!Z40:Z43)</f>
        <v>2492.0432850318689</v>
      </c>
      <c r="AA198" s="271">
        <f>SUM('Output - Jobs vs Yr (BAU)'!AA40:AA43)</f>
        <v>2492.0432262318686</v>
      </c>
      <c r="AB198" s="271">
        <f>SUM('Output - Jobs vs Yr (BAU)'!AB40:AB43)</f>
        <v>2500.1779726343675</v>
      </c>
      <c r="AC198" s="271">
        <f>SUM('Output - Jobs vs Yr (BAU)'!AC40:AC43)</f>
        <v>2507.407545804168</v>
      </c>
      <c r="AD198" s="271">
        <f>SUM('Output - Jobs vs Yr (BAU)'!AD40:AD43)</f>
        <v>2510.3627355520093</v>
      </c>
      <c r="AE198" s="271">
        <f>SUM('Output - Jobs vs Yr (BAU)'!AE40:AE43)</f>
        <v>2510.3627355520093</v>
      </c>
      <c r="AF198" s="271">
        <f>SUM('Output - Jobs vs Yr (BAU)'!AF40:AF43)</f>
        <v>2510.3627355520093</v>
      </c>
      <c r="AG198" s="271">
        <f>SUM('Output - Jobs vs Yr (BAU)'!AG40:AG43)</f>
        <v>2510.3627355520093</v>
      </c>
      <c r="AH198" s="184">
        <f>SUM('Output - Jobs vs Yr (BAU)'!AH40:AH43)</f>
        <v>2510.3627943520096</v>
      </c>
    </row>
    <row r="199" spans="1:34">
      <c r="A199" t="s">
        <v>391</v>
      </c>
      <c r="C199" s="330">
        <f>SUM('Output - Jobs vs Yr (BAU)'!C58:C61)</f>
        <v>2088.3136500000001</v>
      </c>
      <c r="D199" s="330">
        <f>SUM('Output - Jobs vs Yr (BAU)'!D58:D61)</f>
        <v>1988.2876500000002</v>
      </c>
      <c r="E199" s="330">
        <f>SUM('Output - Jobs vs Yr (BAU)'!E58:E61)</f>
        <v>2257.7141278098607</v>
      </c>
      <c r="F199" s="330">
        <f>SUM('Output - Jobs vs Yr (BAU)'!F58:F61)</f>
        <v>2201.7528517556652</v>
      </c>
      <c r="G199" s="330">
        <f>SUM('Output - Jobs vs Yr (BAU)'!G58:G61)</f>
        <v>2213.253337048744</v>
      </c>
      <c r="H199" s="286">
        <f>SUM('Output - Jobs vs Yr (BAU)'!H58:H61)</f>
        <v>2242.580115351032</v>
      </c>
      <c r="I199" s="118">
        <f>SUM('Output - Jobs vs Yr (BAU)'!I58:I61)</f>
        <v>2320.1689502991476</v>
      </c>
      <c r="J199" s="118">
        <f>SUM('Output - Jobs vs Yr (BAU)'!J58:J61)</f>
        <v>2346.6056757982597</v>
      </c>
      <c r="K199" s="118">
        <f>SUM('Output - Jobs vs Yr (BAU)'!K58:K61)</f>
        <v>2359.3856783928832</v>
      </c>
      <c r="L199" s="118">
        <f>SUM('Output - Jobs vs Yr (BAU)'!L58:L61)</f>
        <v>2298.4948982328838</v>
      </c>
      <c r="M199" s="118">
        <f>SUM('Output - Jobs vs Yr (BAU)'!M58:M61)</f>
        <v>2237.1652978728835</v>
      </c>
      <c r="N199" s="177">
        <f>SUM('Output - Jobs vs Yr (BAU)'!N58:N61)</f>
        <v>2200.5565505095992</v>
      </c>
      <c r="O199" s="118">
        <f>SUM('Output - Jobs vs Yr (BAU)'!O58:O61)</f>
        <v>2206.2277080039021</v>
      </c>
      <c r="P199" s="118">
        <f>SUM('Output - Jobs vs Yr (BAU)'!P58:P61)</f>
        <v>2206.2276550839019</v>
      </c>
      <c r="Q199" s="118">
        <f>SUM('Output - Jobs vs Yr (BAU)'!Q58:Q61)</f>
        <v>2226.0920792733882</v>
      </c>
      <c r="R199" s="118">
        <f>SUM('Output - Jobs vs Yr (BAU)'!R58:R61)</f>
        <v>2226.0921321933888</v>
      </c>
      <c r="S199" s="118">
        <f>SUM('Output - Jobs vs Yr (BAU)'!S58:S61)</f>
        <v>2226.0920792733882</v>
      </c>
      <c r="T199" s="118">
        <f>SUM('Output - Jobs vs Yr (BAU)'!T58:T61)</f>
        <v>2226.0921321933888</v>
      </c>
      <c r="U199" s="118">
        <f>SUM('Output - Jobs vs Yr (BAU)'!U58:U61)</f>
        <v>2226.0920792733882</v>
      </c>
      <c r="V199" s="118">
        <f>SUM('Output - Jobs vs Yr (BAU)'!V58:V61)</f>
        <v>2229.2763199961278</v>
      </c>
      <c r="W199" s="118">
        <f>SUM('Output - Jobs vs Yr (BAU)'!W58:W61)</f>
        <v>2229.2763729161284</v>
      </c>
      <c r="X199" s="184">
        <f>SUM('Output - Jobs vs Yr (BAU)'!X58:X61)</f>
        <v>2231.34861128596</v>
      </c>
      <c r="Y199" s="271">
        <f>SUM('Output - Jobs vs Yr (BAU)'!Y58:Y61)</f>
        <v>2237.4806824907164</v>
      </c>
      <c r="Z199" s="271">
        <f>SUM('Output - Jobs vs Yr (BAU)'!Z58:Z61)</f>
        <v>2242.838956528682</v>
      </c>
      <c r="AA199" s="271">
        <f>SUM('Output - Jobs vs Yr (BAU)'!AA58:AA61)</f>
        <v>2242.8389036086819</v>
      </c>
      <c r="AB199" s="271">
        <f>SUM('Output - Jobs vs Yr (BAU)'!AB58:AB61)</f>
        <v>2250.160175370931</v>
      </c>
      <c r="AC199" s="271">
        <f>SUM('Output - Jobs vs Yr (BAU)'!AC58:AC61)</f>
        <v>2256.6667912237513</v>
      </c>
      <c r="AD199" s="271">
        <f>SUM('Output - Jobs vs Yr (BAU)'!AD58:AD61)</f>
        <v>2259.3264619968081</v>
      </c>
      <c r="AE199" s="271">
        <f>SUM('Output - Jobs vs Yr (BAU)'!AE58:AE61)</f>
        <v>2259.3264619968081</v>
      </c>
      <c r="AF199" s="271">
        <f>SUM('Output - Jobs vs Yr (BAU)'!AF58:AF61)</f>
        <v>2259.3264619968081</v>
      </c>
      <c r="AG199" s="271">
        <f>SUM('Output - Jobs vs Yr (BAU)'!AG58:AG61)</f>
        <v>2259.3264619968081</v>
      </c>
      <c r="AH199" s="184">
        <f>SUM('Output - Jobs vs Yr (BAU)'!AH58:AH61)</f>
        <v>2259.3265149168087</v>
      </c>
    </row>
    <row r="200" spans="1:34">
      <c r="A200" t="s">
        <v>393</v>
      </c>
      <c r="C200" s="331">
        <f>SUM(C201:C202)</f>
        <v>5419.3700000000008</v>
      </c>
      <c r="D200" s="331">
        <f t="shared" ref="D200:AH200" si="114">SUM(D201:D202)</f>
        <v>5552.085</v>
      </c>
      <c r="E200" s="331">
        <f t="shared" si="114"/>
        <v>6219.1594070058181</v>
      </c>
      <c r="F200" s="331">
        <f t="shared" si="114"/>
        <v>5723.9505915394839</v>
      </c>
      <c r="G200" s="331">
        <f t="shared" si="114"/>
        <v>6204.9680969501742</v>
      </c>
      <c r="H200" s="402">
        <f t="shared" si="114"/>
        <v>6166.2668030654531</v>
      </c>
      <c r="I200" s="14">
        <f t="shared" si="114"/>
        <v>6142.0862370243431</v>
      </c>
      <c r="J200" s="14">
        <f t="shared" si="114"/>
        <v>6239.3549478915957</v>
      </c>
      <c r="K200" s="14">
        <f t="shared" si="114"/>
        <v>6354.9507022764656</v>
      </c>
      <c r="L200" s="14">
        <f t="shared" si="114"/>
        <v>6445.0254357950835</v>
      </c>
      <c r="M200" s="14">
        <f t="shared" si="114"/>
        <v>6509.8289572835183</v>
      </c>
      <c r="N200" s="187">
        <f t="shared" si="114"/>
        <v>6542.7389497750628</v>
      </c>
      <c r="O200" s="14">
        <f t="shared" si="114"/>
        <v>6558.4090789551929</v>
      </c>
      <c r="P200" s="14">
        <f t="shared" si="114"/>
        <v>6593.320891761261</v>
      </c>
      <c r="Q200" s="14">
        <f t="shared" si="114"/>
        <v>6638.1447975632409</v>
      </c>
      <c r="R200" s="14">
        <f t="shared" si="114"/>
        <v>6655.742015494282</v>
      </c>
      <c r="S200" s="15">
        <f t="shared" si="114"/>
        <v>6667.6092580525328</v>
      </c>
      <c r="T200" s="14">
        <f t="shared" si="114"/>
        <v>6734.8292508706691</v>
      </c>
      <c r="U200" s="14">
        <f t="shared" si="114"/>
        <v>6761.6425364715524</v>
      </c>
      <c r="V200" s="14">
        <f t="shared" si="114"/>
        <v>6751.9640108705298</v>
      </c>
      <c r="W200" s="14">
        <f t="shared" si="114"/>
        <v>6768.1943851324468</v>
      </c>
      <c r="X200" s="187">
        <f t="shared" si="114"/>
        <v>6731.9399865686901</v>
      </c>
      <c r="Y200" s="158">
        <f t="shared" si="114"/>
        <v>6790.8778037048396</v>
      </c>
      <c r="Z200" s="158">
        <f t="shared" si="114"/>
        <v>6850.9225091764838</v>
      </c>
      <c r="AA200" s="158">
        <f t="shared" si="114"/>
        <v>6922.7765953519956</v>
      </c>
      <c r="AB200" s="158">
        <f t="shared" si="114"/>
        <v>6978.5972222463006</v>
      </c>
      <c r="AC200" s="158">
        <f t="shared" si="114"/>
        <v>7019.9585434214714</v>
      </c>
      <c r="AD200" s="158">
        <f t="shared" si="114"/>
        <v>7068.6848788750776</v>
      </c>
      <c r="AE200" s="158">
        <f t="shared" si="114"/>
        <v>7102.7676319191069</v>
      </c>
      <c r="AF200" s="158">
        <f t="shared" si="114"/>
        <v>7125.0757062532539</v>
      </c>
      <c r="AG200" s="158">
        <f t="shared" si="114"/>
        <v>7124.0880639212537</v>
      </c>
      <c r="AH200" s="187">
        <f t="shared" si="114"/>
        <v>7135.4553034470709</v>
      </c>
    </row>
    <row r="201" spans="1:34">
      <c r="A201" t="s">
        <v>394</v>
      </c>
      <c r="C201" s="330">
        <f>SUM('Output - Jobs vs Yr (BAU)'!C53:C54)</f>
        <v>2852.3</v>
      </c>
      <c r="D201" s="330">
        <f>SUM('Output - Jobs vs Yr (BAU)'!D53:D54)</f>
        <v>2922.15</v>
      </c>
      <c r="E201" s="330">
        <f>SUM('Output - Jobs vs Yr (BAU)'!E53:E54)</f>
        <v>3273.2417931609571</v>
      </c>
      <c r="F201" s="330">
        <f>SUM('Output - Jobs vs Yr (BAU)'!F53:F54)</f>
        <v>3012.6055744944656</v>
      </c>
      <c r="G201" s="330">
        <f>SUM('Output - Jobs vs Yr (BAU)'!G53:G54)</f>
        <v>3265.7726826053549</v>
      </c>
      <c r="H201" s="286">
        <f>SUM('Output - Jobs vs Yr (BAU)'!H53:H54)</f>
        <v>3245.403580560765</v>
      </c>
      <c r="I201" s="118">
        <f>SUM('Output - Jobs vs Yr (BAU)'!I53:I54)</f>
        <v>3232.6769668549177</v>
      </c>
      <c r="J201" s="118">
        <f>SUM('Output - Jobs vs Yr (BAU)'!J53:J54)</f>
        <v>3283.8710252061032</v>
      </c>
      <c r="K201" s="118">
        <f>SUM('Output - Jobs vs Yr (BAU)'!K53:K54)</f>
        <v>3344.7108959349816</v>
      </c>
      <c r="L201" s="118">
        <f>SUM('Output - Jobs vs Yr (BAU)'!L53:L54)</f>
        <v>3392.1186504184652</v>
      </c>
      <c r="M201" s="118">
        <f>SUM('Output - Jobs vs Yr (BAU)'!M53:M54)</f>
        <v>3426.2257669913256</v>
      </c>
      <c r="N201" s="177">
        <f>SUM('Output - Jobs vs Yr (BAU)'!N53:N54)</f>
        <v>3443.5468156710858</v>
      </c>
      <c r="O201" s="118">
        <f>SUM('Output - Jobs vs Yr (BAU)'!O53:O54)</f>
        <v>3451.7942520816805</v>
      </c>
      <c r="P201" s="118">
        <f>SUM('Output - Jobs vs Yr (BAU)'!P53:P54)</f>
        <v>3470.1688904006637</v>
      </c>
      <c r="Q201" s="118">
        <f>SUM('Output - Jobs vs Yr (BAU)'!Q53:Q54)</f>
        <v>3493.7604197701266</v>
      </c>
      <c r="R201" s="118">
        <f>SUM('Output - Jobs vs Yr (BAU)'!R53:R54)</f>
        <v>3503.0221134180433</v>
      </c>
      <c r="S201" s="118">
        <f>SUM('Output - Jobs vs Yr (BAU)'!S53:S54)</f>
        <v>3509.2680305539643</v>
      </c>
      <c r="T201" s="118">
        <f>SUM('Output - Jobs vs Yr (BAU)'!T53:T54)</f>
        <v>3544.6469741424571</v>
      </c>
      <c r="U201" s="118">
        <f>SUM('Output - Jobs vs Yr (BAU)'!U53:U54)</f>
        <v>3558.7592297218698</v>
      </c>
      <c r="V201" s="118">
        <f>SUM('Output - Jobs vs Yr (BAU)'!V53:V54)</f>
        <v>3553.665268879226</v>
      </c>
      <c r="W201" s="118">
        <f>SUM('Output - Jobs vs Yr (BAU)'!W53:W54)</f>
        <v>3562.2075711223406</v>
      </c>
      <c r="X201" s="184">
        <f>SUM('Output - Jobs vs Yr (BAU)'!X53:X54)</f>
        <v>3543.1263087203633</v>
      </c>
      <c r="Y201" s="271">
        <f>SUM('Output - Jobs vs Yr (BAU)'!Y53:Y54)</f>
        <v>3574.1462124762311</v>
      </c>
      <c r="Z201" s="271">
        <f>SUM('Output - Jobs vs Yr (BAU)'!Z53:Z54)</f>
        <v>3605.7486890402542</v>
      </c>
      <c r="AA201" s="271">
        <f>SUM('Output - Jobs vs Yr (BAU)'!AA53:AA54)</f>
        <v>3643.5666291326293</v>
      </c>
      <c r="AB201" s="271">
        <f>SUM('Output - Jobs vs Yr (BAU)'!AB53:AB54)</f>
        <v>3672.9459064454213</v>
      </c>
      <c r="AC201" s="271">
        <f>SUM('Output - Jobs vs Yr (BAU)'!AC53:AC54)</f>
        <v>3694.7150228534056</v>
      </c>
      <c r="AD201" s="271">
        <f>SUM('Output - Jobs vs Yr (BAU)'!AD53:AD54)</f>
        <v>3720.3604625658304</v>
      </c>
      <c r="AE201" s="271">
        <f>SUM('Output - Jobs vs Yr (BAU)'!AE53:AE54)</f>
        <v>3738.2987536416349</v>
      </c>
      <c r="AF201" s="271">
        <f>SUM('Output - Jobs vs Yr (BAU)'!AF53:AF54)</f>
        <v>3750.0398453964494</v>
      </c>
      <c r="AG201" s="271">
        <f>SUM('Output - Jobs vs Yr (BAU)'!AG53:AG54)</f>
        <v>3749.5200336427652</v>
      </c>
      <c r="AH201" s="184">
        <f>SUM('Output - Jobs vs Yr (BAU)'!AH53:AH54)</f>
        <v>3755.5027912879323</v>
      </c>
    </row>
    <row r="202" spans="1:34">
      <c r="A202" t="s">
        <v>395</v>
      </c>
      <c r="C202" s="330">
        <f>SUM('Output - Jobs vs Yr (BAU)'!C71:C72)</f>
        <v>2567.0700000000002</v>
      </c>
      <c r="D202" s="330">
        <f>SUM('Output - Jobs vs Yr (BAU)'!D71:D72)</f>
        <v>2629.9349999999999</v>
      </c>
      <c r="E202" s="330">
        <f>SUM('Output - Jobs vs Yr (BAU)'!E71:E72)</f>
        <v>2945.9176138448615</v>
      </c>
      <c r="F202" s="330">
        <f>SUM('Output - Jobs vs Yr (BAU)'!F71:F72)</f>
        <v>2711.3450170450187</v>
      </c>
      <c r="G202" s="330">
        <f>SUM('Output - Jobs vs Yr (BAU)'!G71:G72)</f>
        <v>2939.1954143448193</v>
      </c>
      <c r="H202" s="286">
        <f>SUM('Output - Jobs vs Yr (BAU)'!H71:H72)</f>
        <v>2920.8632225046886</v>
      </c>
      <c r="I202" s="118">
        <f>SUM('Output - Jobs vs Yr (BAU)'!I71:I72)</f>
        <v>2909.4092701694258</v>
      </c>
      <c r="J202" s="118">
        <f>SUM('Output - Jobs vs Yr (BAU)'!J71:J72)</f>
        <v>2955.4839226854929</v>
      </c>
      <c r="K202" s="118">
        <f>SUM('Output - Jobs vs Yr (BAU)'!K71:K72)</f>
        <v>3010.2398063414839</v>
      </c>
      <c r="L202" s="118">
        <f>SUM('Output - Jobs vs Yr (BAU)'!L71:L72)</f>
        <v>3052.9067853766187</v>
      </c>
      <c r="M202" s="118">
        <f>SUM('Output - Jobs vs Yr (BAU)'!M71:M72)</f>
        <v>3083.6031902921932</v>
      </c>
      <c r="N202" s="177">
        <f>SUM('Output - Jobs vs Yr (BAU)'!N71:N72)</f>
        <v>3099.1921341039774</v>
      </c>
      <c r="O202" s="118">
        <f>SUM('Output - Jobs vs Yr (BAU)'!O71:O72)</f>
        <v>3106.6148268735124</v>
      </c>
      <c r="P202" s="118">
        <f>SUM('Output - Jobs vs Yr (BAU)'!P71:P72)</f>
        <v>3123.1520013605973</v>
      </c>
      <c r="Q202" s="118">
        <f>SUM('Output - Jobs vs Yr (BAU)'!Q71:Q72)</f>
        <v>3144.3843777931143</v>
      </c>
      <c r="R202" s="118">
        <f>SUM('Output - Jobs vs Yr (BAU)'!R71:R72)</f>
        <v>3152.7199020762387</v>
      </c>
      <c r="S202" s="118">
        <f>SUM('Output - Jobs vs Yr (BAU)'!S71:S72)</f>
        <v>3158.3412274985681</v>
      </c>
      <c r="T202" s="118">
        <f>SUM('Output - Jobs vs Yr (BAU)'!T71:T72)</f>
        <v>3190.1822767282115</v>
      </c>
      <c r="U202" s="118">
        <f>SUM('Output - Jobs vs Yr (BAU)'!U71:U72)</f>
        <v>3202.8833067496826</v>
      </c>
      <c r="V202" s="118">
        <f>SUM('Output - Jobs vs Yr (BAU)'!V71:V72)</f>
        <v>3198.2987419913034</v>
      </c>
      <c r="W202" s="118">
        <f>SUM('Output - Jobs vs Yr (BAU)'!W71:W72)</f>
        <v>3205.9868140101062</v>
      </c>
      <c r="X202" s="184">
        <f>SUM('Output - Jobs vs Yr (BAU)'!X71:X72)</f>
        <v>3188.8136778483272</v>
      </c>
      <c r="Y202" s="271">
        <f>SUM('Output - Jobs vs Yr (BAU)'!Y71:Y72)</f>
        <v>3216.7315912286085</v>
      </c>
      <c r="Z202" s="271">
        <f>SUM('Output - Jobs vs Yr (BAU)'!Z71:Z72)</f>
        <v>3245.1738201362296</v>
      </c>
      <c r="AA202" s="271">
        <f>SUM('Output - Jobs vs Yr (BAU)'!AA71:AA72)</f>
        <v>3279.2099662193664</v>
      </c>
      <c r="AB202" s="271">
        <f>SUM('Output - Jobs vs Yr (BAU)'!AB71:AB72)</f>
        <v>3305.6513158008793</v>
      </c>
      <c r="AC202" s="271">
        <f>SUM('Output - Jobs vs Yr (BAU)'!AC71:AC72)</f>
        <v>3325.2435205680654</v>
      </c>
      <c r="AD202" s="271">
        <f>SUM('Output - Jobs vs Yr (BAU)'!AD71:AD72)</f>
        <v>3348.3244163092477</v>
      </c>
      <c r="AE202" s="271">
        <f>SUM('Output - Jobs vs Yr (BAU)'!AE71:AE72)</f>
        <v>3364.4688782774715</v>
      </c>
      <c r="AF202" s="271">
        <f>SUM('Output - Jobs vs Yr (BAU)'!AF71:AF72)</f>
        <v>3375.0358608568044</v>
      </c>
      <c r="AG202" s="271">
        <f>SUM('Output - Jobs vs Yr (BAU)'!AG71:AG72)</f>
        <v>3374.5680302784885</v>
      </c>
      <c r="AH202" s="184">
        <f>SUM('Output - Jobs vs Yr (BAU)'!AH71:AH72)</f>
        <v>3379.9525121591387</v>
      </c>
    </row>
    <row r="203" spans="1:34">
      <c r="A203" s="1" t="s">
        <v>424</v>
      </c>
      <c r="C203" s="331">
        <f>SUM(C191,C194,C197,C200)</f>
        <v>10011.552530600002</v>
      </c>
      <c r="D203" s="331">
        <f t="shared" ref="D203:AH203" si="115">SUM(D191,D194,D197,D200)</f>
        <v>9948.0221280000005</v>
      </c>
      <c r="E203" s="331">
        <f t="shared" si="115"/>
        <v>11263.549151062714</v>
      </c>
      <c r="F203" s="331">
        <f t="shared" si="115"/>
        <v>10695.565202099326</v>
      </c>
      <c r="G203" s="331">
        <f t="shared" si="115"/>
        <v>11358.601868273472</v>
      </c>
      <c r="H203" s="402">
        <f t="shared" si="115"/>
        <v>11467.794435167594</v>
      </c>
      <c r="I203" s="14">
        <f t="shared" si="115"/>
        <v>11737.514497751203</v>
      </c>
      <c r="J203" s="14">
        <f t="shared" si="115"/>
        <v>12094.729335927086</v>
      </c>
      <c r="K203" s="14">
        <f t="shared" si="115"/>
        <v>12584.420253772816</v>
      </c>
      <c r="L203" s="14">
        <f t="shared" si="115"/>
        <v>13106.11324324807</v>
      </c>
      <c r="M203" s="132">
        <f t="shared" si="115"/>
        <v>13309.748486745542</v>
      </c>
      <c r="N203" s="193">
        <f t="shared" si="115"/>
        <v>13502.254234663122</v>
      </c>
      <c r="O203" s="14">
        <f t="shared" si="115"/>
        <v>13562.423774231363</v>
      </c>
      <c r="P203" s="14">
        <f t="shared" si="115"/>
        <v>13651.173546832877</v>
      </c>
      <c r="Q203" s="14">
        <f t="shared" si="115"/>
        <v>14051.621334684294</v>
      </c>
      <c r="R203" s="14">
        <f t="shared" si="115"/>
        <v>14218.614484407495</v>
      </c>
      <c r="S203" s="14">
        <f t="shared" si="115"/>
        <v>14460.588354430962</v>
      </c>
      <c r="T203" s="14">
        <f t="shared" si="115"/>
        <v>14694.642809136752</v>
      </c>
      <c r="U203" s="14">
        <f t="shared" si="115"/>
        <v>14865.965770660025</v>
      </c>
      <c r="V203" s="14">
        <f t="shared" si="115"/>
        <v>15022.61227947411</v>
      </c>
      <c r="W203" s="14">
        <f t="shared" si="115"/>
        <v>15197.300572199543</v>
      </c>
      <c r="X203" s="187">
        <f t="shared" si="115"/>
        <v>15426.91229250278</v>
      </c>
      <c r="Y203" s="158">
        <f t="shared" si="115"/>
        <v>15739.126126341418</v>
      </c>
      <c r="Z203" s="158">
        <f t="shared" si="115"/>
        <v>15998.20779167165</v>
      </c>
      <c r="AA203" s="158">
        <f t="shared" si="115"/>
        <v>16236.334148719636</v>
      </c>
      <c r="AB203" s="158">
        <f t="shared" si="115"/>
        <v>16478.030224153466</v>
      </c>
      <c r="AC203" s="158">
        <f t="shared" si="115"/>
        <v>16692.042079630133</v>
      </c>
      <c r="AD203" s="158">
        <f t="shared" si="115"/>
        <v>16900.509497368879</v>
      </c>
      <c r="AE203" s="158">
        <f t="shared" si="115"/>
        <v>17097.478785602798</v>
      </c>
      <c r="AF203" s="158">
        <f t="shared" si="115"/>
        <v>17279.575928910657</v>
      </c>
      <c r="AG203" s="158">
        <f t="shared" si="115"/>
        <v>17421.747384360431</v>
      </c>
      <c r="AH203" s="187">
        <f t="shared" si="115"/>
        <v>17585.253801288487</v>
      </c>
    </row>
    <row r="204" spans="1:34">
      <c r="A204" s="1" t="s">
        <v>447</v>
      </c>
      <c r="C204" s="331"/>
      <c r="D204" s="331">
        <f>D194+D197</f>
        <v>4395.9371280000005</v>
      </c>
      <c r="E204" s="331">
        <f t="shared" ref="E204:AH204" si="116">E194+E197</f>
        <v>5044.3897440568953</v>
      </c>
      <c r="F204" s="331">
        <f t="shared" si="116"/>
        <v>4971.6146105598427</v>
      </c>
      <c r="G204" s="331">
        <f t="shared" si="116"/>
        <v>5153.6337713232988</v>
      </c>
      <c r="H204" s="402">
        <f t="shared" si="116"/>
        <v>5301.5276321021411</v>
      </c>
      <c r="I204" s="14">
        <f t="shared" si="116"/>
        <v>5595.4282607268588</v>
      </c>
      <c r="J204" s="14">
        <f t="shared" si="116"/>
        <v>5855.3743880354905</v>
      </c>
      <c r="K204" s="14">
        <f t="shared" si="116"/>
        <v>6229.4695514963514</v>
      </c>
      <c r="L204" s="14">
        <f t="shared" si="116"/>
        <v>6661.0878074529874</v>
      </c>
      <c r="M204" s="14">
        <f t="shared" si="116"/>
        <v>6799.9195294620249</v>
      </c>
      <c r="N204" s="187">
        <f t="shared" si="116"/>
        <v>6959.5152848880589</v>
      </c>
      <c r="O204" s="14">
        <f t="shared" si="116"/>
        <v>7004.0146952761706</v>
      </c>
      <c r="P204" s="14">
        <f t="shared" si="116"/>
        <v>7057.852655071616</v>
      </c>
      <c r="Q204" s="14">
        <f t="shared" si="116"/>
        <v>7413.4765371210533</v>
      </c>
      <c r="R204" s="14">
        <f t="shared" si="116"/>
        <v>7562.8724689132123</v>
      </c>
      <c r="S204" s="14">
        <f t="shared" si="116"/>
        <v>7792.9790963784289</v>
      </c>
      <c r="T204" s="14">
        <f t="shared" si="116"/>
        <v>7959.8135582660834</v>
      </c>
      <c r="U204" s="14">
        <f t="shared" si="116"/>
        <v>8104.3232341884723</v>
      </c>
      <c r="V204" s="14">
        <f t="shared" si="116"/>
        <v>8270.6482686035797</v>
      </c>
      <c r="W204" s="14">
        <f t="shared" si="116"/>
        <v>8429.1061870670965</v>
      </c>
      <c r="X204" s="187">
        <f t="shared" si="116"/>
        <v>8694.9723059340904</v>
      </c>
      <c r="Y204" s="158">
        <f t="shared" si="116"/>
        <v>8948.2483226365785</v>
      </c>
      <c r="Z204" s="158">
        <f t="shared" si="116"/>
        <v>9147.285282495166</v>
      </c>
      <c r="AA204" s="158">
        <f t="shared" si="116"/>
        <v>9313.5575533676401</v>
      </c>
      <c r="AB204" s="158">
        <f t="shared" si="116"/>
        <v>9499.433001907164</v>
      </c>
      <c r="AC204" s="158">
        <f t="shared" si="116"/>
        <v>9672.0835362086618</v>
      </c>
      <c r="AD204" s="158">
        <f t="shared" si="116"/>
        <v>9831.8246184938016</v>
      </c>
      <c r="AE204" s="158">
        <f t="shared" si="116"/>
        <v>9994.7111536836892</v>
      </c>
      <c r="AF204" s="158">
        <f t="shared" si="116"/>
        <v>10154.500222657405</v>
      </c>
      <c r="AG204" s="158">
        <f t="shared" si="116"/>
        <v>10297.659320439179</v>
      </c>
      <c r="AH204" s="187">
        <f t="shared" si="116"/>
        <v>10449.798497841415</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452</v>
      </c>
      <c r="C206" s="331"/>
      <c r="D206" s="331">
        <f>D194</f>
        <v>198.440978</v>
      </c>
      <c r="E206" s="331">
        <f>D206+E194</f>
        <v>476.54534112496742</v>
      </c>
      <c r="F206" s="331">
        <f>E206+F194</f>
        <v>800.01504242284977</v>
      </c>
      <c r="G206" s="331">
        <f>F206+G194</f>
        <v>1281.2251021988006</v>
      </c>
      <c r="H206" s="402">
        <f t="shared" ref="H206:X206" si="117">G206+H194</f>
        <v>1848.416935226541</v>
      </c>
      <c r="I206" s="14">
        <f t="shared" si="117"/>
        <v>2545.7107453218659</v>
      </c>
      <c r="J206" s="14">
        <f t="shared" si="117"/>
        <v>3447.1398177832525</v>
      </c>
      <c r="K206" s="14">
        <f t="shared" si="117"/>
        <v>4695.6840482279622</v>
      </c>
      <c r="L206" s="14">
        <f t="shared" si="117"/>
        <v>6504.3937371893062</v>
      </c>
      <c r="M206" s="14">
        <f t="shared" si="117"/>
        <v>8581.40874891969</v>
      </c>
      <c r="N206" s="187">
        <f t="shared" si="117"/>
        <v>10895.304649398595</v>
      </c>
      <c r="O206" s="14">
        <f t="shared" si="117"/>
        <v>13241.727516666528</v>
      </c>
      <c r="P206" s="14">
        <f t="shared" si="117"/>
        <v>15641.988455449906</v>
      </c>
      <c r="Q206" s="14">
        <f t="shared" si="117"/>
        <v>18355.937269660473</v>
      </c>
      <c r="R206" s="14">
        <f t="shared" si="117"/>
        <v>21219.2819039432</v>
      </c>
      <c r="S206" s="14">
        <f t="shared" si="117"/>
        <v>24312.733277411142</v>
      </c>
      <c r="T206" s="14">
        <f t="shared" si="117"/>
        <v>27573.019001046738</v>
      </c>
      <c r="U206" s="14">
        <f t="shared" si="117"/>
        <v>30977.814512324723</v>
      </c>
      <c r="V206" s="14">
        <f t="shared" si="117"/>
        <v>34542.212772047591</v>
      </c>
      <c r="W206" s="14">
        <f t="shared" si="117"/>
        <v>38265.068838513973</v>
      </c>
      <c r="X206" s="187">
        <f t="shared" si="117"/>
        <v>42249.416298399927</v>
      </c>
      <c r="Y206" s="158">
        <f t="shared" ref="Y206:AH206" si="118">X206+Y194</f>
        <v>46474.09429133388</v>
      </c>
      <c r="Z206" s="158">
        <f t="shared" si="118"/>
        <v>50886.497332268496</v>
      </c>
      <c r="AA206" s="158">
        <f t="shared" si="118"/>
        <v>55465.172755795589</v>
      </c>
      <c r="AB206" s="158">
        <f t="shared" si="118"/>
        <v>60214.267609697454</v>
      </c>
      <c r="AC206" s="158">
        <f t="shared" si="118"/>
        <v>65122.276808878196</v>
      </c>
      <c r="AD206" s="158">
        <f t="shared" si="118"/>
        <v>70184.412229823181</v>
      </c>
      <c r="AE206" s="158">
        <f t="shared" si="118"/>
        <v>75409.434185958045</v>
      </c>
      <c r="AF206" s="158">
        <f t="shared" si="118"/>
        <v>80794.245211066635</v>
      </c>
      <c r="AG206" s="158">
        <f t="shared" si="118"/>
        <v>86322.215333956992</v>
      </c>
      <c r="AH206" s="187">
        <f t="shared" si="118"/>
        <v>92002.324522529583</v>
      </c>
    </row>
    <row r="207" spans="1:34">
      <c r="A207" s="1" t="s">
        <v>455</v>
      </c>
      <c r="C207" s="331"/>
      <c r="D207" s="331">
        <f>D200</f>
        <v>5552.085</v>
      </c>
      <c r="E207" s="331">
        <f>D207+E200</f>
        <v>11771.244407005819</v>
      </c>
      <c r="F207" s="331">
        <f>E207+F200</f>
        <v>17495.194998545303</v>
      </c>
      <c r="G207" s="331">
        <f t="shared" ref="G207:X207" si="119">F207+G200</f>
        <v>23700.163095495478</v>
      </c>
      <c r="H207" s="402">
        <f t="shared" si="119"/>
        <v>29866.429898560931</v>
      </c>
      <c r="I207" s="14">
        <f t="shared" si="119"/>
        <v>36008.516135585276</v>
      </c>
      <c r="J207" s="14">
        <f t="shared" si="119"/>
        <v>42247.871083476872</v>
      </c>
      <c r="K207" s="14">
        <f t="shared" si="119"/>
        <v>48602.821785753338</v>
      </c>
      <c r="L207" s="14">
        <f t="shared" si="119"/>
        <v>55047.847221548422</v>
      </c>
      <c r="M207" s="14">
        <f t="shared" si="119"/>
        <v>61557.676178831942</v>
      </c>
      <c r="N207" s="187">
        <f t="shared" si="119"/>
        <v>68100.415128607012</v>
      </c>
      <c r="O207" s="14">
        <f t="shared" si="119"/>
        <v>74658.824207562211</v>
      </c>
      <c r="P207" s="14">
        <f t="shared" si="119"/>
        <v>81252.145099323476</v>
      </c>
      <c r="Q207" s="14">
        <f t="shared" si="119"/>
        <v>87890.289896886723</v>
      </c>
      <c r="R207" s="14">
        <f t="shared" si="119"/>
        <v>94546.031912381004</v>
      </c>
      <c r="S207" s="14">
        <f t="shared" si="119"/>
        <v>101213.64117043353</v>
      </c>
      <c r="T207" s="14">
        <f t="shared" si="119"/>
        <v>107948.4704213042</v>
      </c>
      <c r="U207" s="14">
        <f t="shared" si="119"/>
        <v>114710.11295777575</v>
      </c>
      <c r="V207" s="14">
        <f t="shared" si="119"/>
        <v>121462.07696864629</v>
      </c>
      <c r="W207" s="14">
        <f t="shared" si="119"/>
        <v>128230.27135377873</v>
      </c>
      <c r="X207" s="187">
        <f t="shared" si="119"/>
        <v>134962.21134034742</v>
      </c>
      <c r="Y207" s="158">
        <f t="shared" ref="Y207:AH207" si="120">X207+Y200</f>
        <v>141753.08914405227</v>
      </c>
      <c r="Z207" s="158">
        <f t="shared" si="120"/>
        <v>148604.01165322875</v>
      </c>
      <c r="AA207" s="158">
        <f t="shared" si="120"/>
        <v>155526.78824858073</v>
      </c>
      <c r="AB207" s="158">
        <f t="shared" si="120"/>
        <v>162505.38547082702</v>
      </c>
      <c r="AC207" s="158">
        <f t="shared" si="120"/>
        <v>169525.34401424849</v>
      </c>
      <c r="AD207" s="158">
        <f t="shared" si="120"/>
        <v>176594.02889312356</v>
      </c>
      <c r="AE207" s="158">
        <f t="shared" si="120"/>
        <v>183696.79652504265</v>
      </c>
      <c r="AF207" s="158">
        <f t="shared" si="120"/>
        <v>190821.87223129591</v>
      </c>
      <c r="AG207" s="158">
        <f t="shared" si="120"/>
        <v>197945.96029521717</v>
      </c>
      <c r="AH207" s="187">
        <f t="shared" si="120"/>
        <v>205081.41559866423</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411</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408</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409</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410</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396</v>
      </c>
      <c r="B213" s="13"/>
      <c r="C213" s="341">
        <f>SUM(C214:C215)</f>
        <v>183.52011060000001</v>
      </c>
      <c r="D213" s="341">
        <f t="shared" ref="D213:AH213" si="124">SUM(D214:D215)</f>
        <v>232.30210539000205</v>
      </c>
      <c r="E213" s="341">
        <f t="shared" si="124"/>
        <v>354.40726286179483</v>
      </c>
      <c r="F213" s="341">
        <f t="shared" si="124"/>
        <v>458.93329010921025</v>
      </c>
      <c r="G213" s="341">
        <f t="shared" si="124"/>
        <v>719.24101577532474</v>
      </c>
      <c r="H213" s="405">
        <f t="shared" si="124"/>
        <v>567.19156302774036</v>
      </c>
      <c r="I213" s="15">
        <f t="shared" si="124"/>
        <v>747.70095225480509</v>
      </c>
      <c r="J213" s="15">
        <f t="shared" si="124"/>
        <v>1009.4669869962793</v>
      </c>
      <c r="K213" s="15">
        <f t="shared" si="124"/>
        <v>1394.9657025240997</v>
      </c>
      <c r="L213" s="15">
        <f t="shared" si="124"/>
        <v>1996.3484288037416</v>
      </c>
      <c r="M213" s="15">
        <f t="shared" si="124"/>
        <v>2656.5256809609973</v>
      </c>
      <c r="N213" s="190">
        <f t="shared" si="124"/>
        <v>3714.2652511874257</v>
      </c>
      <c r="O213" s="15">
        <f t="shared" si="124"/>
        <v>3882.1004841253352</v>
      </c>
      <c r="P213" s="15">
        <f t="shared" si="124"/>
        <v>4064.9879810729353</v>
      </c>
      <c r="Q213" s="15">
        <f t="shared" si="124"/>
        <v>4293.1671708666981</v>
      </c>
      <c r="R213" s="15">
        <f t="shared" si="124"/>
        <v>4480.2613196012135</v>
      </c>
      <c r="S213" s="15">
        <f t="shared" si="124"/>
        <v>4689.4404245719325</v>
      </c>
      <c r="T213" s="15">
        <f t="shared" si="124"/>
        <v>4916.8741297174365</v>
      </c>
      <c r="U213" s="15">
        <f t="shared" si="124"/>
        <v>5133.0266903982356</v>
      </c>
      <c r="V213" s="15">
        <f t="shared" si="124"/>
        <v>5348.2994230578006</v>
      </c>
      <c r="W213" s="15">
        <f t="shared" si="124"/>
        <v>5581.7390676192917</v>
      </c>
      <c r="X213" s="190">
        <f t="shared" si="124"/>
        <v>5827.4848732380633</v>
      </c>
      <c r="Y213" s="130">
        <f t="shared" si="124"/>
        <v>6084.6872923999008</v>
      </c>
      <c r="Z213" s="130">
        <f t="shared" si="124"/>
        <v>6338.5661198867547</v>
      </c>
      <c r="AA213" s="130">
        <f t="shared" si="124"/>
        <v>6598.3585818106694</v>
      </c>
      <c r="AB213" s="130">
        <f t="shared" si="124"/>
        <v>6867.246385286584</v>
      </c>
      <c r="AC213" s="130">
        <f t="shared" si="124"/>
        <v>7134.1652450439778</v>
      </c>
      <c r="AD213" s="130">
        <f t="shared" si="124"/>
        <v>7410.3444119422511</v>
      </c>
      <c r="AE213" s="130">
        <f t="shared" si="124"/>
        <v>7688.7514225464038</v>
      </c>
      <c r="AF213" s="130">
        <f t="shared" si="124"/>
        <v>7969.4828316388084</v>
      </c>
      <c r="AG213" s="130">
        <f t="shared" si="124"/>
        <v>8241.2238911109016</v>
      </c>
      <c r="AH213" s="190">
        <f t="shared" si="124"/>
        <v>8532.636649882239</v>
      </c>
    </row>
    <row r="214" spans="1:34">
      <c r="A214" t="s">
        <v>397</v>
      </c>
      <c r="C214" s="331">
        <f>C115</f>
        <v>96.589674000000016</v>
      </c>
      <c r="D214" s="331">
        <f t="shared" ref="D214:AH214" si="125">D115</f>
        <v>122.26441803083868</v>
      </c>
      <c r="E214" s="331">
        <f t="shared" si="125"/>
        <v>186.53032220942282</v>
      </c>
      <c r="F214" s="331">
        <f t="shared" si="125"/>
        <v>241.54402265064331</v>
      </c>
      <c r="G214" s="331">
        <f t="shared" si="125"/>
        <v>378.54811263671019</v>
      </c>
      <c r="H214" s="402">
        <f t="shared" si="125"/>
        <v>298.52201738302125</v>
      </c>
      <c r="I214" s="14">
        <f t="shared" si="125"/>
        <v>393.52697106106979</v>
      </c>
      <c r="J214" s="14">
        <f t="shared" si="125"/>
        <v>531.29858213864452</v>
      </c>
      <c r="K214" s="14">
        <f t="shared" si="125"/>
        <v>734.19265877486453</v>
      </c>
      <c r="L214" s="14">
        <f t="shared" si="125"/>
        <v>1050.7098983194269</v>
      </c>
      <c r="M214" s="14">
        <f t="shared" si="125"/>
        <v>1398.171623754555</v>
      </c>
      <c r="N214" s="182">
        <f t="shared" si="125"/>
        <v>1954.8766761007494</v>
      </c>
      <c r="O214" s="14">
        <f t="shared" si="125"/>
        <v>2043.2110195333746</v>
      </c>
      <c r="P214" s="14">
        <f t="shared" si="125"/>
        <v>2139.4676081060438</v>
      </c>
      <c r="Q214" s="14">
        <f t="shared" si="125"/>
        <v>2259.5619325371786</v>
      </c>
      <c r="R214" s="14">
        <f t="shared" si="125"/>
        <v>2358.032548624466</v>
      </c>
      <c r="S214" s="14">
        <f t="shared" si="125"/>
        <v>2468.1268272450252</v>
      </c>
      <c r="T214" s="14">
        <f t="shared" si="125"/>
        <v>2587.8287912891878</v>
      </c>
      <c r="U214" s="14">
        <f t="shared" si="125"/>
        <v>2701.5933101854248</v>
      </c>
      <c r="V214" s="14">
        <f t="shared" si="125"/>
        <v>2814.89476164803</v>
      </c>
      <c r="W214" s="14">
        <f t="shared" si="125"/>
        <v>2937.7577468062973</v>
      </c>
      <c r="X214" s="187">
        <f t="shared" si="125"/>
        <v>3067.0976595925863</v>
      </c>
      <c r="Y214" s="158">
        <f t="shared" si="125"/>
        <v>3202.4673696840832</v>
      </c>
      <c r="Z214" s="158">
        <f t="shared" si="125"/>
        <v>3336.0878207951591</v>
      </c>
      <c r="AA214" s="158">
        <f t="shared" si="125"/>
        <v>3472.8207114468146</v>
      </c>
      <c r="AB214" s="158">
        <f t="shared" si="125"/>
        <v>3614.3406245265237</v>
      </c>
      <c r="AC214" s="158">
        <f t="shared" si="125"/>
        <v>3754.8242513176688</v>
      </c>
      <c r="AD214" s="158">
        <f t="shared" si="125"/>
        <v>3900.1817245411476</v>
      </c>
      <c r="AE214" s="158">
        <f t="shared" si="125"/>
        <v>4046.7117472203295</v>
      </c>
      <c r="AF214" s="158">
        <f t="shared" si="125"/>
        <v>4194.4651376676575</v>
      </c>
      <c r="AG214" s="158">
        <f t="shared" si="125"/>
        <v>4337.4867646047951</v>
      </c>
      <c r="AH214" s="187">
        <f t="shared" si="125"/>
        <v>4490.8619186970182</v>
      </c>
    </row>
    <row r="215" spans="1:34">
      <c r="A215" t="s">
        <v>398</v>
      </c>
      <c r="C215" s="331">
        <f>C142</f>
        <v>86.930436600000007</v>
      </c>
      <c r="D215" s="331">
        <f t="shared" ref="D215:AH215" si="126">D142</f>
        <v>110.03768735916337</v>
      </c>
      <c r="E215" s="331">
        <f t="shared" si="126"/>
        <v>167.87694065237201</v>
      </c>
      <c r="F215" s="331">
        <f t="shared" si="126"/>
        <v>217.38926745856696</v>
      </c>
      <c r="G215" s="331">
        <f t="shared" si="126"/>
        <v>340.69290313861461</v>
      </c>
      <c r="H215" s="402">
        <f t="shared" si="126"/>
        <v>268.66954564471916</v>
      </c>
      <c r="I215" s="14">
        <f t="shared" si="126"/>
        <v>354.17398119373536</v>
      </c>
      <c r="J215" s="14">
        <f t="shared" si="126"/>
        <v>478.16840485763481</v>
      </c>
      <c r="K215" s="14">
        <f t="shared" si="126"/>
        <v>660.77304374923517</v>
      </c>
      <c r="L215" s="14">
        <f t="shared" si="126"/>
        <v>945.63853048431486</v>
      </c>
      <c r="M215" s="14">
        <f t="shared" si="126"/>
        <v>1258.3540572064426</v>
      </c>
      <c r="N215" s="182">
        <f t="shared" si="126"/>
        <v>1759.3885750866762</v>
      </c>
      <c r="O215" s="14">
        <f t="shared" si="126"/>
        <v>1838.8894645919609</v>
      </c>
      <c r="P215" s="14">
        <f t="shared" si="126"/>
        <v>1925.5203729668915</v>
      </c>
      <c r="Q215" s="14">
        <f t="shared" si="126"/>
        <v>2033.6052383295196</v>
      </c>
      <c r="R215" s="14">
        <f t="shared" si="126"/>
        <v>2122.228770976747</v>
      </c>
      <c r="S215" s="14">
        <f t="shared" si="126"/>
        <v>2221.3135973269077</v>
      </c>
      <c r="T215" s="14">
        <f t="shared" si="126"/>
        <v>2329.0453384282487</v>
      </c>
      <c r="U215" s="14">
        <f t="shared" si="126"/>
        <v>2431.4333802128112</v>
      </c>
      <c r="V215" s="14">
        <f t="shared" si="126"/>
        <v>2533.4046614097711</v>
      </c>
      <c r="W215" s="14">
        <f t="shared" si="126"/>
        <v>2643.981320812994</v>
      </c>
      <c r="X215" s="187">
        <f t="shared" si="126"/>
        <v>2760.387213645477</v>
      </c>
      <c r="Y215" s="158">
        <f t="shared" si="126"/>
        <v>2882.2199227158176</v>
      </c>
      <c r="Z215" s="158">
        <f t="shared" si="126"/>
        <v>3002.4782990915951</v>
      </c>
      <c r="AA215" s="158">
        <f t="shared" si="126"/>
        <v>3125.5378703638553</v>
      </c>
      <c r="AB215" s="158">
        <f t="shared" si="126"/>
        <v>3252.9057607600607</v>
      </c>
      <c r="AC215" s="158">
        <f t="shared" si="126"/>
        <v>3379.3409937263091</v>
      </c>
      <c r="AD215" s="158">
        <f t="shared" si="126"/>
        <v>3510.162687401104</v>
      </c>
      <c r="AE215" s="158">
        <f t="shared" si="126"/>
        <v>3642.0396753260748</v>
      </c>
      <c r="AF215" s="158">
        <f t="shared" si="126"/>
        <v>3775.0176939711514</v>
      </c>
      <c r="AG215" s="158">
        <f t="shared" si="126"/>
        <v>3903.737126506107</v>
      </c>
      <c r="AH215" s="187">
        <f t="shared" si="126"/>
        <v>4041.7747311852208</v>
      </c>
    </row>
    <row r="216" spans="1:34">
      <c r="A216" t="s">
        <v>399</v>
      </c>
      <c r="C216" s="331">
        <f>SUM(C217:C218)</f>
        <v>4408.6621500000001</v>
      </c>
      <c r="D216" s="331">
        <f t="shared" ref="D216:AH216" si="127">SUM(D217:D218)</f>
        <v>4355.7713224872705</v>
      </c>
      <c r="E216" s="331">
        <f t="shared" si="127"/>
        <v>4863.9690137334792</v>
      </c>
      <c r="F216" s="331">
        <f t="shared" si="127"/>
        <v>4537.0641782182029</v>
      </c>
      <c r="G216" s="331">
        <f t="shared" si="127"/>
        <v>4726.4043863138313</v>
      </c>
      <c r="H216" s="402">
        <f t="shared" si="127"/>
        <v>4734.3357990744007</v>
      </c>
      <c r="I216" s="14">
        <f t="shared" si="127"/>
        <v>4730.8035776941333</v>
      </c>
      <c r="J216" s="14">
        <f t="shared" si="127"/>
        <v>4750.8500223096526</v>
      </c>
      <c r="K216" s="14">
        <f t="shared" si="127"/>
        <v>4789.6887200587171</v>
      </c>
      <c r="L216" s="14">
        <f t="shared" si="127"/>
        <v>4776.8360658006586</v>
      </c>
      <c r="M216" s="14">
        <f t="shared" si="127"/>
        <v>4704.3185246480625</v>
      </c>
      <c r="N216" s="190">
        <f t="shared" si="127"/>
        <v>4645.619384409154</v>
      </c>
      <c r="O216" s="14">
        <f t="shared" si="127"/>
        <v>4648.0177545031256</v>
      </c>
      <c r="P216" s="14">
        <f t="shared" si="127"/>
        <v>4658.9311427202256</v>
      </c>
      <c r="Q216" s="14">
        <f t="shared" si="127"/>
        <v>4710.0611212244476</v>
      </c>
      <c r="R216" s="14">
        <f t="shared" si="127"/>
        <v>4705.1066949924989</v>
      </c>
      <c r="S216" s="15">
        <f t="shared" si="127"/>
        <v>4714.1151087792832</v>
      </c>
      <c r="T216" s="14">
        <f t="shared" si="127"/>
        <v>4731.2608741720651</v>
      </c>
      <c r="U216" s="14">
        <f t="shared" si="127"/>
        <v>4727.8703429981806</v>
      </c>
      <c r="V216" s="14">
        <f t="shared" si="127"/>
        <v>4715.2805568848198</v>
      </c>
      <c r="W216" s="14">
        <f t="shared" si="127"/>
        <v>4710.3879240675979</v>
      </c>
      <c r="X216" s="187">
        <f t="shared" si="127"/>
        <v>4707.1617270717743</v>
      </c>
      <c r="Y216" s="158">
        <f t="shared" si="127"/>
        <v>4736.8543022306385</v>
      </c>
      <c r="Z216" s="158">
        <f t="shared" si="127"/>
        <v>4755.6728510078819</v>
      </c>
      <c r="AA216" s="158">
        <f t="shared" si="127"/>
        <v>4771.1316209151119</v>
      </c>
      <c r="AB216" s="158">
        <f t="shared" si="127"/>
        <v>4785.50722492364</v>
      </c>
      <c r="AC216" s="158">
        <f t="shared" si="127"/>
        <v>4791.193018085246</v>
      </c>
      <c r="AD216" s="158">
        <f t="shared" si="127"/>
        <v>4796.111977730221</v>
      </c>
      <c r="AE216" s="158">
        <f t="shared" si="127"/>
        <v>4795.7042306241692</v>
      </c>
      <c r="AF216" s="158">
        <f t="shared" si="127"/>
        <v>4790.3534453737193</v>
      </c>
      <c r="AG216" s="158">
        <f t="shared" si="127"/>
        <v>4773.8101878515363</v>
      </c>
      <c r="AH216" s="187">
        <f t="shared" si="127"/>
        <v>4763.0795668476621</v>
      </c>
    </row>
    <row r="217" spans="1:34">
      <c r="A217" t="s">
        <v>400</v>
      </c>
      <c r="C217" s="331">
        <f>C114</f>
        <v>2320.3485000000001</v>
      </c>
      <c r="D217" s="331">
        <f t="shared" ref="D217:AH217" si="128">D114</f>
        <v>2292.5112223617211</v>
      </c>
      <c r="E217" s="331">
        <f t="shared" si="128"/>
        <v>2559.9836914386733</v>
      </c>
      <c r="F217" s="331">
        <f t="shared" si="128"/>
        <v>2387.9285148516856</v>
      </c>
      <c r="G217" s="331">
        <f t="shared" si="128"/>
        <v>2487.581255954648</v>
      </c>
      <c r="H217" s="402">
        <f t="shared" si="128"/>
        <v>2491.7556837233687</v>
      </c>
      <c r="I217" s="14">
        <f t="shared" si="128"/>
        <v>2489.8966198390176</v>
      </c>
      <c r="J217" s="14">
        <f t="shared" si="128"/>
        <v>2500.4473801629747</v>
      </c>
      <c r="K217" s="14">
        <f t="shared" si="128"/>
        <v>2520.8888000309039</v>
      </c>
      <c r="L217" s="14">
        <f t="shared" si="128"/>
        <v>2514.1242451582416</v>
      </c>
      <c r="M217" s="14">
        <f t="shared" si="128"/>
        <v>2475.9571182358222</v>
      </c>
      <c r="N217" s="187">
        <f t="shared" si="128"/>
        <v>2445.0628338995548</v>
      </c>
      <c r="O217" s="14">
        <f t="shared" si="128"/>
        <v>2446.3251339490134</v>
      </c>
      <c r="P217" s="14">
        <f t="shared" si="128"/>
        <v>2452.0690224843293</v>
      </c>
      <c r="Q217" s="14">
        <f t="shared" si="128"/>
        <v>2478.9795374865516</v>
      </c>
      <c r="R217" s="14">
        <f t="shared" si="128"/>
        <v>2476.371944732894</v>
      </c>
      <c r="S217" s="14">
        <f t="shared" si="128"/>
        <v>2481.113215146991</v>
      </c>
      <c r="T217" s="14">
        <f t="shared" si="128"/>
        <v>2490.1373021958234</v>
      </c>
      <c r="U217" s="14">
        <f t="shared" si="128"/>
        <v>2488.3528121043055</v>
      </c>
      <c r="V217" s="14">
        <f t="shared" si="128"/>
        <v>2481.7266088867473</v>
      </c>
      <c r="W217" s="14">
        <f t="shared" si="128"/>
        <v>2479.1515389829465</v>
      </c>
      <c r="X217" s="187">
        <f t="shared" si="128"/>
        <v>2477.4535405640918</v>
      </c>
      <c r="Y217" s="158">
        <f t="shared" si="128"/>
        <v>2493.0812117003361</v>
      </c>
      <c r="Z217" s="158">
        <f t="shared" si="128"/>
        <v>2502.98571105678</v>
      </c>
      <c r="AA217" s="158">
        <f t="shared" si="128"/>
        <v>2511.1219057447956</v>
      </c>
      <c r="AB217" s="158">
        <f t="shared" si="128"/>
        <v>2518.6880131177054</v>
      </c>
      <c r="AC217" s="158">
        <f t="shared" si="128"/>
        <v>2521.6805358343399</v>
      </c>
      <c r="AD217" s="158">
        <f t="shared" si="128"/>
        <v>2524.2694619632744</v>
      </c>
      <c r="AE217" s="158">
        <f t="shared" si="128"/>
        <v>2524.0548582232473</v>
      </c>
      <c r="AF217" s="158">
        <f t="shared" si="128"/>
        <v>2521.238655459852</v>
      </c>
      <c r="AG217" s="158">
        <f t="shared" si="128"/>
        <v>2512.5316778165979</v>
      </c>
      <c r="AH217" s="187">
        <f t="shared" si="128"/>
        <v>2506.883982551401</v>
      </c>
    </row>
    <row r="218" spans="1:34">
      <c r="A218" t="s">
        <v>401</v>
      </c>
      <c r="C218" s="331">
        <f>C141</f>
        <v>2088.3136500000001</v>
      </c>
      <c r="D218" s="331">
        <f t="shared" ref="D218:AH218" si="129">D141</f>
        <v>2063.2601001255493</v>
      </c>
      <c r="E218" s="331">
        <f t="shared" si="129"/>
        <v>2303.9853222948059</v>
      </c>
      <c r="F218" s="331">
        <f t="shared" si="129"/>
        <v>2149.1356633665173</v>
      </c>
      <c r="G218" s="331">
        <f t="shared" si="129"/>
        <v>2238.8231303591833</v>
      </c>
      <c r="H218" s="402">
        <f t="shared" si="129"/>
        <v>2242.580115351032</v>
      </c>
      <c r="I218" s="14">
        <f t="shared" si="129"/>
        <v>2240.9069578551157</v>
      </c>
      <c r="J218" s="14">
        <f t="shared" si="129"/>
        <v>2250.4026421466774</v>
      </c>
      <c r="K218" s="14">
        <f t="shared" si="129"/>
        <v>2268.7999200278136</v>
      </c>
      <c r="L218" s="14">
        <f t="shared" si="129"/>
        <v>2262.7118206424175</v>
      </c>
      <c r="M218" s="14">
        <f t="shared" si="129"/>
        <v>2228.3614064122398</v>
      </c>
      <c r="N218" s="187">
        <f t="shared" si="129"/>
        <v>2200.5565505095992</v>
      </c>
      <c r="O218" s="14">
        <f t="shared" si="129"/>
        <v>2201.6926205541122</v>
      </c>
      <c r="P218" s="14">
        <f t="shared" si="129"/>
        <v>2206.8621202358963</v>
      </c>
      <c r="Q218" s="14">
        <f t="shared" si="129"/>
        <v>2231.0815837378964</v>
      </c>
      <c r="R218" s="14">
        <f t="shared" si="129"/>
        <v>2228.7347502596044</v>
      </c>
      <c r="S218" s="14">
        <f t="shared" si="129"/>
        <v>2233.0018936322922</v>
      </c>
      <c r="T218" s="14">
        <f t="shared" si="129"/>
        <v>2241.1235719762412</v>
      </c>
      <c r="U218" s="14">
        <f t="shared" si="129"/>
        <v>2239.5175308938751</v>
      </c>
      <c r="V218" s="14">
        <f t="shared" si="129"/>
        <v>2233.5539479980725</v>
      </c>
      <c r="W218" s="14">
        <f t="shared" si="129"/>
        <v>2231.2363850846518</v>
      </c>
      <c r="X218" s="187">
        <f t="shared" si="129"/>
        <v>2229.7081865076825</v>
      </c>
      <c r="Y218" s="158">
        <f t="shared" si="129"/>
        <v>2243.7730905303024</v>
      </c>
      <c r="Z218" s="158">
        <f t="shared" si="129"/>
        <v>2252.6871399511019</v>
      </c>
      <c r="AA218" s="158">
        <f t="shared" si="129"/>
        <v>2260.0097151703162</v>
      </c>
      <c r="AB218" s="158">
        <f t="shared" si="129"/>
        <v>2266.8192118059346</v>
      </c>
      <c r="AC218" s="158">
        <f t="shared" si="129"/>
        <v>2269.512482250906</v>
      </c>
      <c r="AD218" s="158">
        <f t="shared" si="129"/>
        <v>2271.8425157669467</v>
      </c>
      <c r="AE218" s="158">
        <f t="shared" si="129"/>
        <v>2271.6493724009224</v>
      </c>
      <c r="AF218" s="158">
        <f t="shared" si="129"/>
        <v>2269.1147899138668</v>
      </c>
      <c r="AG218" s="158">
        <f t="shared" si="129"/>
        <v>2261.2785100349383</v>
      </c>
      <c r="AH218" s="187">
        <f t="shared" si="129"/>
        <v>2256.1955842962611</v>
      </c>
    </row>
    <row r="219" spans="1:34" s="1" customFormat="1">
      <c r="A219" s="1" t="s">
        <v>393</v>
      </c>
      <c r="B219" s="13"/>
      <c r="C219" s="341">
        <f>SUM(C220:C221)</f>
        <v>5418.4607245999996</v>
      </c>
      <c r="D219" s="341">
        <f t="shared" ref="D219:AH219" si="130">SUM(D220:D221)</f>
        <v>5412.5976174295411</v>
      </c>
      <c r="E219" s="341">
        <f t="shared" si="130"/>
        <v>6092.0165616994127</v>
      </c>
      <c r="F219" s="341">
        <f t="shared" si="130"/>
        <v>5733.4812558568756</v>
      </c>
      <c r="G219" s="341">
        <f t="shared" si="130"/>
        <v>6009.8067636459018</v>
      </c>
      <c r="H219" s="405">
        <f t="shared" si="130"/>
        <v>6130.553015727919</v>
      </c>
      <c r="I219" s="15">
        <f t="shared" si="130"/>
        <v>6192.0696347465791</v>
      </c>
      <c r="J219" s="15">
        <f t="shared" si="130"/>
        <v>6269.5844392436156</v>
      </c>
      <c r="K219" s="15">
        <f t="shared" si="130"/>
        <v>6342.7049789404318</v>
      </c>
      <c r="L219" s="15">
        <f t="shared" si="130"/>
        <v>6274.9655415930774</v>
      </c>
      <c r="M219" s="15">
        <f t="shared" si="130"/>
        <v>6148.0916750671076</v>
      </c>
      <c r="N219" s="190">
        <f t="shared" si="130"/>
        <v>5924.6270976920541</v>
      </c>
      <c r="O219" s="15">
        <f t="shared" si="130"/>
        <v>5912.8162280056913</v>
      </c>
      <c r="P219" s="15">
        <f t="shared" si="130"/>
        <v>5910.2023794839515</v>
      </c>
      <c r="Q219" s="15">
        <f t="shared" si="130"/>
        <v>5957.4193740488208</v>
      </c>
      <c r="R219" s="15">
        <f t="shared" si="130"/>
        <v>5930.6361766331174</v>
      </c>
      <c r="S219" s="15">
        <f t="shared" si="130"/>
        <v>5919.3230168466471</v>
      </c>
      <c r="T219" s="15">
        <f t="shared" si="130"/>
        <v>5915.9653023098481</v>
      </c>
      <c r="U219" s="15">
        <f t="shared" si="130"/>
        <v>5883.8518821340804</v>
      </c>
      <c r="V219" s="15">
        <f t="shared" si="130"/>
        <v>5837.5708593164563</v>
      </c>
      <c r="W219" s="15">
        <f t="shared" si="130"/>
        <v>5798.1894988046824</v>
      </c>
      <c r="X219" s="190">
        <f t="shared" si="130"/>
        <v>5757.8301202167877</v>
      </c>
      <c r="Y219" s="130">
        <f t="shared" si="130"/>
        <v>5768.1381779843368</v>
      </c>
      <c r="Z219" s="130">
        <f t="shared" si="130"/>
        <v>5762.3426834227039</v>
      </c>
      <c r="AA219" s="130">
        <f t="shared" si="130"/>
        <v>5749.7686197201128</v>
      </c>
      <c r="AB219" s="130">
        <f t="shared" si="130"/>
        <v>5733.2123761240491</v>
      </c>
      <c r="AC219" s="130">
        <f t="shared" si="130"/>
        <v>5703.590582172088</v>
      </c>
      <c r="AD219" s="130">
        <f t="shared" si="130"/>
        <v>5670.3804550200293</v>
      </c>
      <c r="AE219" s="130">
        <f t="shared" si="130"/>
        <v>5628.011623546282</v>
      </c>
      <c r="AF219" s="130">
        <f t="shared" si="130"/>
        <v>5577.0348557696025</v>
      </c>
      <c r="AG219" s="130">
        <f t="shared" si="130"/>
        <v>5510.029178757688</v>
      </c>
      <c r="AH219" s="190">
        <f t="shared" si="130"/>
        <v>5447.1964084176579</v>
      </c>
    </row>
    <row r="220" spans="1:34">
      <c r="A220" t="s">
        <v>402</v>
      </c>
      <c r="C220" s="331">
        <f>SUM(C116:C117)</f>
        <v>2851.8214339999995</v>
      </c>
      <c r="D220" s="331">
        <f t="shared" ref="D220:AH220" si="131">SUM(D116:D117)</f>
        <v>2848.7355881208109</v>
      </c>
      <c r="E220" s="331">
        <f t="shared" si="131"/>
        <v>3206.3245061575858</v>
      </c>
      <c r="F220" s="331">
        <f t="shared" si="131"/>
        <v>3017.6217136088817</v>
      </c>
      <c r="G220" s="331">
        <f t="shared" si="131"/>
        <v>3163.0561913925799</v>
      </c>
      <c r="H220" s="402">
        <f t="shared" si="131"/>
        <v>3226.6068503831152</v>
      </c>
      <c r="I220" s="14">
        <f t="shared" si="131"/>
        <v>3258.9840182876733</v>
      </c>
      <c r="J220" s="14">
        <f t="shared" si="131"/>
        <v>3299.7812838124291</v>
      </c>
      <c r="K220" s="14">
        <f t="shared" si="131"/>
        <v>3338.2657783897007</v>
      </c>
      <c r="L220" s="14">
        <f t="shared" si="131"/>
        <v>3302.6134429437252</v>
      </c>
      <c r="M220" s="14">
        <f t="shared" si="131"/>
        <v>3235.83772371953</v>
      </c>
      <c r="N220" s="187">
        <f t="shared" si="131"/>
        <v>3118.2247882589759</v>
      </c>
      <c r="O220" s="14">
        <f t="shared" si="131"/>
        <v>3112.0085410556267</v>
      </c>
      <c r="P220" s="14">
        <f t="shared" si="131"/>
        <v>3110.6328313073432</v>
      </c>
      <c r="Q220" s="14">
        <f t="shared" si="131"/>
        <v>3135.4838810783267</v>
      </c>
      <c r="R220" s="14">
        <f t="shared" si="131"/>
        <v>3121.3874613858511</v>
      </c>
      <c r="S220" s="14">
        <f t="shared" si="131"/>
        <v>3115.4331667613928</v>
      </c>
      <c r="T220" s="14">
        <f t="shared" si="131"/>
        <v>3113.6659485841305</v>
      </c>
      <c r="U220" s="14">
        <f t="shared" si="131"/>
        <v>3096.7641484916212</v>
      </c>
      <c r="V220" s="14">
        <f t="shared" si="131"/>
        <v>3072.4057154297134</v>
      </c>
      <c r="W220" s="14">
        <f t="shared" si="131"/>
        <v>3051.6786835814119</v>
      </c>
      <c r="X220" s="187">
        <f t="shared" si="131"/>
        <v>3030.4369053772566</v>
      </c>
      <c r="Y220" s="158">
        <f t="shared" si="131"/>
        <v>3035.8621989391245</v>
      </c>
      <c r="Z220" s="158">
        <f t="shared" si="131"/>
        <v>3032.8119386435283</v>
      </c>
      <c r="AA220" s="158">
        <f t="shared" si="131"/>
        <v>3026.1940103790066</v>
      </c>
      <c r="AB220" s="158">
        <f t="shared" si="131"/>
        <v>3017.4801979600261</v>
      </c>
      <c r="AC220" s="158">
        <f t="shared" si="131"/>
        <v>3001.8897800905725</v>
      </c>
      <c r="AD220" s="158">
        <f t="shared" si="131"/>
        <v>2984.4107658000153</v>
      </c>
      <c r="AE220" s="158">
        <f t="shared" si="131"/>
        <v>2962.1113808138325</v>
      </c>
      <c r="AF220" s="158">
        <f t="shared" si="131"/>
        <v>2935.2815030366328</v>
      </c>
      <c r="AG220" s="158">
        <f t="shared" si="131"/>
        <v>2900.0153572408881</v>
      </c>
      <c r="AH220" s="187">
        <f t="shared" si="131"/>
        <v>2866.9454781145564</v>
      </c>
    </row>
    <row r="221" spans="1:34">
      <c r="A221" t="s">
        <v>403</v>
      </c>
      <c r="C221" s="331">
        <f>SUM(C143:C144)</f>
        <v>2566.6392905999996</v>
      </c>
      <c r="D221" s="331">
        <f t="shared" ref="D221:AH221" si="132">SUM(D143:D144)</f>
        <v>2563.8620293087297</v>
      </c>
      <c r="E221" s="331">
        <f t="shared" si="132"/>
        <v>2885.6920555418269</v>
      </c>
      <c r="F221" s="331">
        <f t="shared" si="132"/>
        <v>2715.8595422479939</v>
      </c>
      <c r="G221" s="331">
        <f t="shared" si="132"/>
        <v>2846.7505722533219</v>
      </c>
      <c r="H221" s="402">
        <f t="shared" si="132"/>
        <v>2903.9461653448034</v>
      </c>
      <c r="I221" s="14">
        <f t="shared" si="132"/>
        <v>2933.0856164589059</v>
      </c>
      <c r="J221" s="14">
        <f t="shared" si="132"/>
        <v>2969.803155431186</v>
      </c>
      <c r="K221" s="14">
        <f t="shared" si="132"/>
        <v>3004.4392005507307</v>
      </c>
      <c r="L221" s="14">
        <f t="shared" si="132"/>
        <v>2972.3520986493527</v>
      </c>
      <c r="M221" s="14">
        <f t="shared" si="132"/>
        <v>2912.2539513475772</v>
      </c>
      <c r="N221" s="187">
        <f t="shared" si="132"/>
        <v>2806.4023094330782</v>
      </c>
      <c r="O221" s="14">
        <f t="shared" si="132"/>
        <v>2800.8076869500642</v>
      </c>
      <c r="P221" s="14">
        <f t="shared" si="132"/>
        <v>2799.5695481766088</v>
      </c>
      <c r="Q221" s="14">
        <f t="shared" si="132"/>
        <v>2821.9354929704941</v>
      </c>
      <c r="R221" s="14">
        <f t="shared" si="132"/>
        <v>2809.2487152472659</v>
      </c>
      <c r="S221" s="14">
        <f t="shared" si="132"/>
        <v>2803.8898500852538</v>
      </c>
      <c r="T221" s="14">
        <f t="shared" si="132"/>
        <v>2802.2993537257175</v>
      </c>
      <c r="U221" s="14">
        <f t="shared" si="132"/>
        <v>2787.0877336424592</v>
      </c>
      <c r="V221" s="14">
        <f t="shared" si="132"/>
        <v>2765.1651438867425</v>
      </c>
      <c r="W221" s="14">
        <f t="shared" si="132"/>
        <v>2746.5108152232706</v>
      </c>
      <c r="X221" s="187">
        <f t="shared" si="132"/>
        <v>2727.3932148395306</v>
      </c>
      <c r="Y221" s="158">
        <f t="shared" si="132"/>
        <v>2732.2759790452124</v>
      </c>
      <c r="Z221" s="158">
        <f t="shared" si="132"/>
        <v>2729.5307447791756</v>
      </c>
      <c r="AA221" s="158">
        <f t="shared" si="132"/>
        <v>2723.5746093411062</v>
      </c>
      <c r="AB221" s="158">
        <f t="shared" si="132"/>
        <v>2715.7321781640235</v>
      </c>
      <c r="AC221" s="158">
        <f t="shared" si="132"/>
        <v>2701.7008020815156</v>
      </c>
      <c r="AD221" s="158">
        <f t="shared" si="132"/>
        <v>2685.9696892200136</v>
      </c>
      <c r="AE221" s="158">
        <f t="shared" si="132"/>
        <v>2665.9002427324494</v>
      </c>
      <c r="AF221" s="158">
        <f t="shared" si="132"/>
        <v>2641.7533527329697</v>
      </c>
      <c r="AG221" s="158">
        <f t="shared" si="132"/>
        <v>2610.0138215167995</v>
      </c>
      <c r="AH221" s="187">
        <f t="shared" si="132"/>
        <v>2580.2509303031011</v>
      </c>
    </row>
    <row r="222" spans="1:34">
      <c r="A222" s="1" t="s">
        <v>425</v>
      </c>
      <c r="C222" s="331">
        <f>SUM(C210,C213,C216,C219)</f>
        <v>10010.6429852</v>
      </c>
      <c r="D222" s="331">
        <f t="shared" ref="D222:AH222" si="133">SUM(D210,D213,D216,D219)</f>
        <v>10000.671045306814</v>
      </c>
      <c r="E222" s="331">
        <f t="shared" si="133"/>
        <v>11310.392838294687</v>
      </c>
      <c r="F222" s="331">
        <f t="shared" si="133"/>
        <v>10729.47872418429</v>
      </c>
      <c r="G222" s="331">
        <f t="shared" si="133"/>
        <v>11455.452165735058</v>
      </c>
      <c r="H222" s="402">
        <f t="shared" si="133"/>
        <v>11432.08037783006</v>
      </c>
      <c r="I222" s="14">
        <f t="shared" si="133"/>
        <v>11670.574164695518</v>
      </c>
      <c r="J222" s="14">
        <f t="shared" si="133"/>
        <v>12029.901448549546</v>
      </c>
      <c r="K222" s="14">
        <f t="shared" si="133"/>
        <v>12527.359401523248</v>
      </c>
      <c r="L222" s="14">
        <f t="shared" si="133"/>
        <v>13048.150036197478</v>
      </c>
      <c r="M222" s="14">
        <f t="shared" si="133"/>
        <v>13508.935880676167</v>
      </c>
      <c r="N222" s="187">
        <f t="shared" si="133"/>
        <v>14284.511733288633</v>
      </c>
      <c r="O222" s="14">
        <f t="shared" si="133"/>
        <v>14442.934466634151</v>
      </c>
      <c r="P222" s="14">
        <f t="shared" si="133"/>
        <v>14634.121503277112</v>
      </c>
      <c r="Q222" s="14">
        <f t="shared" si="133"/>
        <v>14960.647666139967</v>
      </c>
      <c r="R222" s="14">
        <f t="shared" si="133"/>
        <v>15116.00419122683</v>
      </c>
      <c r="S222" s="14">
        <f t="shared" si="133"/>
        <v>15322.878550197864</v>
      </c>
      <c r="T222" s="14">
        <f t="shared" si="133"/>
        <v>15564.100306199351</v>
      </c>
      <c r="U222" s="14">
        <f t="shared" si="133"/>
        <v>15744.748915530497</v>
      </c>
      <c r="V222" s="14">
        <f t="shared" si="133"/>
        <v>15901.150839259077</v>
      </c>
      <c r="W222" s="14">
        <f t="shared" si="133"/>
        <v>16090.316490491572</v>
      </c>
      <c r="X222" s="187">
        <f t="shared" si="133"/>
        <v>16292.476720526625</v>
      </c>
      <c r="Y222" s="158">
        <f t="shared" si="133"/>
        <v>16589.679772614876</v>
      </c>
      <c r="Z222" s="158">
        <f t="shared" si="133"/>
        <v>16856.581654317339</v>
      </c>
      <c r="AA222" s="158">
        <f t="shared" si="133"/>
        <v>17119.258822445896</v>
      </c>
      <c r="AB222" s="158">
        <f t="shared" si="133"/>
        <v>17385.965986334275</v>
      </c>
      <c r="AC222" s="158">
        <f t="shared" si="133"/>
        <v>17628.948845301311</v>
      </c>
      <c r="AD222" s="158">
        <f t="shared" si="133"/>
        <v>17876.836844692501</v>
      </c>
      <c r="AE222" s="158">
        <f t="shared" si="133"/>
        <v>18112.467276716856</v>
      </c>
      <c r="AF222" s="158">
        <f t="shared" si="133"/>
        <v>18336.871132782129</v>
      </c>
      <c r="AG222" s="158">
        <f t="shared" si="133"/>
        <v>18525.063257720125</v>
      </c>
      <c r="AH222" s="187">
        <f t="shared" si="133"/>
        <v>18742.912625147561</v>
      </c>
    </row>
    <row r="223" spans="1:34" s="1" customFormat="1">
      <c r="A223" s="1" t="s">
        <v>443</v>
      </c>
      <c r="B223" s="13"/>
      <c r="C223" s="328" t="s">
        <v>0</v>
      </c>
      <c r="D223" s="341">
        <f>D210+D213</f>
        <v>232.30210539000205</v>
      </c>
      <c r="E223" s="341">
        <f t="shared" ref="E223:AH223" si="134">E210+E213</f>
        <v>354.40726286179483</v>
      </c>
      <c r="F223" s="341">
        <f t="shared" si="134"/>
        <v>458.93329010921025</v>
      </c>
      <c r="G223" s="341">
        <f t="shared" si="134"/>
        <v>719.24101577532474</v>
      </c>
      <c r="H223" s="405">
        <f>H210+H213</f>
        <v>567.19156302774036</v>
      </c>
      <c r="I223" s="15">
        <f t="shared" si="134"/>
        <v>747.70095225480509</v>
      </c>
      <c r="J223" s="15">
        <f t="shared" si="134"/>
        <v>1009.4669869962793</v>
      </c>
      <c r="K223" s="15">
        <f t="shared" si="134"/>
        <v>1394.9657025240997</v>
      </c>
      <c r="L223" s="15">
        <f t="shared" si="134"/>
        <v>1996.3484288037416</v>
      </c>
      <c r="M223" s="15">
        <f t="shared" si="134"/>
        <v>2656.5256809609973</v>
      </c>
      <c r="N223" s="190">
        <f t="shared" si="134"/>
        <v>3714.2652511874257</v>
      </c>
      <c r="O223" s="15">
        <f t="shared" si="134"/>
        <v>3882.1004841253352</v>
      </c>
      <c r="P223" s="15">
        <f t="shared" si="134"/>
        <v>4064.9879810729353</v>
      </c>
      <c r="Q223" s="15">
        <f t="shared" si="134"/>
        <v>4293.1671708666981</v>
      </c>
      <c r="R223" s="15">
        <f t="shared" si="134"/>
        <v>4480.2613196012135</v>
      </c>
      <c r="S223" s="15">
        <f t="shared" si="134"/>
        <v>4689.4404245719325</v>
      </c>
      <c r="T223" s="15">
        <f t="shared" si="134"/>
        <v>4916.8741297174365</v>
      </c>
      <c r="U223" s="15">
        <f t="shared" si="134"/>
        <v>5133.0266903982356</v>
      </c>
      <c r="V223" s="15">
        <f t="shared" si="134"/>
        <v>5348.2994230578006</v>
      </c>
      <c r="W223" s="15">
        <f t="shared" si="134"/>
        <v>5581.7390676192917</v>
      </c>
      <c r="X223" s="190">
        <f t="shared" si="134"/>
        <v>5827.4848732380633</v>
      </c>
      <c r="Y223" s="130">
        <f t="shared" si="134"/>
        <v>6084.6872923999008</v>
      </c>
      <c r="Z223" s="130">
        <f t="shared" si="134"/>
        <v>6338.5661198867547</v>
      </c>
      <c r="AA223" s="130">
        <f t="shared" si="134"/>
        <v>6598.3585818106694</v>
      </c>
      <c r="AB223" s="130">
        <f t="shared" si="134"/>
        <v>6867.246385286584</v>
      </c>
      <c r="AC223" s="130">
        <f t="shared" si="134"/>
        <v>7134.1652450439778</v>
      </c>
      <c r="AD223" s="130">
        <f t="shared" si="134"/>
        <v>7410.3444119422511</v>
      </c>
      <c r="AE223" s="130">
        <f t="shared" si="134"/>
        <v>7688.7514225464038</v>
      </c>
      <c r="AF223" s="130">
        <f t="shared" si="134"/>
        <v>7969.4828316388084</v>
      </c>
      <c r="AG223" s="130">
        <f t="shared" si="134"/>
        <v>8241.2238911109016</v>
      </c>
      <c r="AH223" s="190">
        <f t="shared" si="134"/>
        <v>8532.636649882239</v>
      </c>
    </row>
    <row r="224" spans="1:34">
      <c r="A224" t="s">
        <v>446</v>
      </c>
      <c r="D224" s="331">
        <f>D210+D213+D216</f>
        <v>4588.0734278772725</v>
      </c>
      <c r="E224" s="331">
        <f t="shared" ref="E224:AH224" si="135">E210+E213+E216</f>
        <v>5218.3762765952742</v>
      </c>
      <c r="F224" s="331">
        <f t="shared" si="135"/>
        <v>4995.9974683274131</v>
      </c>
      <c r="G224" s="331">
        <f t="shared" si="135"/>
        <v>5445.6454020891561</v>
      </c>
      <c r="H224" s="402">
        <f t="shared" si="135"/>
        <v>5301.5273621021406</v>
      </c>
      <c r="I224" s="14">
        <f t="shared" si="135"/>
        <v>5478.5045299489384</v>
      </c>
      <c r="J224" s="14">
        <f t="shared" si="135"/>
        <v>5760.3170093059316</v>
      </c>
      <c r="K224" s="14">
        <f t="shared" si="135"/>
        <v>6184.6544225828166</v>
      </c>
      <c r="L224" s="14">
        <f t="shared" si="135"/>
        <v>6773.1844946044002</v>
      </c>
      <c r="M224" s="14">
        <f t="shared" si="135"/>
        <v>7360.8442056090598</v>
      </c>
      <c r="N224" s="187">
        <f t="shared" si="135"/>
        <v>8359.8846355965798</v>
      </c>
      <c r="O224" s="14">
        <f t="shared" si="135"/>
        <v>8530.1182386284599</v>
      </c>
      <c r="P224" s="14">
        <f t="shared" si="135"/>
        <v>8723.9191237931609</v>
      </c>
      <c r="Q224" s="14">
        <f t="shared" si="135"/>
        <v>9003.2282920911457</v>
      </c>
      <c r="R224" s="14">
        <f t="shared" si="135"/>
        <v>9185.3680145937124</v>
      </c>
      <c r="S224" s="14">
        <f t="shared" si="135"/>
        <v>9403.5555333512166</v>
      </c>
      <c r="T224" s="14">
        <f t="shared" si="135"/>
        <v>9648.1350038895016</v>
      </c>
      <c r="U224" s="14">
        <f t="shared" si="135"/>
        <v>9860.8970333964171</v>
      </c>
      <c r="V224" s="14">
        <f t="shared" si="135"/>
        <v>10063.57997994262</v>
      </c>
      <c r="W224" s="14">
        <f t="shared" si="135"/>
        <v>10292.12699168689</v>
      </c>
      <c r="X224" s="187">
        <f t="shared" si="135"/>
        <v>10534.646600309838</v>
      </c>
      <c r="Y224" s="158">
        <f t="shared" si="135"/>
        <v>10821.54159463054</v>
      </c>
      <c r="Z224" s="158">
        <f t="shared" si="135"/>
        <v>11094.238970894636</v>
      </c>
      <c r="AA224" s="158">
        <f t="shared" si="135"/>
        <v>11369.490202725781</v>
      </c>
      <c r="AB224" s="158">
        <f t="shared" si="135"/>
        <v>11652.753610210224</v>
      </c>
      <c r="AC224" s="158">
        <f t="shared" si="135"/>
        <v>11925.358263129223</v>
      </c>
      <c r="AD224" s="158">
        <f t="shared" si="135"/>
        <v>12206.456389672472</v>
      </c>
      <c r="AE224" s="158">
        <f t="shared" si="135"/>
        <v>12484.455653170573</v>
      </c>
      <c r="AF224" s="158">
        <f t="shared" si="135"/>
        <v>12759.836277012528</v>
      </c>
      <c r="AG224" s="158">
        <f t="shared" si="135"/>
        <v>13015.034078962439</v>
      </c>
      <c r="AH224" s="187">
        <f t="shared" si="135"/>
        <v>13295.716216729901</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453</v>
      </c>
      <c r="D226" s="331">
        <f>D210+D213</f>
        <v>232.30210539000205</v>
      </c>
      <c r="E226" s="331">
        <f>D226+E210+E213</f>
        <v>586.70936825179683</v>
      </c>
      <c r="F226" s="331">
        <f>E226+F210+F213</f>
        <v>1045.6426583610071</v>
      </c>
      <c r="G226" s="331">
        <f>F226+G210+G213</f>
        <v>1764.8836741363318</v>
      </c>
      <c r="H226" s="402">
        <f t="shared" ref="H226:X226" si="136">G226+H210+H213</f>
        <v>2332.075237164072</v>
      </c>
      <c r="I226" s="14">
        <f t="shared" si="136"/>
        <v>3079.776189418877</v>
      </c>
      <c r="J226" s="14">
        <f t="shared" si="136"/>
        <v>4089.2431764151561</v>
      </c>
      <c r="K226" s="14">
        <f t="shared" si="136"/>
        <v>5484.2088789392556</v>
      </c>
      <c r="L226" s="14">
        <f t="shared" si="136"/>
        <v>7480.5573077429972</v>
      </c>
      <c r="M226" s="14">
        <f t="shared" si="136"/>
        <v>10137.082988703994</v>
      </c>
      <c r="N226" s="187">
        <f t="shared" si="136"/>
        <v>13851.34823989142</v>
      </c>
      <c r="O226" s="14">
        <f t="shared" si="136"/>
        <v>17733.448724016755</v>
      </c>
      <c r="P226" s="14">
        <f t="shared" si="136"/>
        <v>21798.436705089691</v>
      </c>
      <c r="Q226" s="14">
        <f t="shared" si="136"/>
        <v>26091.603875956389</v>
      </c>
      <c r="R226" s="14">
        <f t="shared" si="136"/>
        <v>30571.865195557602</v>
      </c>
      <c r="S226" s="14">
        <f t="shared" si="136"/>
        <v>35261.305620129533</v>
      </c>
      <c r="T226" s="14">
        <f t="shared" si="136"/>
        <v>40178.179749846968</v>
      </c>
      <c r="U226" s="14">
        <f t="shared" si="136"/>
        <v>45311.206440245202</v>
      </c>
      <c r="V226" s="14">
        <f t="shared" si="136"/>
        <v>50659.505863302998</v>
      </c>
      <c r="W226" s="14">
        <f t="shared" si="136"/>
        <v>56241.244930922287</v>
      </c>
      <c r="X226" s="187">
        <f t="shared" si="136"/>
        <v>62068.72980416035</v>
      </c>
      <c r="Y226" s="158">
        <f t="shared" ref="Y226:AH226" si="137">X226+Y210+Y213</f>
        <v>68153.417096560253</v>
      </c>
      <c r="Z226" s="158">
        <f t="shared" si="137"/>
        <v>74491.983216447014</v>
      </c>
      <c r="AA226" s="158">
        <f t="shared" si="137"/>
        <v>81090.341798257679</v>
      </c>
      <c r="AB226" s="158">
        <f t="shared" si="137"/>
        <v>87957.588183544256</v>
      </c>
      <c r="AC226" s="158">
        <f t="shared" si="137"/>
        <v>95091.753428588228</v>
      </c>
      <c r="AD226" s="158">
        <f t="shared" si="137"/>
        <v>102502.09784053048</v>
      </c>
      <c r="AE226" s="158">
        <f t="shared" si="137"/>
        <v>110190.84926307687</v>
      </c>
      <c r="AF226" s="158">
        <f t="shared" si="137"/>
        <v>118160.33209471568</v>
      </c>
      <c r="AG226" s="158">
        <f t="shared" si="137"/>
        <v>126401.55598582658</v>
      </c>
      <c r="AH226" s="187">
        <f t="shared" si="137"/>
        <v>134934.19263570881</v>
      </c>
    </row>
    <row r="227" spans="1:34">
      <c r="A227" s="1" t="s">
        <v>454</v>
      </c>
      <c r="D227" s="331">
        <f>D219</f>
        <v>5412.5976174295411</v>
      </c>
      <c r="E227" s="331">
        <f>D227+E219</f>
        <v>11504.614179128954</v>
      </c>
      <c r="F227" s="331">
        <f>E227+F219</f>
        <v>17238.095434985829</v>
      </c>
      <c r="G227" s="331">
        <f t="shared" ref="G227:X227" si="138">F227+G219</f>
        <v>23247.902198631731</v>
      </c>
      <c r="H227" s="402">
        <f t="shared" si="138"/>
        <v>29378.455214359652</v>
      </c>
      <c r="I227" s="14">
        <f t="shared" si="138"/>
        <v>35570.52484910623</v>
      </c>
      <c r="J227" s="14">
        <f t="shared" si="138"/>
        <v>41840.10928834985</v>
      </c>
      <c r="K227" s="14">
        <f t="shared" si="138"/>
        <v>48182.814267290283</v>
      </c>
      <c r="L227" s="14">
        <f t="shared" si="138"/>
        <v>54457.779808883359</v>
      </c>
      <c r="M227" s="14">
        <f t="shared" si="138"/>
        <v>60605.871483950468</v>
      </c>
      <c r="N227" s="187">
        <f t="shared" si="138"/>
        <v>66530.498581642518</v>
      </c>
      <c r="O227" s="14">
        <f t="shared" si="138"/>
        <v>72443.314809648204</v>
      </c>
      <c r="P227" s="14">
        <f t="shared" si="138"/>
        <v>78353.517189132152</v>
      </c>
      <c r="Q227" s="14">
        <f t="shared" si="138"/>
        <v>84310.936563180978</v>
      </c>
      <c r="R227" s="14">
        <f t="shared" si="138"/>
        <v>90241.572739814088</v>
      </c>
      <c r="S227" s="14">
        <f t="shared" si="138"/>
        <v>96160.895756660728</v>
      </c>
      <c r="T227" s="14">
        <f t="shared" si="138"/>
        <v>102076.86105897058</v>
      </c>
      <c r="U227" s="14">
        <f t="shared" si="138"/>
        <v>107960.71294110466</v>
      </c>
      <c r="V227" s="14">
        <f t="shared" si="138"/>
        <v>113798.28380042112</v>
      </c>
      <c r="W227" s="14">
        <f t="shared" si="138"/>
        <v>119596.47329922581</v>
      </c>
      <c r="X227" s="187">
        <f t="shared" si="138"/>
        <v>125354.3034194426</v>
      </c>
      <c r="Y227" s="158">
        <f t="shared" ref="Y227:AH227" si="139">X227+Y219</f>
        <v>131122.44159742695</v>
      </c>
      <c r="Z227" s="158">
        <f t="shared" si="139"/>
        <v>136884.78428084965</v>
      </c>
      <c r="AA227" s="158">
        <f t="shared" si="139"/>
        <v>142634.55290056978</v>
      </c>
      <c r="AB227" s="158">
        <f t="shared" si="139"/>
        <v>148367.76527669383</v>
      </c>
      <c r="AC227" s="158">
        <f t="shared" si="139"/>
        <v>154071.35585886592</v>
      </c>
      <c r="AD227" s="158">
        <f t="shared" si="139"/>
        <v>159741.73631388595</v>
      </c>
      <c r="AE227" s="158">
        <f t="shared" si="139"/>
        <v>165369.74793743223</v>
      </c>
      <c r="AF227" s="158">
        <f t="shared" si="139"/>
        <v>170946.78279320183</v>
      </c>
      <c r="AG227" s="158">
        <f t="shared" si="139"/>
        <v>176456.81197195951</v>
      </c>
      <c r="AH227" s="187">
        <f t="shared" si="139"/>
        <v>181904.00838037717</v>
      </c>
    </row>
    <row r="228" spans="1:34">
      <c r="A228" s="1" t="s">
        <v>456</v>
      </c>
      <c r="D228" s="331">
        <f t="shared" ref="D228:AH228" si="140">D227-D207</f>
        <v>-139.48738257045898</v>
      </c>
      <c r="E228" s="331">
        <f t="shared" si="140"/>
        <v>-266.63022787686532</v>
      </c>
      <c r="F228" s="331">
        <f t="shared" si="140"/>
        <v>-257.09956355947361</v>
      </c>
      <c r="G228" s="331">
        <f t="shared" si="140"/>
        <v>-452.26089686374689</v>
      </c>
      <c r="H228" s="402">
        <f>H227-H207</f>
        <v>-487.97468420127916</v>
      </c>
      <c r="I228" s="14">
        <f t="shared" si="140"/>
        <v>-437.99128647904581</v>
      </c>
      <c r="J228" s="14">
        <f t="shared" si="140"/>
        <v>-407.7617951270222</v>
      </c>
      <c r="K228" s="14">
        <f t="shared" si="140"/>
        <v>-420.00751846305502</v>
      </c>
      <c r="L228" s="14">
        <f t="shared" si="140"/>
        <v>-590.06741266506288</v>
      </c>
      <c r="M228" s="14">
        <f t="shared" si="140"/>
        <v>-951.80469488147355</v>
      </c>
      <c r="N228" s="187">
        <f t="shared" si="140"/>
        <v>-1569.916546964494</v>
      </c>
      <c r="O228" s="14">
        <f t="shared" si="140"/>
        <v>-2215.5093979140074</v>
      </c>
      <c r="P228" s="14">
        <f t="shared" si="140"/>
        <v>-2898.6279101913242</v>
      </c>
      <c r="Q228" s="14">
        <f t="shared" si="140"/>
        <v>-3579.3533337057452</v>
      </c>
      <c r="R228" s="14">
        <f t="shared" si="140"/>
        <v>-4304.4591725669161</v>
      </c>
      <c r="S228" s="14">
        <f t="shared" si="140"/>
        <v>-5052.7454137728055</v>
      </c>
      <c r="T228" s="14">
        <f t="shared" si="140"/>
        <v>-5871.6093623336201</v>
      </c>
      <c r="U228" s="14">
        <f t="shared" si="140"/>
        <v>-6749.4000166710903</v>
      </c>
      <c r="V228" s="14">
        <f t="shared" si="140"/>
        <v>-7663.7931682251656</v>
      </c>
      <c r="W228" s="14">
        <f t="shared" si="140"/>
        <v>-8633.7980545529281</v>
      </c>
      <c r="X228" s="187">
        <f t="shared" si="140"/>
        <v>-9607.9079209048214</v>
      </c>
      <c r="Y228" s="158">
        <f t="shared" si="140"/>
        <v>-10630.647546625318</v>
      </c>
      <c r="Z228" s="158">
        <f t="shared" si="140"/>
        <v>-11719.2273723791</v>
      </c>
      <c r="AA228" s="158">
        <f t="shared" si="140"/>
        <v>-12892.23534801096</v>
      </c>
      <c r="AB228" s="158">
        <f t="shared" si="140"/>
        <v>-14137.620194133196</v>
      </c>
      <c r="AC228" s="158">
        <f t="shared" si="140"/>
        <v>-15453.988155382569</v>
      </c>
      <c r="AD228" s="158">
        <f t="shared" si="140"/>
        <v>-16852.292579237605</v>
      </c>
      <c r="AE228" s="158">
        <f t="shared" si="140"/>
        <v>-18327.048587610421</v>
      </c>
      <c r="AF228" s="158">
        <f t="shared" si="140"/>
        <v>-19875.089438094088</v>
      </c>
      <c r="AG228" s="158">
        <f t="shared" si="140"/>
        <v>-21489.148323257657</v>
      </c>
      <c r="AH228" s="187">
        <f t="shared" si="140"/>
        <v>-23177.407218287059</v>
      </c>
    </row>
    <row r="229" spans="1:34">
      <c r="I229" s="129"/>
      <c r="J229" s="129"/>
      <c r="K229" s="129"/>
      <c r="L229" s="129"/>
      <c r="M229" s="129"/>
      <c r="O229" s="129"/>
      <c r="P229" s="129"/>
      <c r="Q229" s="129"/>
      <c r="R229" s="129"/>
      <c r="S229" s="129"/>
      <c r="T229" s="129"/>
      <c r="U229" s="129"/>
      <c r="V229" s="129"/>
      <c r="W229" s="129"/>
    </row>
    <row r="230" spans="1:34">
      <c r="A230" s="1" t="s">
        <v>412</v>
      </c>
    </row>
    <row r="231" spans="1:34">
      <c r="A231" t="s">
        <v>413</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414</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415</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416</v>
      </c>
      <c r="C234" s="331">
        <f t="shared" ref="C234:AH234" si="145">C213-C194</f>
        <v>-2.7000000000043656E-4</v>
      </c>
      <c r="D234" s="331">
        <f t="shared" si="145"/>
        <v>33.861127390002054</v>
      </c>
      <c r="E234" s="331">
        <f t="shared" si="145"/>
        <v>76.302899736827385</v>
      </c>
      <c r="F234" s="331">
        <f t="shared" si="145"/>
        <v>135.4635888113279</v>
      </c>
      <c r="G234" s="331">
        <f t="shared" si="145"/>
        <v>238.03095599937387</v>
      </c>
      <c r="H234" s="402">
        <f>H213-H194</f>
        <v>-2.7000000000043656E-4</v>
      </c>
      <c r="I234" s="14">
        <f t="shared" si="145"/>
        <v>50.407142159480031</v>
      </c>
      <c r="J234" s="14">
        <f t="shared" si="145"/>
        <v>108.03791453489293</v>
      </c>
      <c r="K234" s="14">
        <f t="shared" si="145"/>
        <v>146.42147207939047</v>
      </c>
      <c r="L234" s="14">
        <f t="shared" si="145"/>
        <v>187.63873984239763</v>
      </c>
      <c r="M234" s="14">
        <f t="shared" si="145"/>
        <v>579.51066923061444</v>
      </c>
      <c r="N234" s="187">
        <f t="shared" si="145"/>
        <v>1400.3693507085213</v>
      </c>
      <c r="O234" s="14">
        <f t="shared" si="145"/>
        <v>1535.6776168574024</v>
      </c>
      <c r="P234" s="14">
        <f t="shared" si="145"/>
        <v>1664.7270422895572</v>
      </c>
      <c r="Q234" s="14">
        <f t="shared" si="145"/>
        <v>1579.2183566561316</v>
      </c>
      <c r="R234" s="14">
        <f t="shared" si="145"/>
        <v>1616.9166853184888</v>
      </c>
      <c r="S234" s="14">
        <f t="shared" si="145"/>
        <v>1595.9890511039903</v>
      </c>
      <c r="T234" s="14">
        <f t="shared" si="145"/>
        <v>1656.5884060818407</v>
      </c>
      <c r="U234" s="14">
        <f t="shared" si="145"/>
        <v>1728.2311791202501</v>
      </c>
      <c r="V234" s="14">
        <f t="shared" si="145"/>
        <v>1783.9011633349351</v>
      </c>
      <c r="W234" s="14">
        <f t="shared" si="145"/>
        <v>1858.8830011529099</v>
      </c>
      <c r="X234" s="187">
        <f t="shared" si="145"/>
        <v>1843.1374133521113</v>
      </c>
      <c r="Y234" s="158">
        <f t="shared" si="145"/>
        <v>1860.0092994659453</v>
      </c>
      <c r="Z234" s="158">
        <f t="shared" si="145"/>
        <v>1926.1630789521405</v>
      </c>
      <c r="AA234" s="158">
        <f t="shared" si="145"/>
        <v>2019.6831582835803</v>
      </c>
      <c r="AB234" s="158">
        <f t="shared" si="145"/>
        <v>2118.1515313847194</v>
      </c>
      <c r="AC234" s="158">
        <f t="shared" si="145"/>
        <v>2226.1560458632366</v>
      </c>
      <c r="AD234" s="158">
        <f t="shared" si="145"/>
        <v>2348.2089909972674</v>
      </c>
      <c r="AE234" s="158">
        <f t="shared" si="145"/>
        <v>2463.7294664115334</v>
      </c>
      <c r="AF234" s="158">
        <f t="shared" si="145"/>
        <v>2584.6718065302211</v>
      </c>
      <c r="AG234" s="158">
        <f t="shared" si="145"/>
        <v>2713.2537682205402</v>
      </c>
      <c r="AH234" s="187">
        <f t="shared" si="145"/>
        <v>2852.5274613096426</v>
      </c>
    </row>
    <row r="235" spans="1:34">
      <c r="A235" t="s">
        <v>417</v>
      </c>
      <c r="C235" s="331">
        <f t="shared" ref="C235:AH235" si="146">C214-C195</f>
        <v>0</v>
      </c>
      <c r="D235" s="331">
        <f t="shared" si="146"/>
        <v>17.821798030838693</v>
      </c>
      <c r="E235" s="331">
        <f t="shared" si="146"/>
        <v>40.15960477522944</v>
      </c>
      <c r="F235" s="331">
        <f t="shared" si="146"/>
        <v>71.29681144123154</v>
      </c>
      <c r="G235" s="331">
        <f t="shared" si="146"/>
        <v>125.27966012305183</v>
      </c>
      <c r="H235" s="402">
        <f t="shared" si="146"/>
        <v>0</v>
      </c>
      <c r="I235" s="14">
        <f t="shared" si="146"/>
        <v>26.530228905635568</v>
      </c>
      <c r="J235" s="14">
        <f t="shared" si="146"/>
        <v>56.862228211599131</v>
      </c>
      <c r="K235" s="14">
        <f t="shared" si="146"/>
        <v>77.064116435543838</v>
      </c>
      <c r="L235" s="14">
        <f t="shared" si="146"/>
        <v>98.757430445035425</v>
      </c>
      <c r="M235" s="14">
        <f t="shared" si="146"/>
        <v>305.00582810698506</v>
      </c>
      <c r="N235" s="187">
        <f t="shared" si="146"/>
        <v>737.03672848027327</v>
      </c>
      <c r="O235" s="14">
        <f t="shared" si="146"/>
        <v>808.25161570814703</v>
      </c>
      <c r="P235" s="14">
        <f t="shared" si="146"/>
        <v>876.17237716742375</v>
      </c>
      <c r="Q235" s="14">
        <f t="shared" si="146"/>
        <v>831.16781979477491</v>
      </c>
      <c r="R235" s="14">
        <f t="shared" si="146"/>
        <v>851.00905689671595</v>
      </c>
      <c r="S235" s="14">
        <f t="shared" si="146"/>
        <v>839.99452541979258</v>
      </c>
      <c r="T235" s="14">
        <f t="shared" si="146"/>
        <v>871.88893674413748</v>
      </c>
      <c r="U235" s="14">
        <f t="shared" si="146"/>
        <v>909.59567267069565</v>
      </c>
      <c r="V235" s="14">
        <f t="shared" si="146"/>
        <v>938.89567758336398</v>
      </c>
      <c r="W235" s="14">
        <f t="shared" si="146"/>
        <v>978.35981708714871</v>
      </c>
      <c r="X235" s="187">
        <f t="shared" si="146"/>
        <v>970.07268070524333</v>
      </c>
      <c r="Y235" s="158">
        <f t="shared" si="146"/>
        <v>978.95263656094903</v>
      </c>
      <c r="Z235" s="158">
        <f t="shared" si="146"/>
        <v>1013.7704308295724</v>
      </c>
      <c r="AA235" s="158">
        <f t="shared" si="146"/>
        <v>1062.9915411693992</v>
      </c>
      <c r="AB235" s="158">
        <f t="shared" si="146"/>
        <v>1114.8170172097525</v>
      </c>
      <c r="AC235" s="158">
        <f t="shared" si="146"/>
        <v>1171.661514906752</v>
      </c>
      <c r="AD235" s="158">
        <f t="shared" si="146"/>
        <v>1235.8999240437879</v>
      </c>
      <c r="AE235" s="158">
        <f t="shared" si="146"/>
        <v>1296.700191359871</v>
      </c>
      <c r="AF235" s="158">
        <f t="shared" si="146"/>
        <v>1360.3540718210329</v>
      </c>
      <c r="AG235" s="158">
        <f t="shared" si="146"/>
        <v>1428.0288051888151</v>
      </c>
      <c r="AH235" s="187">
        <f t="shared" si="146"/>
        <v>1501.330766816704</v>
      </c>
    </row>
    <row r="236" spans="1:34">
      <c r="A236" t="s">
        <v>418</v>
      </c>
      <c r="C236" s="331">
        <f t="shared" ref="C236:AH236" si="147">C215-C196</f>
        <v>-2.7000000000043656E-4</v>
      </c>
      <c r="D236" s="331">
        <f t="shared" si="147"/>
        <v>16.039329359163361</v>
      </c>
      <c r="E236" s="331">
        <f t="shared" si="147"/>
        <v>36.143294961597974</v>
      </c>
      <c r="F236" s="331">
        <f t="shared" si="147"/>
        <v>64.166777370096383</v>
      </c>
      <c r="G236" s="331">
        <f t="shared" si="147"/>
        <v>112.75129587632208</v>
      </c>
      <c r="H236" s="402">
        <f>H215-H196</f>
        <v>-2.7000000000043656E-4</v>
      </c>
      <c r="I236" s="14">
        <f t="shared" si="147"/>
        <v>23.876913253844521</v>
      </c>
      <c r="J236" s="14">
        <f t="shared" si="147"/>
        <v>51.175686323293917</v>
      </c>
      <c r="K236" s="14">
        <f t="shared" si="147"/>
        <v>69.357355643846518</v>
      </c>
      <c r="L236" s="14">
        <f t="shared" si="147"/>
        <v>88.881309397362429</v>
      </c>
      <c r="M236" s="14">
        <f t="shared" si="147"/>
        <v>274.5048411236296</v>
      </c>
      <c r="N236" s="187">
        <f t="shared" si="147"/>
        <v>663.33262222824783</v>
      </c>
      <c r="O236" s="14">
        <f t="shared" si="147"/>
        <v>727.42600114925585</v>
      </c>
      <c r="P236" s="14">
        <f t="shared" si="147"/>
        <v>788.55466512213343</v>
      </c>
      <c r="Q236" s="14">
        <f t="shared" si="147"/>
        <v>748.05053686135648</v>
      </c>
      <c r="R236" s="14">
        <f t="shared" si="147"/>
        <v>765.90762842177219</v>
      </c>
      <c r="S236" s="14">
        <f t="shared" si="147"/>
        <v>755.99452568419838</v>
      </c>
      <c r="T236" s="14">
        <f t="shared" si="147"/>
        <v>784.69946933770348</v>
      </c>
      <c r="U236" s="14">
        <f t="shared" si="147"/>
        <v>818.63550644955512</v>
      </c>
      <c r="V236" s="14">
        <f t="shared" si="147"/>
        <v>845.00548575157154</v>
      </c>
      <c r="W236" s="14">
        <f t="shared" si="147"/>
        <v>880.52318406576046</v>
      </c>
      <c r="X236" s="187">
        <f t="shared" si="147"/>
        <v>873.06473264686815</v>
      </c>
      <c r="Y236" s="158">
        <f t="shared" si="147"/>
        <v>881.05666290499676</v>
      </c>
      <c r="Z236" s="158">
        <f t="shared" si="147"/>
        <v>912.39264812256715</v>
      </c>
      <c r="AA236" s="158">
        <f t="shared" si="147"/>
        <v>956.69161711418155</v>
      </c>
      <c r="AB236" s="158">
        <f t="shared" si="147"/>
        <v>1003.3345141749669</v>
      </c>
      <c r="AC236" s="158">
        <f t="shared" si="147"/>
        <v>1054.4945309564846</v>
      </c>
      <c r="AD236" s="158">
        <f t="shared" si="147"/>
        <v>1112.3090669534804</v>
      </c>
      <c r="AE236" s="158">
        <f t="shared" si="147"/>
        <v>1167.0292750516628</v>
      </c>
      <c r="AF236" s="158">
        <f t="shared" si="147"/>
        <v>1224.3177347091892</v>
      </c>
      <c r="AG236" s="158">
        <f t="shared" si="147"/>
        <v>1285.2249630317251</v>
      </c>
      <c r="AH236" s="187">
        <f t="shared" si="147"/>
        <v>1351.1966944929381</v>
      </c>
    </row>
    <row r="237" spans="1:34">
      <c r="A237" t="s">
        <v>419</v>
      </c>
      <c r="C237" s="331">
        <f t="shared" ref="C237:AH237" si="148">C216-C197</f>
        <v>0</v>
      </c>
      <c r="D237" s="331">
        <f t="shared" si="148"/>
        <v>158.27517248726963</v>
      </c>
      <c r="E237" s="331">
        <f t="shared" si="148"/>
        <v>97.683632801551539</v>
      </c>
      <c r="F237" s="331">
        <f t="shared" si="148"/>
        <v>-111.08073104375762</v>
      </c>
      <c r="G237" s="331">
        <f t="shared" si="148"/>
        <v>53.980674766483389</v>
      </c>
      <c r="H237" s="402">
        <f t="shared" si="148"/>
        <v>0</v>
      </c>
      <c r="I237" s="14">
        <f t="shared" si="148"/>
        <v>-167.33087293740027</v>
      </c>
      <c r="J237" s="14">
        <f t="shared" si="148"/>
        <v>-203.09529326445136</v>
      </c>
      <c r="K237" s="14">
        <f t="shared" si="148"/>
        <v>-191.23660099292465</v>
      </c>
      <c r="L237" s="14">
        <f t="shared" si="148"/>
        <v>-75.542052690984747</v>
      </c>
      <c r="M237" s="14">
        <f t="shared" si="148"/>
        <v>-18.585993083579524</v>
      </c>
      <c r="N237" s="187">
        <f t="shared" si="148"/>
        <v>0</v>
      </c>
      <c r="O237" s="14">
        <f t="shared" si="148"/>
        <v>-9.5740735051122101</v>
      </c>
      <c r="P237" s="14">
        <f t="shared" si="148"/>
        <v>1.3394264319877038</v>
      </c>
      <c r="Q237" s="14">
        <f t="shared" si="148"/>
        <v>10.533398313960788</v>
      </c>
      <c r="R237" s="14">
        <f t="shared" si="148"/>
        <v>5.5788603620112553</v>
      </c>
      <c r="S237" s="14">
        <f t="shared" si="148"/>
        <v>14.587385868796446</v>
      </c>
      <c r="T237" s="14">
        <f t="shared" si="148"/>
        <v>31.733039541577455</v>
      </c>
      <c r="U237" s="14">
        <f t="shared" si="148"/>
        <v>28.342620087693831</v>
      </c>
      <c r="V237" s="14">
        <f t="shared" si="148"/>
        <v>9.0305480041060946</v>
      </c>
      <c r="W237" s="14">
        <f t="shared" si="148"/>
        <v>4.1378034668832697</v>
      </c>
      <c r="X237" s="187">
        <f t="shared" si="148"/>
        <v>-3.4631189763640577</v>
      </c>
      <c r="Y237" s="158">
        <f t="shared" si="148"/>
        <v>13.283972528015511</v>
      </c>
      <c r="Z237" s="158">
        <f t="shared" si="148"/>
        <v>20.790609447331008</v>
      </c>
      <c r="AA237" s="158">
        <f t="shared" si="148"/>
        <v>36.249491074560865</v>
      </c>
      <c r="AB237" s="158">
        <f t="shared" si="148"/>
        <v>35.169076918341489</v>
      </c>
      <c r="AC237" s="158">
        <f t="shared" si="148"/>
        <v>27.118681057326285</v>
      </c>
      <c r="AD237" s="158">
        <f t="shared" si="148"/>
        <v>26.422780181403141</v>
      </c>
      <c r="AE237" s="158">
        <f t="shared" si="148"/>
        <v>26.015033075351312</v>
      </c>
      <c r="AF237" s="158">
        <f t="shared" si="148"/>
        <v>20.664247824901395</v>
      </c>
      <c r="AG237" s="158">
        <f t="shared" si="148"/>
        <v>4.1209903027183827</v>
      </c>
      <c r="AH237" s="187">
        <f t="shared" si="148"/>
        <v>-6.6097424211566249</v>
      </c>
    </row>
    <row r="238" spans="1:34">
      <c r="A238" t="s">
        <v>420</v>
      </c>
      <c r="C238" s="331">
        <f t="shared" ref="C238:AH238" si="149">C217-C198</f>
        <v>0</v>
      </c>
      <c r="D238" s="331">
        <f t="shared" si="149"/>
        <v>83.302722361720953</v>
      </c>
      <c r="E238" s="331">
        <f t="shared" si="149"/>
        <v>51.412438316605858</v>
      </c>
      <c r="F238" s="331">
        <f t="shared" si="149"/>
        <v>-58.463542654609228</v>
      </c>
      <c r="G238" s="331">
        <f t="shared" si="149"/>
        <v>28.410881456043626</v>
      </c>
      <c r="H238" s="402">
        <f t="shared" si="149"/>
        <v>0</v>
      </c>
      <c r="I238" s="14">
        <f t="shared" si="149"/>
        <v>-88.068880493368397</v>
      </c>
      <c r="J238" s="14">
        <f t="shared" si="149"/>
        <v>-106.89225961286957</v>
      </c>
      <c r="K238" s="14">
        <f t="shared" si="149"/>
        <v>-100.65084262785513</v>
      </c>
      <c r="L238" s="14">
        <f t="shared" si="149"/>
        <v>-39.758975100518001</v>
      </c>
      <c r="M238" s="14">
        <f t="shared" si="149"/>
        <v>-9.782101622936807</v>
      </c>
      <c r="N238" s="187">
        <f t="shared" si="149"/>
        <v>0</v>
      </c>
      <c r="O238" s="14">
        <f t="shared" si="149"/>
        <v>-5.0389860553223116</v>
      </c>
      <c r="P238" s="14">
        <f t="shared" si="149"/>
        <v>0.70496127999376768</v>
      </c>
      <c r="Q238" s="14">
        <f t="shared" si="149"/>
        <v>5.543893849453525</v>
      </c>
      <c r="R238" s="14">
        <f t="shared" si="149"/>
        <v>2.9362422957956369</v>
      </c>
      <c r="S238" s="14">
        <f t="shared" si="149"/>
        <v>7.677571509892914</v>
      </c>
      <c r="T238" s="14">
        <f t="shared" si="149"/>
        <v>16.701599758725024</v>
      </c>
      <c r="U238" s="14">
        <f t="shared" si="149"/>
        <v>14.917168467207375</v>
      </c>
      <c r="V238" s="14">
        <f t="shared" si="149"/>
        <v>4.7529200021608631</v>
      </c>
      <c r="W238" s="14">
        <f t="shared" si="149"/>
        <v>2.1777912983598071</v>
      </c>
      <c r="X238" s="187">
        <f t="shared" si="149"/>
        <v>-1.8226941980865377</v>
      </c>
      <c r="Y238" s="158">
        <f t="shared" si="149"/>
        <v>6.9915644884290487</v>
      </c>
      <c r="Z238" s="158">
        <f t="shared" si="149"/>
        <v>10.942426024911128</v>
      </c>
      <c r="AA238" s="158">
        <f t="shared" si="149"/>
        <v>19.07867951292701</v>
      </c>
      <c r="AB238" s="158">
        <f t="shared" si="149"/>
        <v>18.510040483337889</v>
      </c>
      <c r="AC238" s="158">
        <f t="shared" si="149"/>
        <v>14.272990030171968</v>
      </c>
      <c r="AD238" s="158">
        <f t="shared" si="149"/>
        <v>13.906726411265026</v>
      </c>
      <c r="AE238" s="158">
        <f t="shared" si="149"/>
        <v>13.692122671237939</v>
      </c>
      <c r="AF238" s="158">
        <f t="shared" si="149"/>
        <v>10.875919907842672</v>
      </c>
      <c r="AG238" s="158">
        <f t="shared" si="149"/>
        <v>2.1689422645886225</v>
      </c>
      <c r="AH238" s="187">
        <f t="shared" si="149"/>
        <v>-3.4788118006085824</v>
      </c>
    </row>
    <row r="239" spans="1:34">
      <c r="A239" t="s">
        <v>421</v>
      </c>
      <c r="C239" s="331">
        <f t="shared" ref="C239:AH239" si="150">C218-C199</f>
        <v>0</v>
      </c>
      <c r="D239" s="331">
        <f t="shared" si="150"/>
        <v>74.97245012554913</v>
      </c>
      <c r="E239" s="331">
        <f t="shared" si="150"/>
        <v>46.271194484945227</v>
      </c>
      <c r="F239" s="331">
        <f t="shared" si="150"/>
        <v>-52.617188389147941</v>
      </c>
      <c r="G239" s="331">
        <f t="shared" si="150"/>
        <v>25.569793310439309</v>
      </c>
      <c r="H239" s="402">
        <f t="shared" si="150"/>
        <v>0</v>
      </c>
      <c r="I239" s="14">
        <f t="shared" si="150"/>
        <v>-79.261992444031875</v>
      </c>
      <c r="J239" s="14">
        <f t="shared" si="150"/>
        <v>-96.203033651582246</v>
      </c>
      <c r="K239" s="14">
        <f t="shared" si="150"/>
        <v>-90.585758365069523</v>
      </c>
      <c r="L239" s="14">
        <f t="shared" si="150"/>
        <v>-35.783077590466291</v>
      </c>
      <c r="M239" s="14">
        <f t="shared" si="150"/>
        <v>-8.8038914606436265</v>
      </c>
      <c r="N239" s="187">
        <f t="shared" si="150"/>
        <v>0</v>
      </c>
      <c r="O239" s="14">
        <f t="shared" si="150"/>
        <v>-4.5350874497898985</v>
      </c>
      <c r="P239" s="14">
        <f t="shared" si="150"/>
        <v>0.63446515199439091</v>
      </c>
      <c r="Q239" s="14">
        <f t="shared" si="150"/>
        <v>4.9895044645081725</v>
      </c>
      <c r="R239" s="14">
        <f t="shared" si="150"/>
        <v>2.6426180662156185</v>
      </c>
      <c r="S239" s="14">
        <f t="shared" si="150"/>
        <v>6.9098143589039864</v>
      </c>
      <c r="T239" s="14">
        <f t="shared" si="150"/>
        <v>15.031439782852431</v>
      </c>
      <c r="U239" s="14">
        <f t="shared" si="150"/>
        <v>13.425451620486911</v>
      </c>
      <c r="V239" s="14">
        <f t="shared" si="150"/>
        <v>4.2776280019447768</v>
      </c>
      <c r="W239" s="14">
        <f t="shared" si="150"/>
        <v>1.9600121685234626</v>
      </c>
      <c r="X239" s="187">
        <f t="shared" si="150"/>
        <v>-1.6404247782775201</v>
      </c>
      <c r="Y239" s="158">
        <f t="shared" si="150"/>
        <v>6.2924080395860074</v>
      </c>
      <c r="Z239" s="158">
        <f t="shared" si="150"/>
        <v>9.8481834224198792</v>
      </c>
      <c r="AA239" s="158">
        <f t="shared" si="150"/>
        <v>17.170811561634309</v>
      </c>
      <c r="AB239" s="158">
        <f t="shared" si="150"/>
        <v>16.6590364350036</v>
      </c>
      <c r="AC239" s="158">
        <f t="shared" si="150"/>
        <v>12.845691027154771</v>
      </c>
      <c r="AD239" s="158">
        <f t="shared" si="150"/>
        <v>12.516053770138569</v>
      </c>
      <c r="AE239" s="158">
        <f t="shared" si="150"/>
        <v>12.322910404114282</v>
      </c>
      <c r="AF239" s="158">
        <f t="shared" si="150"/>
        <v>9.788327917058723</v>
      </c>
      <c r="AG239" s="158">
        <f t="shared" si="150"/>
        <v>1.952048038130215</v>
      </c>
      <c r="AH239" s="187">
        <f t="shared" si="150"/>
        <v>-3.1309306205475878</v>
      </c>
    </row>
    <row r="240" spans="1:34">
      <c r="A240" t="s">
        <v>393</v>
      </c>
      <c r="C240" s="331">
        <f>C219-C200</f>
        <v>-0.90927540000120644</v>
      </c>
      <c r="D240" s="331">
        <f t="shared" ref="D240:AH240" si="151">D219-D200+D249+D252</f>
        <v>-139.48738257045898</v>
      </c>
      <c r="E240" s="331">
        <f t="shared" si="151"/>
        <v>-127.14284530640543</v>
      </c>
      <c r="F240" s="331">
        <f t="shared" si="151"/>
        <v>9.5306643173917109</v>
      </c>
      <c r="G240" s="331">
        <f t="shared" si="151"/>
        <v>-195.16133330427238</v>
      </c>
      <c r="H240" s="402">
        <f t="shared" si="151"/>
        <v>-35.713787337534086</v>
      </c>
      <c r="I240" s="14">
        <f t="shared" si="151"/>
        <v>49.983397722236077</v>
      </c>
      <c r="J240" s="14">
        <f t="shared" si="151"/>
        <v>30.229491352019977</v>
      </c>
      <c r="K240" s="14">
        <f t="shared" si="151"/>
        <v>-12.245723336033734</v>
      </c>
      <c r="L240" s="14">
        <f t="shared" si="151"/>
        <v>-170.05989420200603</v>
      </c>
      <c r="M240" s="14">
        <f t="shared" si="151"/>
        <v>-361.73728221641068</v>
      </c>
      <c r="N240" s="187">
        <f t="shared" si="151"/>
        <v>-618.11185208300867</v>
      </c>
      <c r="O240" s="14">
        <f t="shared" si="151"/>
        <v>-645.59285094950155</v>
      </c>
      <c r="P240" s="14">
        <f t="shared" si="151"/>
        <v>-683.11851227730949</v>
      </c>
      <c r="Q240" s="14">
        <f t="shared" si="151"/>
        <v>-680.72542351442007</v>
      </c>
      <c r="R240" s="14">
        <f t="shared" si="151"/>
        <v>-725.10583886116456</v>
      </c>
      <c r="S240" s="14">
        <f t="shared" si="151"/>
        <v>-748.28624120588574</v>
      </c>
      <c r="T240" s="14">
        <f t="shared" si="151"/>
        <v>-818.86394856082097</v>
      </c>
      <c r="U240" s="14">
        <f t="shared" si="151"/>
        <v>-877.79065433747201</v>
      </c>
      <c r="V240" s="14">
        <f t="shared" si="151"/>
        <v>-914.39315155407348</v>
      </c>
      <c r="W240" s="14">
        <f t="shared" si="151"/>
        <v>-970.00488632776432</v>
      </c>
      <c r="X240" s="187">
        <f t="shared" si="151"/>
        <v>-974.10986635190238</v>
      </c>
      <c r="Y240" s="158">
        <f t="shared" si="151"/>
        <v>-1022.7396257205028</v>
      </c>
      <c r="Z240" s="158">
        <f t="shared" si="151"/>
        <v>-1088.5798257537799</v>
      </c>
      <c r="AA240" s="158">
        <f t="shared" si="151"/>
        <v>-1173.0079756318828</v>
      </c>
      <c r="AB240" s="158">
        <f t="shared" si="151"/>
        <v>-1245.3848461222515</v>
      </c>
      <c r="AC240" s="158">
        <f t="shared" si="151"/>
        <v>-1316.3679612493834</v>
      </c>
      <c r="AD240" s="158">
        <f t="shared" si="151"/>
        <v>-1398.3044238550483</v>
      </c>
      <c r="AE240" s="158">
        <f t="shared" si="151"/>
        <v>-1474.7560083728249</v>
      </c>
      <c r="AF240" s="158">
        <f t="shared" si="151"/>
        <v>-1548.0408504836514</v>
      </c>
      <c r="AG240" s="158">
        <f t="shared" si="151"/>
        <v>-1614.0588851635657</v>
      </c>
      <c r="AH240" s="187">
        <f t="shared" si="151"/>
        <v>-1688.258895029413</v>
      </c>
    </row>
    <row r="241" spans="1:34">
      <c r="A241" t="s">
        <v>422</v>
      </c>
      <c r="C241" s="331">
        <f>C220-C201</f>
        <v>-0.47856600000068283</v>
      </c>
      <c r="D241" s="331">
        <f t="shared" ref="D241:AH241" si="152">D220-D201+D250+D253</f>
        <v>-73.414411879189174</v>
      </c>
      <c r="E241" s="331">
        <f t="shared" si="152"/>
        <v>-66.917287003371257</v>
      </c>
      <c r="F241" s="331">
        <f t="shared" si="152"/>
        <v>5.0161391144160916</v>
      </c>
      <c r="G241" s="331">
        <f t="shared" si="152"/>
        <v>-102.71649121277505</v>
      </c>
      <c r="H241" s="402">
        <f t="shared" si="152"/>
        <v>-18.796730177649806</v>
      </c>
      <c r="I241" s="14">
        <f t="shared" si="152"/>
        <v>26.307051432755543</v>
      </c>
      <c r="J241" s="14">
        <f t="shared" si="152"/>
        <v>15.910258606325897</v>
      </c>
      <c r="K241" s="14">
        <f t="shared" si="152"/>
        <v>-6.4451175452809366</v>
      </c>
      <c r="L241" s="14">
        <f t="shared" si="152"/>
        <v>-89.505207474740018</v>
      </c>
      <c r="M241" s="14">
        <f t="shared" si="152"/>
        <v>-190.3880432717956</v>
      </c>
      <c r="N241" s="187">
        <f t="shared" si="152"/>
        <v>-325.32202741210995</v>
      </c>
      <c r="O241" s="14">
        <f t="shared" si="152"/>
        <v>-339.78571102605383</v>
      </c>
      <c r="P241" s="14">
        <f t="shared" si="152"/>
        <v>-359.53605909332055</v>
      </c>
      <c r="Q241" s="14">
        <f t="shared" si="152"/>
        <v>-358.27653869179994</v>
      </c>
      <c r="R241" s="14">
        <f t="shared" si="152"/>
        <v>-381.63465203219221</v>
      </c>
      <c r="S241" s="14">
        <f t="shared" si="152"/>
        <v>-393.83486379257147</v>
      </c>
      <c r="T241" s="14">
        <f t="shared" si="152"/>
        <v>-430.98102555832656</v>
      </c>
      <c r="U241" s="14">
        <f t="shared" si="152"/>
        <v>-461.99508123024862</v>
      </c>
      <c r="V241" s="14">
        <f t="shared" si="152"/>
        <v>-481.25955344951262</v>
      </c>
      <c r="W241" s="14">
        <f t="shared" si="152"/>
        <v>-510.52888754092874</v>
      </c>
      <c r="X241" s="187">
        <f t="shared" si="152"/>
        <v>-512.68940334310673</v>
      </c>
      <c r="Y241" s="158">
        <f t="shared" si="152"/>
        <v>-538.2840135371066</v>
      </c>
      <c r="Z241" s="158">
        <f t="shared" si="152"/>
        <v>-572.93675039672598</v>
      </c>
      <c r="AA241" s="158">
        <f t="shared" si="152"/>
        <v>-617.37261875362265</v>
      </c>
      <c r="AB241" s="158">
        <f t="shared" si="152"/>
        <v>-655.46570848539523</v>
      </c>
      <c r="AC241" s="158">
        <f t="shared" si="152"/>
        <v>-692.82524276283311</v>
      </c>
      <c r="AD241" s="158">
        <f t="shared" si="152"/>
        <v>-735.94969676581513</v>
      </c>
      <c r="AE241" s="158">
        <f t="shared" si="152"/>
        <v>-776.18737282780239</v>
      </c>
      <c r="AF241" s="158">
        <f t="shared" si="152"/>
        <v>-814.75834235981665</v>
      </c>
      <c r="AG241" s="158">
        <f t="shared" si="152"/>
        <v>-849.50467640187708</v>
      </c>
      <c r="AH241" s="187">
        <f t="shared" si="152"/>
        <v>-888.55731317337586</v>
      </c>
    </row>
    <row r="242" spans="1:34">
      <c r="A242" t="s">
        <v>423</v>
      </c>
      <c r="C242" s="331">
        <f>C221-C202</f>
        <v>-0.4307094000005236</v>
      </c>
      <c r="D242" s="331">
        <f t="shared" ref="D242:AH242" si="153">D221-D202+D251+D254</f>
        <v>-66.072970691270257</v>
      </c>
      <c r="E242" s="331">
        <f t="shared" si="153"/>
        <v>-60.225558303034632</v>
      </c>
      <c r="F242" s="331">
        <f t="shared" si="153"/>
        <v>4.5145252029751646</v>
      </c>
      <c r="G242" s="331">
        <f t="shared" si="153"/>
        <v>-92.444842091497321</v>
      </c>
      <c r="H242" s="402">
        <f t="shared" si="153"/>
        <v>-16.917057159885189</v>
      </c>
      <c r="I242" s="14">
        <f t="shared" si="153"/>
        <v>23.67634628948008</v>
      </c>
      <c r="J242" s="14">
        <f t="shared" si="153"/>
        <v>14.319232745693171</v>
      </c>
      <c r="K242" s="14">
        <f t="shared" si="153"/>
        <v>-5.8006057907532522</v>
      </c>
      <c r="L242" s="14">
        <f t="shared" si="153"/>
        <v>-80.554686727266017</v>
      </c>
      <c r="M242" s="14">
        <f t="shared" si="153"/>
        <v>-171.34923894461599</v>
      </c>
      <c r="N242" s="187">
        <f t="shared" si="153"/>
        <v>-292.78982467089918</v>
      </c>
      <c r="O242" s="14">
        <f t="shared" si="153"/>
        <v>-305.80713992344818</v>
      </c>
      <c r="P242" s="14">
        <f t="shared" si="153"/>
        <v>-323.58245318398849</v>
      </c>
      <c r="Q242" s="14">
        <f t="shared" si="153"/>
        <v>-322.44888482262013</v>
      </c>
      <c r="R242" s="14">
        <f t="shared" si="153"/>
        <v>-343.4711868289728</v>
      </c>
      <c r="S242" s="14">
        <f t="shared" si="153"/>
        <v>-354.45137741331428</v>
      </c>
      <c r="T242" s="14">
        <f t="shared" si="153"/>
        <v>-387.88292300249395</v>
      </c>
      <c r="U242" s="14">
        <f t="shared" si="153"/>
        <v>-415.79557310722339</v>
      </c>
      <c r="V242" s="14">
        <f t="shared" si="153"/>
        <v>-433.13359810456086</v>
      </c>
      <c r="W242" s="14">
        <f t="shared" si="153"/>
        <v>-459.47599878683559</v>
      </c>
      <c r="X242" s="187">
        <f t="shared" si="153"/>
        <v>-461.42046300879656</v>
      </c>
      <c r="Y242" s="158">
        <f t="shared" si="153"/>
        <v>-484.45561218339617</v>
      </c>
      <c r="Z242" s="158">
        <f t="shared" si="153"/>
        <v>-515.64307535705393</v>
      </c>
      <c r="AA242" s="158">
        <f t="shared" si="153"/>
        <v>-555.63535687826015</v>
      </c>
      <c r="AB242" s="158">
        <f t="shared" si="153"/>
        <v>-589.91913763685579</v>
      </c>
      <c r="AC242" s="158">
        <f t="shared" si="153"/>
        <v>-623.5427184865498</v>
      </c>
      <c r="AD242" s="158">
        <f t="shared" si="153"/>
        <v>-662.35472708923407</v>
      </c>
      <c r="AE242" s="158">
        <f t="shared" si="153"/>
        <v>-698.56863554502206</v>
      </c>
      <c r="AF242" s="158">
        <f t="shared" si="153"/>
        <v>-733.28250812383476</v>
      </c>
      <c r="AG242" s="158">
        <f t="shared" si="153"/>
        <v>-764.5542087616891</v>
      </c>
      <c r="AH242" s="187">
        <f t="shared" si="153"/>
        <v>-799.70158185603759</v>
      </c>
    </row>
    <row r="243" spans="1:34" s="1" customFormat="1">
      <c r="A243" s="1" t="s">
        <v>404</v>
      </c>
      <c r="B243" s="13"/>
      <c r="C243" s="341">
        <f>C222-C203</f>
        <v>-0.90954540000166162</v>
      </c>
      <c r="D243" s="341">
        <f t="shared" ref="D243:AH243" si="154">D222-D203+D249+D252</f>
        <v>52.648917306813019</v>
      </c>
      <c r="E243" s="341">
        <f t="shared" si="154"/>
        <v>46.843687231972581</v>
      </c>
      <c r="F243" s="341">
        <f t="shared" si="154"/>
        <v>33.913522084963915</v>
      </c>
      <c r="G243" s="341">
        <f t="shared" si="154"/>
        <v>96.850297461585797</v>
      </c>
      <c r="H243" s="405">
        <f t="shared" si="154"/>
        <v>-35.714057337534541</v>
      </c>
      <c r="I243" s="15">
        <f t="shared" si="154"/>
        <v>-66.940333055685187</v>
      </c>
      <c r="J243" s="15">
        <f t="shared" si="154"/>
        <v>-64.82788737753981</v>
      </c>
      <c r="K243" s="15">
        <f t="shared" si="154"/>
        <v>-57.060852249567688</v>
      </c>
      <c r="L243" s="15">
        <f t="shared" si="154"/>
        <v>-57.963207050592246</v>
      </c>
      <c r="M243" s="15">
        <f t="shared" si="154"/>
        <v>199.18739393062424</v>
      </c>
      <c r="N243" s="190">
        <f t="shared" si="154"/>
        <v>782.25749862551129</v>
      </c>
      <c r="O243" s="15">
        <f t="shared" si="154"/>
        <v>880.51069240278775</v>
      </c>
      <c r="P243" s="15">
        <f t="shared" si="154"/>
        <v>982.94795644423539</v>
      </c>
      <c r="Q243" s="15">
        <f t="shared" si="154"/>
        <v>909.02633145567233</v>
      </c>
      <c r="R243" s="15">
        <f t="shared" si="154"/>
        <v>897.38970681933461</v>
      </c>
      <c r="S243" s="15">
        <f t="shared" si="154"/>
        <v>862.29019576690189</v>
      </c>
      <c r="T243" s="15">
        <f t="shared" si="154"/>
        <v>869.45749706259812</v>
      </c>
      <c r="U243" s="15">
        <f t="shared" si="154"/>
        <v>878.78314487047282</v>
      </c>
      <c r="V243" s="15">
        <f t="shared" si="154"/>
        <v>878.53855978496722</v>
      </c>
      <c r="W243" s="15">
        <f t="shared" si="154"/>
        <v>893.0159182920288</v>
      </c>
      <c r="X243" s="190">
        <f t="shared" si="154"/>
        <v>865.56442802384481</v>
      </c>
      <c r="Y243" s="130">
        <f t="shared" si="154"/>
        <v>850.55364627345807</v>
      </c>
      <c r="Z243" s="130">
        <f t="shared" si="154"/>
        <v>858.37386264568886</v>
      </c>
      <c r="AA243" s="130">
        <f t="shared" si="154"/>
        <v>882.92467372626015</v>
      </c>
      <c r="AB243" s="130">
        <f t="shared" si="154"/>
        <v>907.93576218080852</v>
      </c>
      <c r="AC243" s="130">
        <f t="shared" si="154"/>
        <v>936.90676567117771</v>
      </c>
      <c r="AD243" s="130">
        <f t="shared" si="154"/>
        <v>976.32734732362223</v>
      </c>
      <c r="AE243" s="130">
        <f t="shared" si="154"/>
        <v>1014.988491114058</v>
      </c>
      <c r="AF243" s="130">
        <f t="shared" si="154"/>
        <v>1057.295203871472</v>
      </c>
      <c r="AG243" s="130">
        <f t="shared" si="154"/>
        <v>1103.3158733596938</v>
      </c>
      <c r="AH243" s="190">
        <f t="shared" si="154"/>
        <v>1157.6588238590739</v>
      </c>
    </row>
    <row r="244" spans="1:34">
      <c r="A244" t="s">
        <v>444</v>
      </c>
      <c r="C244" s="331"/>
      <c r="D244" s="331">
        <f>D231+D234</f>
        <v>33.861127390002054</v>
      </c>
      <c r="E244" s="331">
        <f t="shared" ref="E244:N244" si="155">E231+E234</f>
        <v>76.302899736827385</v>
      </c>
      <c r="F244" s="331">
        <f t="shared" si="155"/>
        <v>135.4635888113279</v>
      </c>
      <c r="G244" s="331">
        <f t="shared" si="155"/>
        <v>238.03095599937387</v>
      </c>
      <c r="H244" s="402">
        <f t="shared" si="155"/>
        <v>-2.7000000000043656E-4</v>
      </c>
      <c r="I244" s="14">
        <f t="shared" si="155"/>
        <v>50.407142159480031</v>
      </c>
      <c r="J244" s="14">
        <f t="shared" si="155"/>
        <v>108.03791453489293</v>
      </c>
      <c r="K244" s="14">
        <f t="shared" si="155"/>
        <v>146.42147207939047</v>
      </c>
      <c r="L244" s="14">
        <f t="shared" si="155"/>
        <v>187.63873984239763</v>
      </c>
      <c r="M244" s="14">
        <f t="shared" si="155"/>
        <v>579.51066923061444</v>
      </c>
      <c r="N244" s="187">
        <f t="shared" si="155"/>
        <v>1400.3693507085213</v>
      </c>
      <c r="O244" s="14">
        <f>O231+O234</f>
        <v>1535.6776168574024</v>
      </c>
      <c r="P244" s="14">
        <f t="shared" ref="P244:AH244" si="156">P231+P234</f>
        <v>1664.7270422895572</v>
      </c>
      <c r="Q244" s="14">
        <f t="shared" si="156"/>
        <v>1579.2183566561316</v>
      </c>
      <c r="R244" s="14">
        <f t="shared" si="156"/>
        <v>1616.9166853184888</v>
      </c>
      <c r="S244" s="14">
        <f t="shared" si="156"/>
        <v>1595.9890511039903</v>
      </c>
      <c r="T244" s="14">
        <f t="shared" si="156"/>
        <v>1656.5884060818407</v>
      </c>
      <c r="U244" s="14">
        <f t="shared" si="156"/>
        <v>1728.2311791202501</v>
      </c>
      <c r="V244" s="14">
        <f t="shared" si="156"/>
        <v>1783.9011633349351</v>
      </c>
      <c r="W244" s="14">
        <f t="shared" si="156"/>
        <v>1858.8830011529099</v>
      </c>
      <c r="X244" s="187">
        <f t="shared" si="156"/>
        <v>1843.1374133521113</v>
      </c>
      <c r="Y244" s="158">
        <f t="shared" si="156"/>
        <v>1860.0092994659453</v>
      </c>
      <c r="Z244" s="158">
        <f t="shared" si="156"/>
        <v>1926.1630789521405</v>
      </c>
      <c r="AA244" s="158">
        <f t="shared" si="156"/>
        <v>2019.6831582835803</v>
      </c>
      <c r="AB244" s="158">
        <f t="shared" si="156"/>
        <v>2118.1515313847194</v>
      </c>
      <c r="AC244" s="158">
        <f t="shared" si="156"/>
        <v>2226.1560458632366</v>
      </c>
      <c r="AD244" s="158">
        <f t="shared" si="156"/>
        <v>2348.2089909972674</v>
      </c>
      <c r="AE244" s="158">
        <f t="shared" si="156"/>
        <v>2463.7294664115334</v>
      </c>
      <c r="AF244" s="158">
        <f t="shared" si="156"/>
        <v>2584.6718065302211</v>
      </c>
      <c r="AG244" s="158">
        <f t="shared" si="156"/>
        <v>2713.2537682205402</v>
      </c>
      <c r="AH244" s="187">
        <f t="shared" si="156"/>
        <v>2852.5274613096426</v>
      </c>
    </row>
    <row r="245" spans="1:34">
      <c r="A245" t="s">
        <v>445</v>
      </c>
      <c r="D245" s="331">
        <f>D231+D234+D237</f>
        <v>192.13629987727168</v>
      </c>
      <c r="E245" s="331">
        <f t="shared" ref="E245:N245" si="157">E231+E234+E237</f>
        <v>173.98653253837892</v>
      </c>
      <c r="F245" s="331">
        <f t="shared" si="157"/>
        <v>24.382857767570272</v>
      </c>
      <c r="G245" s="331">
        <f t="shared" si="157"/>
        <v>292.01163076585726</v>
      </c>
      <c r="H245" s="402">
        <f t="shared" si="157"/>
        <v>-2.7000000000043656E-4</v>
      </c>
      <c r="I245" s="14">
        <f t="shared" si="157"/>
        <v>-116.92373077792024</v>
      </c>
      <c r="J245" s="14">
        <f t="shared" si="157"/>
        <v>-95.057378729558422</v>
      </c>
      <c r="K245" s="14">
        <f t="shared" si="157"/>
        <v>-44.815128913534181</v>
      </c>
      <c r="L245" s="14">
        <f t="shared" si="157"/>
        <v>112.09668715141288</v>
      </c>
      <c r="M245" s="14">
        <f t="shared" si="157"/>
        <v>560.92467614703492</v>
      </c>
      <c r="N245" s="187">
        <f t="shared" si="157"/>
        <v>1400.3693507085213</v>
      </c>
      <c r="O245" s="14">
        <f>O231+O234+O237</f>
        <v>1526.1035433522902</v>
      </c>
      <c r="P245" s="14">
        <f t="shared" ref="P245:AH245" si="158">P231+P234+P237</f>
        <v>1666.0664687215449</v>
      </c>
      <c r="Q245" s="14">
        <f t="shared" si="158"/>
        <v>1589.7517549700924</v>
      </c>
      <c r="R245" s="14">
        <f t="shared" si="158"/>
        <v>1622.4955456805001</v>
      </c>
      <c r="S245" s="14">
        <f t="shared" si="158"/>
        <v>1610.5764369727867</v>
      </c>
      <c r="T245" s="14">
        <f t="shared" si="158"/>
        <v>1688.3214456234182</v>
      </c>
      <c r="U245" s="14">
        <f t="shared" si="158"/>
        <v>1756.5737992079439</v>
      </c>
      <c r="V245" s="14">
        <f t="shared" si="158"/>
        <v>1792.9317113390412</v>
      </c>
      <c r="W245" s="14">
        <f t="shared" si="158"/>
        <v>1863.0208046197931</v>
      </c>
      <c r="X245" s="187">
        <f t="shared" si="158"/>
        <v>1839.6742943757472</v>
      </c>
      <c r="Y245" s="158">
        <f t="shared" si="158"/>
        <v>1873.2932719939608</v>
      </c>
      <c r="Z245" s="158">
        <f t="shared" si="158"/>
        <v>1946.9536883994715</v>
      </c>
      <c r="AA245" s="158">
        <f t="shared" si="158"/>
        <v>2055.9326493581411</v>
      </c>
      <c r="AB245" s="158">
        <f t="shared" si="158"/>
        <v>2153.3206083030609</v>
      </c>
      <c r="AC245" s="158">
        <f t="shared" si="158"/>
        <v>2253.2747269205629</v>
      </c>
      <c r="AD245" s="158">
        <f t="shared" si="158"/>
        <v>2374.6317711786705</v>
      </c>
      <c r="AE245" s="158">
        <f t="shared" si="158"/>
        <v>2489.7444994868847</v>
      </c>
      <c r="AF245" s="158">
        <f t="shared" si="158"/>
        <v>2605.3360543551225</v>
      </c>
      <c r="AG245" s="158">
        <f t="shared" si="158"/>
        <v>2717.3747585232586</v>
      </c>
      <c r="AH245" s="187">
        <f t="shared" si="158"/>
        <v>2845.917718888486</v>
      </c>
    </row>
    <row r="246" spans="1:34" s="1" customFormat="1">
      <c r="A246" s="1" t="s">
        <v>448</v>
      </c>
      <c r="B246" s="13"/>
      <c r="C246" s="328"/>
      <c r="D246" s="341">
        <f>D243</f>
        <v>52.648917306813019</v>
      </c>
      <c r="E246" s="341">
        <f>D246+E243</f>
        <v>99.492604538785599</v>
      </c>
      <c r="F246" s="341">
        <f>E246+F243</f>
        <v>133.40612662374951</v>
      </c>
      <c r="G246" s="341">
        <f>F246+G243</f>
        <v>230.25642408533531</v>
      </c>
      <c r="H246" s="405"/>
      <c r="I246" s="15">
        <f t="shared" ref="I246:X246" si="159">H246+I243</f>
        <v>-66.940333055685187</v>
      </c>
      <c r="J246" s="15">
        <f t="shared" si="159"/>
        <v>-131.768220433225</v>
      </c>
      <c r="K246" s="15">
        <f t="shared" si="159"/>
        <v>-188.82907268279268</v>
      </c>
      <c r="L246" s="15">
        <f t="shared" si="159"/>
        <v>-246.79227973338493</v>
      </c>
      <c r="M246" s="15">
        <f t="shared" si="159"/>
        <v>-47.604885802760691</v>
      </c>
      <c r="N246" s="190">
        <f t="shared" si="159"/>
        <v>734.6526128227506</v>
      </c>
      <c r="O246" s="15">
        <f t="shared" si="159"/>
        <v>1615.1633052255384</v>
      </c>
      <c r="P246" s="15">
        <f t="shared" si="159"/>
        <v>2598.1112616697737</v>
      </c>
      <c r="Q246" s="15">
        <f t="shared" si="159"/>
        <v>3507.1375931254461</v>
      </c>
      <c r="R246" s="15">
        <f t="shared" si="159"/>
        <v>4404.5272999447807</v>
      </c>
      <c r="S246" s="15">
        <f t="shared" si="159"/>
        <v>5266.8174957116826</v>
      </c>
      <c r="T246" s="15">
        <f t="shared" si="159"/>
        <v>6136.2749927742807</v>
      </c>
      <c r="U246" s="15">
        <f t="shared" si="159"/>
        <v>7015.0581376447535</v>
      </c>
      <c r="V246" s="15">
        <f t="shared" si="159"/>
        <v>7893.5966974297207</v>
      </c>
      <c r="W246" s="15">
        <f t="shared" si="159"/>
        <v>8786.6126157217495</v>
      </c>
      <c r="X246" s="190">
        <f t="shared" si="159"/>
        <v>9652.1770437455943</v>
      </c>
      <c r="Y246" s="130">
        <f t="shared" ref="Y246:AH246" si="160">X246+Y243</f>
        <v>10502.730690019052</v>
      </c>
      <c r="Z246" s="130">
        <f t="shared" si="160"/>
        <v>11361.104552664741</v>
      </c>
      <c r="AA246" s="130">
        <f t="shared" si="160"/>
        <v>12244.029226391001</v>
      </c>
      <c r="AB246" s="130">
        <f t="shared" si="160"/>
        <v>13151.96498857181</v>
      </c>
      <c r="AC246" s="130">
        <f t="shared" si="160"/>
        <v>14088.871754242988</v>
      </c>
      <c r="AD246" s="130">
        <f t="shared" si="160"/>
        <v>15065.19910156661</v>
      </c>
      <c r="AE246" s="130">
        <f t="shared" si="160"/>
        <v>16080.187592680668</v>
      </c>
      <c r="AF246" s="130">
        <f t="shared" si="160"/>
        <v>17137.48279655214</v>
      </c>
      <c r="AG246" s="130">
        <f t="shared" si="160"/>
        <v>18240.798669911834</v>
      </c>
      <c r="AH246" s="190">
        <f t="shared" si="160"/>
        <v>19398.457493770908</v>
      </c>
    </row>
    <row r="247" spans="1:34">
      <c r="A247" t="s">
        <v>457</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438</v>
      </c>
    </row>
    <row r="249" spans="1:34" s="1" customFormat="1">
      <c r="A249" s="1" t="s">
        <v>439</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441</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442</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440</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441</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442</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S5" activePane="bottomRight" state="frozen"/>
      <selection pane="topRight" activeCell="C1" sqref="C1"/>
      <selection pane="bottomLeft" activeCell="A3" sqref="A3"/>
      <selection pane="bottomRight" activeCell="AG13" sqref="AG13:AH13"/>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43506</v>
      </c>
      <c r="D4" s="329">
        <f>EIA_electricity_aeo2014!F58 * 1000</f>
        <v>43392</v>
      </c>
      <c r="E4" s="329">
        <f>EIA_electricity_aeo2014!G58 * 1000</f>
        <v>48918.910366223405</v>
      </c>
      <c r="F4" s="329">
        <f>EIA_electricity_aeo2014!H58 * 1000</f>
        <v>46072.539257874196</v>
      </c>
      <c r="G4" s="329">
        <f>EIA_electricity_aeo2014!I58 * 1000</f>
        <v>48464.083165928132</v>
      </c>
      <c r="H4" s="21">
        <f>EIA_electricity_aeo2014!J58 * 1000</f>
        <v>48531.247214676434</v>
      </c>
      <c r="I4" s="21">
        <f>EIA_electricity_aeo2014!K58 * 1000</f>
        <v>49056.346450497382</v>
      </c>
      <c r="J4" s="21">
        <f>EIA_electricity_aeo2014!L58 * 1000</f>
        <v>49841.107076736189</v>
      </c>
      <c r="K4" s="21">
        <f>EIA_electricity_aeo2014!M58 * 1000</f>
        <v>50843.949967429304</v>
      </c>
      <c r="L4" s="21">
        <f>EIA_electricity_aeo2014!N58 * 1000</f>
        <v>51315.544356487204</v>
      </c>
      <c r="M4" s="21">
        <f>EIA_electricity_aeo2014!O58 * 1000</f>
        <v>51149.851957443658</v>
      </c>
      <c r="N4" s="388">
        <f>EIA_electricity_aeo2014!P58 * 1000</f>
        <v>51132.181057704547</v>
      </c>
      <c r="O4" s="21">
        <f>EIA_electricity_aeo2014!Q58 * 1000</f>
        <v>51319.102118871808</v>
      </c>
      <c r="P4" s="21">
        <f>EIA_electricity_aeo2014!R58 * 1000</f>
        <v>51601.510758195334</v>
      </c>
      <c r="Q4" s="21">
        <f>EIA_electricity_aeo2014!S58 * 1000</f>
        <v>52332.541292067042</v>
      </c>
      <c r="R4" s="21">
        <f>EIA_electricity_aeo2014!T58 * 1000</f>
        <v>52443.08662981508</v>
      </c>
      <c r="S4" s="21">
        <f>EIA_electricity_aeo2014!U58 * 1000</f>
        <v>52710.458768280922</v>
      </c>
      <c r="T4" s="21">
        <f>EIA_electricity_aeo2014!V58 * 1000</f>
        <v>53070.812668612838</v>
      </c>
      <c r="U4" s="21">
        <f>EIA_electricity_aeo2014!W58 * 1000</f>
        <v>53202.377930221941</v>
      </c>
      <c r="V4" s="21">
        <f>EIA_electricity_aeo2014!X58 * 1000</f>
        <v>53230.936722546321</v>
      </c>
      <c r="W4" s="21">
        <f>EIA_electricity_aeo2014!Y58 * 1000</f>
        <v>53346.852404763886</v>
      </c>
      <c r="X4" s="388">
        <f>EIA_electricity_aeo2014!Z58 * 1000</f>
        <v>53482.450587714236</v>
      </c>
      <c r="Y4" s="21">
        <f>EIA_electricity_aeo2014!AA58 * 1000</f>
        <v>53995.25590368417</v>
      </c>
      <c r="Z4" s="21">
        <f>EIA_electricity_aeo2014!AB58 * 1000</f>
        <v>54387.057340069987</v>
      </c>
      <c r="AA4" s="21">
        <f>EIA_electricity_aeo2014!AC58 * 1000</f>
        <v>54742.880565703199</v>
      </c>
      <c r="AB4" s="21">
        <f>EIA_electricity_aeo2014!AD58 * 1000</f>
        <v>55088.577594269424</v>
      </c>
      <c r="AC4" s="21">
        <f>EIA_electricity_aeo2014!AE58 * 1000</f>
        <v>55336.194650813195</v>
      </c>
      <c r="AD4" s="21">
        <f>EIA_electricity_aeo2014!AF58 * 1000</f>
        <v>55576.566863151944</v>
      </c>
      <c r="AE4" s="21">
        <f>EIA_electricity_aeo2014!AG58 * 1000</f>
        <v>55756.607218303463</v>
      </c>
      <c r="AF4" s="21">
        <f>EIA_electricity_aeo2014!AH58 * 1000</f>
        <v>55880.187486256771</v>
      </c>
      <c r="AG4" s="21">
        <f>EIA_electricity_aeo2014!AI58 * 1000</f>
        <v>55873.596158027758</v>
      </c>
      <c r="AH4" s="21">
        <f>EIA_electricity_aeo2014!AJ58 * 1000</f>
        <v>55935.221251030511</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1888.99</v>
      </c>
      <c r="D7" s="330">
        <f>EIA_RE_aeo2014!F73*1000-D15</f>
        <v>1666.99</v>
      </c>
      <c r="E7" s="330">
        <f>EIA_RE_aeo2014!G73*1000-E15</f>
        <v>2694.9679621471137</v>
      </c>
      <c r="F7" s="330">
        <f>EIA_RE_aeo2014!H73*1000-F15</f>
        <v>2114.3446633752992</v>
      </c>
      <c r="G7" s="330">
        <f>EIA_RE_aeo2014!I73*1000-G15</f>
        <v>2714.6179153240278</v>
      </c>
      <c r="H7" s="174">
        <f>EIA_RE_aeo2014!J73*1000-H15</f>
        <v>2906.8593901557892</v>
      </c>
      <c r="I7" s="174">
        <f>EIA_RE_aeo2014!K73*1000-I15</f>
        <v>3085.3997888825734</v>
      </c>
      <c r="J7" s="174">
        <f>EIA_RE_aeo2014!L73*1000-J15</f>
        <v>3140.0037851722941</v>
      </c>
      <c r="K7" s="174">
        <f>EIA_RE_aeo2014!M73*1000-K15</f>
        <v>3458.7585030583955</v>
      </c>
      <c r="L7" s="174">
        <f>EIA_RE_aeo2014!N73*1000-L15</f>
        <v>3458.7585030583955</v>
      </c>
      <c r="M7" s="174">
        <f>EIA_RE_aeo2014!O73*1000-M15</f>
        <v>3458.7585030583955</v>
      </c>
      <c r="N7" s="184">
        <f>EIA_RE_aeo2014!P73*1000-N15</f>
        <v>3458.7582286636971</v>
      </c>
      <c r="O7" s="174">
        <f>EIA_RE_aeo2014!Q73*1000-O15</f>
        <v>3500.7664106955694</v>
      </c>
      <c r="P7" s="174">
        <f>EIA_RE_aeo2014!R73*1000-P15</f>
        <v>3500.7664106955694</v>
      </c>
      <c r="Q7" s="174">
        <f>EIA_RE_aeo2014!S73*1000-Q15</f>
        <v>3647.910293580655</v>
      </c>
      <c r="R7" s="174">
        <f>EIA_RE_aeo2014!T73*1000-R15</f>
        <v>3647.910293580655</v>
      </c>
      <c r="S7" s="83">
        <f>EIA_RE_aeo2014!U73*1000-S15</f>
        <v>3647.910293580655</v>
      </c>
      <c r="T7" s="83">
        <f>EIA_RE_aeo2014!V73*1000-T15</f>
        <v>3647.910293580655</v>
      </c>
      <c r="U7" s="83">
        <f>EIA_RE_aeo2014!W73*1000-U15</f>
        <v>3647.910293580655</v>
      </c>
      <c r="V7" s="83">
        <f>EIA_RE_aeo2014!X73*1000-V15</f>
        <v>3671.4972618972433</v>
      </c>
      <c r="W7" s="83">
        <f>EIA_RE_aeo2014!Y73*1000-W15</f>
        <v>3671.4972618972433</v>
      </c>
      <c r="X7" s="184">
        <f>EIA_RE_aeo2014!Z73*1000-X15</f>
        <v>3686.8471757478515</v>
      </c>
      <c r="Y7" s="174">
        <f>EIA_RE_aeo2014!AA73*1000-Y15</f>
        <v>3732.2699254127119</v>
      </c>
      <c r="Z7" s="174">
        <f>EIA_RE_aeo2014!AB73*1000-Z15</f>
        <v>3771.9608442124572</v>
      </c>
      <c r="AA7" s="174">
        <f>EIA_RE_aeo2014!AC73*1000-AA15</f>
        <v>3771.9608442124572</v>
      </c>
      <c r="AB7" s="174">
        <f>EIA_RE_aeo2014!AD73*1000-AB15</f>
        <v>3826.1924868957844</v>
      </c>
      <c r="AC7" s="174">
        <f>EIA_RE_aeo2014!AE73*1000-AC15</f>
        <v>3874.3896413611214</v>
      </c>
      <c r="AD7" s="174">
        <f>EIA_RE_aeo2014!AF73*1000-AD15</f>
        <v>3894.0909063467279</v>
      </c>
      <c r="AE7" s="174">
        <f>EIA_RE_aeo2014!AG73*1000-AE15</f>
        <v>3894.0909063467279</v>
      </c>
      <c r="AF7" s="174">
        <f>EIA_RE_aeo2014!AH73*1000-AF15</f>
        <v>3894.0909063467279</v>
      </c>
      <c r="AG7" s="174">
        <f>EIA_RE_aeo2014!AI73*1000-AG15</f>
        <v>3894.0909063467279</v>
      </c>
      <c r="AH7" s="174">
        <f>EIA_RE_aeo2014!AJ73*1000-AH15</f>
        <v>3894.0909063467279</v>
      </c>
    </row>
    <row r="8" spans="1:34">
      <c r="A8" s="9" t="s">
        <v>59</v>
      </c>
      <c r="B8" s="34">
        <v>0</v>
      </c>
      <c r="C8" s="330">
        <f>EIA_electricity_aeo2014!E52*1000</f>
        <v>14550</v>
      </c>
      <c r="D8" s="330">
        <f>EIA_electricity_aeo2014!F52*1000</f>
        <v>13994</v>
      </c>
      <c r="E8" s="330">
        <f>EIA_electricity_aeo2014!G52*1000</f>
        <v>15030.90042</v>
      </c>
      <c r="F8" s="330">
        <f>EIA_electricity_aeo2014!H52*1000</f>
        <v>15208.859699999999</v>
      </c>
      <c r="G8" s="330">
        <f>EIA_electricity_aeo2014!I52*1000</f>
        <v>14656.983479999999</v>
      </c>
      <c r="H8" s="3">
        <f>EIA_electricity_aeo2014!J52*1000</f>
        <v>14683.76268</v>
      </c>
      <c r="I8" s="3">
        <f>EIA_electricity_aeo2014!K52*1000</f>
        <v>15108.2538</v>
      </c>
      <c r="J8" s="3">
        <f>EIA_electricity_aeo2014!L52*1000</f>
        <v>15259.5648</v>
      </c>
      <c r="K8" s="3">
        <f>EIA_electricity_aeo2014!M52*1000</f>
        <v>15019.470479999998</v>
      </c>
      <c r="L8" s="3">
        <f>EIA_electricity_aeo2014!N52*1000</f>
        <v>14536.21032</v>
      </c>
      <c r="M8" s="3">
        <f>EIA_electricity_aeo2014!O52*1000</f>
        <v>14049.467459999998</v>
      </c>
      <c r="N8" s="388">
        <f>EIA_electricity_aeo2014!P52*1000</f>
        <v>13758.922139999999</v>
      </c>
      <c r="O8" s="3">
        <f>EIA_electricity_aeo2014!Q52*1000</f>
        <v>13758.922560000001</v>
      </c>
      <c r="P8" s="3">
        <f>EIA_electricity_aeo2014!R52*1000</f>
        <v>13758.922139999999</v>
      </c>
      <c r="Q8" s="3">
        <f>EIA_electricity_aeo2014!S52*1000</f>
        <v>13758.922139999999</v>
      </c>
      <c r="R8" s="3">
        <f>EIA_electricity_aeo2014!T52*1000</f>
        <v>13758.922560000001</v>
      </c>
      <c r="S8" s="3">
        <f>EIA_electricity_aeo2014!U52*1000</f>
        <v>13758.922139999999</v>
      </c>
      <c r="T8" s="3">
        <f>EIA_electricity_aeo2014!V52*1000</f>
        <v>13758.922560000001</v>
      </c>
      <c r="U8" s="3">
        <f>EIA_electricity_aeo2014!W52*1000</f>
        <v>13758.922139999999</v>
      </c>
      <c r="V8" s="3">
        <f>EIA_electricity_aeo2014!X52*1000</f>
        <v>13758.922139999999</v>
      </c>
      <c r="W8" s="3">
        <f>EIA_electricity_aeo2014!Y52*1000</f>
        <v>13758.922560000001</v>
      </c>
      <c r="X8" s="184">
        <f>EIA_electricity_aeo2014!Z52*1000</f>
        <v>13758.922560000001</v>
      </c>
      <c r="Y8" s="174">
        <f>EIA_electricity_aeo2014!AA52*1000</f>
        <v>13758.922560000001</v>
      </c>
      <c r="Z8" s="174">
        <f>EIA_electricity_aeo2014!AB52*1000</f>
        <v>13758.922560000001</v>
      </c>
      <c r="AA8" s="174">
        <f>EIA_electricity_aeo2014!AC52*1000</f>
        <v>13758.922139999999</v>
      </c>
      <c r="AB8" s="174">
        <f>EIA_electricity_aeo2014!AD52*1000</f>
        <v>13758.922139999999</v>
      </c>
      <c r="AC8" s="174">
        <f>EIA_electricity_aeo2014!AE52*1000</f>
        <v>13758.922139999999</v>
      </c>
      <c r="AD8" s="174">
        <f>EIA_electricity_aeo2014!AF52*1000</f>
        <v>13758.922139999999</v>
      </c>
      <c r="AE8" s="174">
        <f>EIA_electricity_aeo2014!AG52*1000</f>
        <v>13758.922139999999</v>
      </c>
      <c r="AF8" s="174">
        <f>EIA_electricity_aeo2014!AH52*1000</f>
        <v>13758.922139999999</v>
      </c>
      <c r="AG8" s="174">
        <f>EIA_electricity_aeo2014!AI52*1000</f>
        <v>13758.922139999999</v>
      </c>
      <c r="AH8" s="174">
        <f>EIA_electricity_aeo2014!AJ52*1000</f>
        <v>13758.922560000001</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175</v>
      </c>
      <c r="D10" s="330">
        <f>EIA_RE_aeo2014!F76*1000</f>
        <v>165</v>
      </c>
      <c r="E10" s="330">
        <f>EIA_RE_aeo2014!G76*1000</f>
        <v>212.02160336499833</v>
      </c>
      <c r="F10" s="330">
        <f>EIA_RE_aeo2014!H76*1000</f>
        <v>204.18442557314648</v>
      </c>
      <c r="G10" s="330">
        <f>EIA_RE_aeo2014!I76*1000</f>
        <v>222.15556100473688</v>
      </c>
      <c r="H10" s="83">
        <f>EIA_RE_aeo2014!J76*1000</f>
        <v>252.29859914035592</v>
      </c>
      <c r="I10" s="174">
        <f>EIA_RE_aeo2014!K76*1000</f>
        <v>297.94823518670353</v>
      </c>
      <c r="J10" s="174">
        <f>EIA_RE_aeo2014!L76*1000</f>
        <v>419.77561519553268</v>
      </c>
      <c r="K10" s="174">
        <f>EIA_RE_aeo2014!M76*1000</f>
        <v>785.13743038702228</v>
      </c>
      <c r="L10" s="174">
        <f>EIA_RE_aeo2014!N76*1000</f>
        <v>1303.515307755054</v>
      </c>
      <c r="M10" s="174">
        <f>EIA_RE_aeo2014!O76*1000</f>
        <v>1311.2386770442822</v>
      </c>
      <c r="N10" s="184">
        <f>EIA_RE_aeo2014!P76*1000</f>
        <v>1425.2719173634503</v>
      </c>
      <c r="O10" s="174">
        <f>EIA_RE_aeo2014!Q76*1000</f>
        <v>1492.7699066038704</v>
      </c>
      <c r="P10" s="174">
        <f>EIA_RE_aeo2014!R76*1000</f>
        <v>1606.4909691395437</v>
      </c>
      <c r="Q10" s="174">
        <f>EIA_RE_aeo2014!S76*1000</f>
        <v>1975.4749558752524</v>
      </c>
      <c r="R10" s="174">
        <f>EIA_RE_aeo2014!T76*1000</f>
        <v>1995.1567043263033</v>
      </c>
      <c r="S10" s="83">
        <f>EIA_RE_aeo2014!U76*1000</f>
        <v>2206.6321481127998</v>
      </c>
      <c r="T10" s="83">
        <f>EIA_RE_aeo2014!V76*1000</f>
        <v>2246.6278807977847</v>
      </c>
      <c r="U10" s="83">
        <f>EIA_RE_aeo2014!W76*1000</f>
        <v>2250.7316547672208</v>
      </c>
      <c r="V10" s="83">
        <f>EIA_RE_aeo2014!X76*1000</f>
        <v>2302.7600224945691</v>
      </c>
      <c r="W10" s="83">
        <f>EIA_RE_aeo2014!Y76*1000</f>
        <v>2341.0171067766246</v>
      </c>
      <c r="X10" s="184">
        <f>EIA_RE_aeo2014!Z76*1000</f>
        <v>2633.5058677748907</v>
      </c>
      <c r="Y10" s="174">
        <f>EIA_RE_aeo2014!AA76*1000</f>
        <v>2820.6491749345569</v>
      </c>
      <c r="Z10" s="174">
        <f>EIA_RE_aeo2014!AB76*1000</f>
        <v>2886.3044059966783</v>
      </c>
      <c r="AA10" s="174">
        <f>EIA_RE_aeo2014!AC76*1000</f>
        <v>2898.405235215047</v>
      </c>
      <c r="AB10" s="174">
        <f>EIA_RE_aeo2014!AD76*1000</f>
        <v>2906.3412187908011</v>
      </c>
      <c r="AC10" s="174">
        <f>EIA_RE_aeo2014!AE76*1000</f>
        <v>2908.1062356084531</v>
      </c>
      <c r="AD10" s="174">
        <f>EIA_RE_aeo2014!AF76*1000</f>
        <v>2895.8740189443124</v>
      </c>
      <c r="AE10" s="174">
        <f>EIA_RE_aeo2014!AG76*1000</f>
        <v>2912.9137734742726</v>
      </c>
      <c r="AF10" s="174">
        <f>EIA_RE_aeo2014!AH76*1000</f>
        <v>2929.9801995041817</v>
      </c>
      <c r="AG10" s="174">
        <f>EIA_RE_aeo2014!AI76*1000</f>
        <v>2927.9533170506661</v>
      </c>
      <c r="AH10" s="174">
        <f>EIA_RE_aeo2014!AJ76*1000</f>
        <v>2935.3910285137349</v>
      </c>
    </row>
    <row r="11" spans="1:34" s="20" customFormat="1">
      <c r="A11" s="9" t="s">
        <v>50</v>
      </c>
      <c r="B11" s="35">
        <v>1</v>
      </c>
      <c r="C11" s="330">
        <f>EIA_RE_aeo2014!E74*1000</f>
        <v>0</v>
      </c>
      <c r="D11" s="330">
        <f>EIA_RE_aeo2014!F74*1000</f>
        <v>0</v>
      </c>
      <c r="E11" s="330">
        <f>EIA_RE_aeo2014!G74*1000</f>
        <v>1E-8</v>
      </c>
      <c r="F11" s="330">
        <f>EIA_RE_aeo2014!H74*1000</f>
        <v>1E-8</v>
      </c>
      <c r="G11" s="330">
        <f>EIA_RE_aeo2014!I74*1000</f>
        <v>1E-8</v>
      </c>
      <c r="H11" s="83">
        <f>EIA_RE_aeo2014!J74*1000</f>
        <v>1E-8</v>
      </c>
      <c r="I11" s="83">
        <f>EIA_RE_aeo2014!K74*1000</f>
        <v>1E-8</v>
      </c>
      <c r="J11" s="83">
        <f>EIA_RE_aeo2014!L74*1000</f>
        <v>1E-8</v>
      </c>
      <c r="K11" s="83">
        <f>EIA_RE_aeo2014!M74*1000</f>
        <v>1E-8</v>
      </c>
      <c r="L11" s="83">
        <f>EIA_RE_aeo2014!N74*1000</f>
        <v>1E-8</v>
      </c>
      <c r="M11" s="83">
        <f>EIA_RE_aeo2014!O74*1000</f>
        <v>1E-8</v>
      </c>
      <c r="N11" s="388">
        <f>EIA_RE_aeo2014!P74*1000</f>
        <v>1E-8</v>
      </c>
      <c r="O11" s="83">
        <f>EIA_RE_aeo2014!Q74*1000</f>
        <v>1E-8</v>
      </c>
      <c r="P11" s="83">
        <f>EIA_RE_aeo2014!R74*1000</f>
        <v>1E-8</v>
      </c>
      <c r="Q11" s="83">
        <f>EIA_RE_aeo2014!S74*1000</f>
        <v>1E-8</v>
      </c>
      <c r="R11" s="83">
        <f>EIA_RE_aeo2014!T74*1000</f>
        <v>1E-8</v>
      </c>
      <c r="S11" s="83">
        <f>EIA_RE_aeo2014!U74*1000</f>
        <v>1E-8</v>
      </c>
      <c r="T11" s="83">
        <f>EIA_RE_aeo2014!V74*1000</f>
        <v>1E-8</v>
      </c>
      <c r="U11" s="83">
        <f>EIA_RE_aeo2014!W74*1000</f>
        <v>1E-8</v>
      </c>
      <c r="V11" s="83">
        <f>EIA_RE_aeo2014!X74*1000</f>
        <v>1E-8</v>
      </c>
      <c r="W11" s="83">
        <f>EIA_RE_aeo2014!Y74*1000</f>
        <v>1E-8</v>
      </c>
      <c r="X11" s="184">
        <f>EIA_RE_aeo2014!Z74*1000</f>
        <v>1E-8</v>
      </c>
      <c r="Y11" s="174">
        <f>EIA_RE_aeo2014!AA74*1000</f>
        <v>1E-8</v>
      </c>
      <c r="Z11" s="174">
        <f>EIA_RE_aeo2014!AB74*1000</f>
        <v>1E-8</v>
      </c>
      <c r="AA11" s="174">
        <f>EIA_RE_aeo2014!AC74*1000</f>
        <v>1E-8</v>
      </c>
      <c r="AB11" s="174">
        <f>EIA_RE_aeo2014!AD74*1000</f>
        <v>1E-8</v>
      </c>
      <c r="AC11" s="174">
        <f>EIA_RE_aeo2014!AE74*1000</f>
        <v>1E-8</v>
      </c>
      <c r="AD11" s="174">
        <f>EIA_RE_aeo2014!AF74*1000</f>
        <v>1E-8</v>
      </c>
      <c r="AE11" s="174">
        <f>EIA_RE_aeo2014!AG74*1000</f>
        <v>1E-8</v>
      </c>
      <c r="AF11" s="174">
        <f>EIA_RE_aeo2014!AH74*1000</f>
        <v>1E-8</v>
      </c>
      <c r="AG11" s="174">
        <f>EIA_RE_aeo2014!AI74*1000</f>
        <v>1E-8</v>
      </c>
      <c r="AH11" s="174">
        <f>EIA_RE_aeo2014!AJ74*1000</f>
        <v>1E-8</v>
      </c>
    </row>
    <row r="12" spans="1:34" s="20" customFormat="1">
      <c r="A12" s="9" t="s">
        <v>51</v>
      </c>
      <c r="B12" s="35">
        <v>1</v>
      </c>
      <c r="C12" s="330">
        <f>EIA_RE_aeo2014!E75*1000</f>
        <v>376</v>
      </c>
      <c r="D12" s="330">
        <f>EIA_RE_aeo2014!F75*1000</f>
        <v>407</v>
      </c>
      <c r="E12" s="330">
        <f>EIA_RE_aeo2014!G75*1000</f>
        <v>549.57504508092086</v>
      </c>
      <c r="F12" s="330">
        <f>EIA_RE_aeo2014!H75*1000</f>
        <v>605.80591553475131</v>
      </c>
      <c r="G12" s="330">
        <f>EIA_RE_aeo2014!I75*1000</f>
        <v>738.57251298014194</v>
      </c>
      <c r="H12" s="83">
        <f>EIA_RE_aeo2014!J75*1000</f>
        <v>741.57886253345828</v>
      </c>
      <c r="I12" s="174">
        <f>EIA_RE_aeo2014!K75*1000</f>
        <v>736.93842735741464</v>
      </c>
      <c r="J12" s="174">
        <f>EIA_RE_aeo2014!L75*1000</f>
        <v>736.98156701893993</v>
      </c>
      <c r="K12" s="174">
        <f>EIA_RE_aeo2014!M75*1000</f>
        <v>737.00618273358532</v>
      </c>
      <c r="L12" s="174">
        <f>EIA_RE_aeo2014!N75*1000</f>
        <v>736.99623699029416</v>
      </c>
      <c r="M12" s="174">
        <f>EIA_RE_aeo2014!O75*1000</f>
        <v>736.96055663623736</v>
      </c>
      <c r="N12" s="184">
        <f>EIA_RE_aeo2014!P75*1000</f>
        <v>736.86308835198463</v>
      </c>
      <c r="O12" s="174">
        <f>EIA_RE_aeo2014!Q75*1000</f>
        <v>736.80652193701656</v>
      </c>
      <c r="P12" s="174">
        <f>EIA_RE_aeo2014!R75*1000</f>
        <v>736.75542568085848</v>
      </c>
      <c r="Q12" s="174">
        <f>EIA_RE_aeo2014!S75*1000</f>
        <v>736.69786469156134</v>
      </c>
      <c r="R12" s="174">
        <f>EIA_RE_aeo2014!T75*1000</f>
        <v>744.86854144877975</v>
      </c>
      <c r="S12" s="83">
        <f>EIA_RE_aeo2014!U75*1000</f>
        <v>744.83410431263428</v>
      </c>
      <c r="T12" s="83">
        <f>EIA_RE_aeo2014!V75*1000</f>
        <v>744.78574313588138</v>
      </c>
      <c r="U12" s="83">
        <f>EIA_RE_aeo2014!W75*1000</f>
        <v>744.73439823614092</v>
      </c>
      <c r="V12" s="83">
        <f>EIA_RE_aeo2014!X75*1000</f>
        <v>744.6798209698311</v>
      </c>
      <c r="W12" s="83">
        <f>EIA_RE_aeo2014!Y75*1000</f>
        <v>744.56643949631268</v>
      </c>
      <c r="X12" s="184">
        <f>EIA_RE_aeo2014!Z75*1000</f>
        <v>744.43291789262969</v>
      </c>
      <c r="Y12" s="174">
        <f>EIA_RE_aeo2014!AA75*1000</f>
        <v>744.31083389373146</v>
      </c>
      <c r="Z12" s="174">
        <f>EIA_RE_aeo2014!AB75*1000</f>
        <v>744.18514456289017</v>
      </c>
      <c r="AA12" s="174">
        <f>EIA_RE_aeo2014!AC75*1000</f>
        <v>744.05572557831488</v>
      </c>
      <c r="AB12" s="174">
        <f>EIA_RE_aeo2014!AD75*1000</f>
        <v>760.02622718978489</v>
      </c>
      <c r="AC12" s="174">
        <f>EIA_RE_aeo2014!AE75*1000</f>
        <v>759.95486648167116</v>
      </c>
      <c r="AD12" s="174">
        <f>EIA_RE_aeo2014!AF75*1000</f>
        <v>759.87505189176022</v>
      </c>
      <c r="AE12" s="174">
        <f>EIA_RE_aeo2014!AG75*1000</f>
        <v>759.79063739557694</v>
      </c>
      <c r="AF12" s="174">
        <f>EIA_RE_aeo2014!AH75*1000</f>
        <v>759.71219034536841</v>
      </c>
      <c r="AG12" s="174">
        <f>EIA_RE_aeo2014!AI75*1000</f>
        <v>759.63548380023599</v>
      </c>
      <c r="AH12" s="174">
        <f>EIA_RE_aeo2014!AJ75*1000</f>
        <v>759.56723113690077</v>
      </c>
    </row>
    <row r="13" spans="1:34">
      <c r="A13" s="9" t="s">
        <v>347</v>
      </c>
      <c r="B13" s="34">
        <v>1</v>
      </c>
      <c r="C13" s="330">
        <f>(EIA_RE_aeo2014!E34+EIA_RE_aeo2014!E54)*1000</f>
        <v>4.3506000000000009</v>
      </c>
      <c r="D13" s="330">
        <f>(EIA_RE_aeo2014!F34+EIA_RE_aeo2014!F54)*1000</f>
        <v>10.848000000000003</v>
      </c>
      <c r="E13" s="330">
        <f>(EIA_RE_aeo2014!G34+EIA_RE_aeo2014!G54)*1000</f>
        <v>24.469455183111705</v>
      </c>
      <c r="F13" s="330">
        <f>(EIA_RE_aeo2014!H34+EIA_RE_aeo2014!H54)*1000</f>
        <v>46.082539257874203</v>
      </c>
      <c r="G13" s="330">
        <f>(EIA_RE_aeo2014!I34+EIA_RE_aeo2014!I54)*1000</f>
        <v>121.17020791482032</v>
      </c>
      <c r="H13" s="83">
        <f>(EIA_RE_aeo2014!J34+EIA_RE_aeo2014!J54)*1000</f>
        <v>169.86936525136753</v>
      </c>
      <c r="I13" s="83">
        <f>(EIA_RE_aeo2014!K34+EIA_RE_aeo2014!K54)*1000</f>
        <v>245.2917322524869</v>
      </c>
      <c r="J13" s="83">
        <f>(EIA_RE_aeo2014!L34+EIA_RE_aeo2014!L54)*1000</f>
        <v>348.89774953715329</v>
      </c>
      <c r="K13" s="83">
        <f>(EIA_RE_aeo2014!M34+EIA_RE_aeo2014!M54)*1000</f>
        <v>483.02752469057833</v>
      </c>
      <c r="L13" s="83">
        <f>(EIA_RE_aeo2014!N34+EIA_RE_aeo2014!N54)*1000</f>
        <v>718.42762099082086</v>
      </c>
      <c r="M13" s="83">
        <f>(EIA_RE_aeo2014!O34+EIA_RE_aeo2014!O54)*1000</f>
        <v>895.13240925526406</v>
      </c>
      <c r="N13" s="388">
        <f>(EIA_RE_aeo2014!P34+EIA_RE_aeo2014!P54)*1000</f>
        <v>1022.6536211540911</v>
      </c>
      <c r="O13" s="83">
        <f>(EIA_RE_aeo2014!Q34+EIA_RE_aeo2014!Q54)*1000</f>
        <v>1026.3920423774362</v>
      </c>
      <c r="P13" s="83">
        <f>(EIA_RE_aeo2014!R34+EIA_RE_aeo2014!R54)*1000</f>
        <v>1032.0402151639069</v>
      </c>
      <c r="Q13" s="83">
        <f>(EIA_RE_aeo2014!S34+EIA_RE_aeo2014!S54)*1000</f>
        <v>1142.9527018187484</v>
      </c>
      <c r="R13" s="83">
        <f>(EIA_RE_aeo2014!T34+EIA_RE_aeo2014!T54)*1000</f>
        <v>1235.7002287150258</v>
      </c>
      <c r="S13" s="83">
        <f>(EIA_RE_aeo2014!U34+EIA_RE_aeo2014!U54)*1000</f>
        <v>1332.793949955995</v>
      </c>
      <c r="T13" s="83">
        <f>(EIA_RE_aeo2014!V34+EIA_RE_aeo2014!V54)*1000</f>
        <v>1433.319973147577</v>
      </c>
      <c r="U13" s="83">
        <f>(EIA_RE_aeo2014!W34+EIA_RE_aeo2014!W54)*1000</f>
        <v>1528.5143179352722</v>
      </c>
      <c r="V13" s="83">
        <f>(EIA_RE_aeo2014!X34+EIA_RE_aeo2014!X54)*1000</f>
        <v>1621.0251005433413</v>
      </c>
      <c r="W13" s="83">
        <f>(EIA_RE_aeo2014!Y34+EIA_RE_aeo2014!Y54)*1000</f>
        <v>1716.4449761232815</v>
      </c>
      <c r="X13" s="184">
        <f>(EIA_RE_aeo2014!Z34+EIA_RE_aeo2014!Z54)*1000</f>
        <v>1812.9313687970507</v>
      </c>
      <c r="Y13" s="174">
        <f>(EIA_RE_aeo2014!AA34+EIA_RE_aeo2014!AA54)*1000</f>
        <v>1923.3210152892414</v>
      </c>
      <c r="Z13" s="174">
        <f>(EIA_RE_aeo2014!AB34+EIA_RE_aeo2014!AB54)*1000</f>
        <v>2030.9586887215785</v>
      </c>
      <c r="AA13" s="174">
        <f>(EIA_RE_aeo2014!AC34+EIA_RE_aeo2014!AC54)*1000</f>
        <v>2138.5406292991906</v>
      </c>
      <c r="AB13" s="174">
        <f>(EIA_RE_aeo2014!AD34+EIA_RE_aeo2014!AD54)*1000</f>
        <v>2246.9353586262632</v>
      </c>
      <c r="AC13" s="174">
        <f>(EIA_RE_aeo2014!AE34+EIA_RE_aeo2014!AE54)*1000</f>
        <v>2352.3516346060719</v>
      </c>
      <c r="AD13" s="174">
        <f>(EIA_RE_aeo2014!AF34+EIA_RE_aeo2014!AF54)*1000</f>
        <v>2458.3004937743749</v>
      </c>
      <c r="AE13" s="174">
        <f>(EIA_RE_aeo2014!AG34+EIA_RE_aeo2014!AG54)*1000</f>
        <v>2562.3048847171463</v>
      </c>
      <c r="AF13" s="174">
        <f>(EIA_RE_aeo2014!AH34+EIA_RE_aeo2014!AH54)*1000</f>
        <v>2664.2376388760217</v>
      </c>
      <c r="AG13" s="174">
        <f>(EIA_RE_aeo2014!AI34+EIA_RE_aeo2014!AI54)*1000</f>
        <v>2760.1656502065653</v>
      </c>
      <c r="AH13" s="174">
        <f>(EIA_RE_aeo2014!AJ34+EIA_RE_aeo2014!AJ54)*1000</f>
        <v>2859.5583484058052</v>
      </c>
    </row>
    <row r="14" spans="1:34">
      <c r="A14" s="9" t="s">
        <v>348</v>
      </c>
      <c r="B14" s="34">
        <v>1</v>
      </c>
      <c r="C14" s="330">
        <f>EIA_RE_aeo2014!E33*1000</f>
        <v>0</v>
      </c>
      <c r="D14" s="330">
        <f>EIA_RE_aeo2014!F33*1000</f>
        <v>0</v>
      </c>
      <c r="E14" s="330">
        <f>EIA_RE_aeo2014!G33*1000</f>
        <v>0.01</v>
      </c>
      <c r="F14" s="330">
        <f>EIA_RE_aeo2014!H33*1000</f>
        <v>0.01</v>
      </c>
      <c r="G14" s="330">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88">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514" customFormat="1">
      <c r="A15" s="511" t="s">
        <v>716</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0</v>
      </c>
      <c r="D16" s="330">
        <f>EIA_RE_aeo2014!F78*1000</f>
        <v>1</v>
      </c>
      <c r="E16" s="330">
        <f>EIA_RE_aeo2014!G78*1000</f>
        <v>0.43561393086677086</v>
      </c>
      <c r="F16" s="330">
        <f>EIA_RE_aeo2014!H78*1000</f>
        <v>0.51404995657460484</v>
      </c>
      <c r="G16" s="330">
        <f>EIA_RE_aeo2014!I78*1000</f>
        <v>0.59084412020149379</v>
      </c>
      <c r="H16" s="3">
        <f>EIA_RE_aeo2014!J78*1000</f>
        <v>0.59225666145561917</v>
      </c>
      <c r="I16" s="3">
        <f>EIA_RE_aeo2014!K78*1000</f>
        <v>0.59635400382143466</v>
      </c>
      <c r="J16" s="3">
        <f>EIA_RE_aeo2014!L78*1000</f>
        <v>0.60010321347924267</v>
      </c>
      <c r="K16" s="3">
        <f>EIA_RE_aeo2014!M78*1000</f>
        <v>0.60005905853743269</v>
      </c>
      <c r="L16" s="3">
        <f>EIA_RE_aeo2014!N78*1000</f>
        <v>0.59998301198540893</v>
      </c>
      <c r="M16" s="3">
        <f>EIA_RE_aeo2014!O78*1000</f>
        <v>0.59992152162584667</v>
      </c>
      <c r="N16" s="388">
        <f>EIA_RE_aeo2014!P78*1000</f>
        <v>0.60012357130449889</v>
      </c>
      <c r="O16" s="3">
        <f>EIA_RE_aeo2014!Q78*1000</f>
        <v>0.60018627757512588</v>
      </c>
      <c r="P16" s="3">
        <f>EIA_RE_aeo2014!R78*1000</f>
        <v>0.60025638353309019</v>
      </c>
      <c r="Q16" s="3">
        <f>EIA_RE_aeo2014!S78*1000</f>
        <v>0.60034038561750913</v>
      </c>
      <c r="R16" s="3">
        <f>EIA_RE_aeo2014!T78*1000</f>
        <v>0.60071714434601353</v>
      </c>
      <c r="S16" s="3">
        <f>EIA_RE_aeo2014!U78*1000</f>
        <v>0.60126239360778189</v>
      </c>
      <c r="T16" s="3">
        <f>EIA_RE_aeo2014!V78*1000</f>
        <v>0.60211363557408371</v>
      </c>
      <c r="U16" s="3">
        <f>EIA_RE_aeo2014!W78*1000</f>
        <v>0.60305356956748302</v>
      </c>
      <c r="V16" s="3">
        <f>EIA_RE_aeo2014!X78*1000</f>
        <v>0.60398096230675691</v>
      </c>
      <c r="W16" s="3">
        <f>EIA_RE_aeo2014!Y78*1000</f>
        <v>0.60494253951710963</v>
      </c>
      <c r="X16" s="184">
        <f>EIA_RE_aeo2014!Z78*1000</f>
        <v>0.6060448150078166</v>
      </c>
      <c r="Y16" s="174">
        <f>EIA_RE_aeo2014!AA78*1000</f>
        <v>0.60693659892305007</v>
      </c>
      <c r="Z16" s="174">
        <f>EIA_RE_aeo2014!AB78*1000</f>
        <v>0.60781723119680386</v>
      </c>
      <c r="AA16" s="174">
        <f>EIA_RE_aeo2014!AC78*1000</f>
        <v>0.60949939204446768</v>
      </c>
      <c r="AB16" s="174">
        <f>EIA_RE_aeo2014!AD78*1000</f>
        <v>0.61225867639395515</v>
      </c>
      <c r="AC16" s="174">
        <f>EIA_RE_aeo2014!AE78*1000</f>
        <v>0.61415070349140177</v>
      </c>
      <c r="AD16" s="174">
        <f>EIA_RE_aeo2014!AF78*1000</f>
        <v>0.61534500607955533</v>
      </c>
      <c r="AE16" s="174">
        <f>EIA_RE_aeo2014!AG78*1000</f>
        <v>0.6188758381101267</v>
      </c>
      <c r="AF16" s="174">
        <f>EIA_RE_aeo2014!AH78*1000</f>
        <v>0.6215334375542817</v>
      </c>
      <c r="AG16" s="174">
        <f>EIA_RE_aeo2014!AI78*1000</f>
        <v>0.62692117422268534</v>
      </c>
      <c r="AH16" s="174">
        <f>EIA_RE_aeo2014!AJ78*1000</f>
        <v>0.63444693416710085</v>
      </c>
    </row>
    <row r="17" spans="1:34">
      <c r="A17" s="11" t="s">
        <v>327</v>
      </c>
      <c r="B17" s="36"/>
      <c r="C17" s="330">
        <f t="shared" ref="C17:AH17" si="0">SUM(C7:C16)</f>
        <v>16994.350600000002</v>
      </c>
      <c r="D17" s="330">
        <f t="shared" si="0"/>
        <v>16244.848</v>
      </c>
      <c r="E17" s="330">
        <f t="shared" si="0"/>
        <v>18512.390099717009</v>
      </c>
      <c r="F17" s="330">
        <f t="shared" si="0"/>
        <v>18179.81129370764</v>
      </c>
      <c r="G17" s="330">
        <f t="shared" si="0"/>
        <v>18454.110521353923</v>
      </c>
      <c r="H17" s="3">
        <f t="shared" si="0"/>
        <v>18754.981153752426</v>
      </c>
      <c r="I17" s="3">
        <f t="shared" si="0"/>
        <v>19474.448337693</v>
      </c>
      <c r="J17" s="3">
        <f t="shared" si="0"/>
        <v>19905.8436201474</v>
      </c>
      <c r="K17" s="3">
        <f t="shared" si="0"/>
        <v>20484.020179938114</v>
      </c>
      <c r="L17" s="3">
        <f t="shared" si="0"/>
        <v>20754.527971816548</v>
      </c>
      <c r="M17" s="3">
        <f t="shared" si="0"/>
        <v>20452.177527525801</v>
      </c>
      <c r="N17" s="388">
        <f t="shared" si="0"/>
        <v>20403.089119114524</v>
      </c>
      <c r="O17" s="3">
        <f t="shared" si="0"/>
        <v>20516.277627901465</v>
      </c>
      <c r="P17" s="3">
        <f t="shared" si="0"/>
        <v>20635.595417073408</v>
      </c>
      <c r="Q17" s="3">
        <f t="shared" si="0"/>
        <v>21262.578296361829</v>
      </c>
      <c r="R17" s="3">
        <f t="shared" si="0"/>
        <v>21383.179045225108</v>
      </c>
      <c r="S17" s="3">
        <f t="shared" si="0"/>
        <v>21691.713898365688</v>
      </c>
      <c r="T17" s="3">
        <f t="shared" si="0"/>
        <v>21832.188564307471</v>
      </c>
      <c r="U17" s="3">
        <f t="shared" si="0"/>
        <v>21931.435858098852</v>
      </c>
      <c r="V17" s="3">
        <f t="shared" si="0"/>
        <v>22099.508326877291</v>
      </c>
      <c r="W17" s="3">
        <f t="shared" si="0"/>
        <v>22233.07328684298</v>
      </c>
      <c r="X17" s="184">
        <f t="shared" si="0"/>
        <v>22637.265935037431</v>
      </c>
      <c r="Y17" s="174">
        <f t="shared" si="0"/>
        <v>22980.100446139168</v>
      </c>
      <c r="Z17" s="174">
        <f t="shared" si="0"/>
        <v>23192.959460734797</v>
      </c>
      <c r="AA17" s="174">
        <f t="shared" si="0"/>
        <v>23312.514073707047</v>
      </c>
      <c r="AB17" s="174">
        <f t="shared" si="0"/>
        <v>23499.049690189018</v>
      </c>
      <c r="AC17" s="174">
        <f t="shared" si="0"/>
        <v>23654.358668770808</v>
      </c>
      <c r="AD17" s="174">
        <f t="shared" si="0"/>
        <v>23767.697955973254</v>
      </c>
      <c r="AE17" s="174">
        <f t="shared" si="0"/>
        <v>23888.661217781832</v>
      </c>
      <c r="AF17" s="174">
        <f t="shared" si="0"/>
        <v>24007.584608519854</v>
      </c>
      <c r="AG17" s="174">
        <f t="shared" si="0"/>
        <v>24101.414418588418</v>
      </c>
      <c r="AH17" s="174">
        <f t="shared" si="0"/>
        <v>24208.184521347335</v>
      </c>
    </row>
    <row r="18" spans="1:34">
      <c r="A18" s="10" t="s">
        <v>126</v>
      </c>
      <c r="B18" s="37"/>
      <c r="C18" s="331">
        <f t="shared" ref="C18:AH18" si="1">SUMPRODUCT($B7:$B16,C7:C16)</f>
        <v>555.36059999999998</v>
      </c>
      <c r="D18" s="331">
        <f t="shared" si="1"/>
        <v>583.85799999999995</v>
      </c>
      <c r="E18" s="331">
        <f t="shared" si="1"/>
        <v>786.52171756989765</v>
      </c>
      <c r="F18" s="331">
        <f t="shared" si="1"/>
        <v>856.60693033234656</v>
      </c>
      <c r="G18" s="331">
        <f t="shared" si="1"/>
        <v>1082.5091260299005</v>
      </c>
      <c r="H18" s="14">
        <f t="shared" si="1"/>
        <v>1164.3590835966372</v>
      </c>
      <c r="I18" s="14">
        <f t="shared" si="1"/>
        <v>1280.7947488104264</v>
      </c>
      <c r="J18" s="14">
        <f t="shared" si="1"/>
        <v>1506.2750349751052</v>
      </c>
      <c r="K18" s="14">
        <f t="shared" si="1"/>
        <v>2005.7911968797234</v>
      </c>
      <c r="L18" s="14">
        <f t="shared" si="1"/>
        <v>2759.5591487581546</v>
      </c>
      <c r="M18" s="14">
        <f t="shared" si="1"/>
        <v>2943.9515644674098</v>
      </c>
      <c r="N18" s="190">
        <f t="shared" si="1"/>
        <v>3185.4087504508311</v>
      </c>
      <c r="O18" s="14">
        <f t="shared" si="1"/>
        <v>3256.5886572058985</v>
      </c>
      <c r="P18" s="14">
        <f t="shared" si="1"/>
        <v>3375.9068663778426</v>
      </c>
      <c r="Q18" s="14">
        <f t="shared" si="1"/>
        <v>3855.7458627811802</v>
      </c>
      <c r="R18" s="14">
        <f t="shared" si="1"/>
        <v>3976.3461916444553</v>
      </c>
      <c r="S18" s="14">
        <f t="shared" si="1"/>
        <v>4284.8814647850368</v>
      </c>
      <c r="T18" s="14">
        <f t="shared" si="1"/>
        <v>4425.3557107268171</v>
      </c>
      <c r="U18" s="14">
        <f t="shared" si="1"/>
        <v>4524.6034245182009</v>
      </c>
      <c r="V18" s="14">
        <f t="shared" si="1"/>
        <v>4669.0889249800484</v>
      </c>
      <c r="W18" s="14">
        <f t="shared" si="1"/>
        <v>4802.6534649457362</v>
      </c>
      <c r="X18" s="187">
        <f t="shared" si="1"/>
        <v>5191.4961992895787</v>
      </c>
      <c r="Y18" s="14">
        <f t="shared" si="1"/>
        <v>5488.907960726453</v>
      </c>
      <c r="Z18" s="14">
        <f t="shared" si="1"/>
        <v>5662.0760565223436</v>
      </c>
      <c r="AA18" s="14">
        <f t="shared" si="1"/>
        <v>5781.6310894945973</v>
      </c>
      <c r="AB18" s="14">
        <f t="shared" si="1"/>
        <v>5913.9350632932437</v>
      </c>
      <c r="AC18" s="14">
        <f t="shared" si="1"/>
        <v>6021.0468874096878</v>
      </c>
      <c r="AD18" s="14">
        <f t="shared" si="1"/>
        <v>6114.6849096265269</v>
      </c>
      <c r="AE18" s="14">
        <f t="shared" si="1"/>
        <v>6235.6481714351066</v>
      </c>
      <c r="AF18" s="14">
        <f t="shared" si="1"/>
        <v>6354.5715621731269</v>
      </c>
      <c r="AG18" s="14">
        <f t="shared" si="1"/>
        <v>6448.4013722416903</v>
      </c>
      <c r="AH18" s="14">
        <f t="shared" si="1"/>
        <v>6555.1710550006082</v>
      </c>
    </row>
    <row r="19" spans="1:34">
      <c r="A19" s="10" t="s">
        <v>112</v>
      </c>
      <c r="B19" s="37"/>
      <c r="C19" s="332">
        <f t="shared" ref="C19:AH19" si="2">C18/C4</f>
        <v>1.2765149634533167E-2</v>
      </c>
      <c r="D19" s="332">
        <f t="shared" si="2"/>
        <v>1.3455429572271384E-2</v>
      </c>
      <c r="E19" s="332">
        <f t="shared" si="2"/>
        <v>1.6078071070711342E-2</v>
      </c>
      <c r="F19" s="332">
        <f t="shared" si="2"/>
        <v>1.8592570414619487E-2</v>
      </c>
      <c r="G19" s="332">
        <f t="shared" si="2"/>
        <v>2.2336317027264855E-2</v>
      </c>
      <c r="H19" s="23">
        <f t="shared" si="2"/>
        <v>2.3991946434966563E-2</v>
      </c>
      <c r="I19" s="23">
        <f t="shared" si="2"/>
        <v>2.6108645292263515E-2</v>
      </c>
      <c r="J19" s="23">
        <f t="shared" si="2"/>
        <v>3.0221540477742989E-2</v>
      </c>
      <c r="K19" s="23">
        <f t="shared" si="2"/>
        <v>3.944994828617044E-2</v>
      </c>
      <c r="L19" s="23">
        <f t="shared" si="2"/>
        <v>5.3776281307426038E-2</v>
      </c>
      <c r="M19" s="23">
        <f t="shared" si="2"/>
        <v>5.7555426884065237E-2</v>
      </c>
      <c r="N19" s="183">
        <f t="shared" si="2"/>
        <v>6.2297533266886862E-2</v>
      </c>
      <c r="O19" s="23">
        <f t="shared" si="2"/>
        <v>6.3457631227892011E-2</v>
      </c>
      <c r="P19" s="23">
        <f t="shared" si="2"/>
        <v>6.5422636213062463E-2</v>
      </c>
      <c r="Q19" s="23">
        <f t="shared" si="2"/>
        <v>7.3677787617121945E-2</v>
      </c>
      <c r="R19" s="23">
        <f t="shared" si="2"/>
        <v>7.5822123509103542E-2</v>
      </c>
      <c r="S19" s="23">
        <f t="shared" si="2"/>
        <v>8.1290915786214141E-2</v>
      </c>
      <c r="T19" s="23">
        <f t="shared" si="2"/>
        <v>8.3385866697761393E-2</v>
      </c>
      <c r="U19" s="23">
        <f t="shared" si="2"/>
        <v>8.504513520904057E-2</v>
      </c>
      <c r="V19" s="23">
        <f t="shared" si="2"/>
        <v>8.7713822308192149E-2</v>
      </c>
      <c r="W19" s="23">
        <f t="shared" si="2"/>
        <v>9.0026932207847715E-2</v>
      </c>
      <c r="X19" s="185">
        <f t="shared" si="2"/>
        <v>9.7069153380981155E-2</v>
      </c>
      <c r="Y19" s="172">
        <f t="shared" si="2"/>
        <v>0.10165537451137327</v>
      </c>
      <c r="Z19" s="172">
        <f t="shared" si="2"/>
        <v>0.10410704924001792</v>
      </c>
      <c r="AA19" s="172">
        <f t="shared" si="2"/>
        <v>0.10561430143515009</v>
      </c>
      <c r="AB19" s="172">
        <f t="shared" si="2"/>
        <v>0.10735319954800285</v>
      </c>
      <c r="AC19" s="172">
        <f t="shared" si="2"/>
        <v>0.10880847382810059</v>
      </c>
      <c r="AD19" s="172">
        <f t="shared" si="2"/>
        <v>0.11002271739243846</v>
      </c>
      <c r="AE19" s="172">
        <f t="shared" si="2"/>
        <v>0.11183693704713266</v>
      </c>
      <c r="AF19" s="172">
        <f t="shared" si="2"/>
        <v>0.11371779244183776</v>
      </c>
      <c r="AG19" s="172">
        <f t="shared" si="2"/>
        <v>0.11541053047675011</v>
      </c>
      <c r="AH19" s="172">
        <f t="shared" si="2"/>
        <v>0.11719218961487241</v>
      </c>
    </row>
    <row r="20" spans="1:34">
      <c r="A20" s="10" t="s">
        <v>142</v>
      </c>
      <c r="B20" s="37"/>
      <c r="C20" s="331">
        <f>EIA_electricity_aeo2014!E49*1000</f>
        <v>24162</v>
      </c>
      <c r="D20" s="331">
        <f>EIA_electricity_aeo2014!F49*1000</f>
        <v>23668</v>
      </c>
      <c r="E20" s="331">
        <f>EIA_electricity_aeo2014!G49*1000</f>
        <v>25928.327098667742</v>
      </c>
      <c r="F20" s="331">
        <f>EIA_electricity_aeo2014!H49*1000</f>
        <v>21935.337135576945</v>
      </c>
      <c r="G20" s="331">
        <f>EIA_electricity_aeo2014!I49*1000</f>
        <v>25260.717272456011</v>
      </c>
      <c r="H20" s="14">
        <f>EIA_electricity_aeo2014!J49*1000</f>
        <v>25246.067872928645</v>
      </c>
      <c r="I20" s="14">
        <f>EIA_electricity_aeo2014!K49*1000</f>
        <v>24680.196947813612</v>
      </c>
      <c r="J20" s="14">
        <f>EIA_electricity_aeo2014!L49*1000</f>
        <v>24449.492752677917</v>
      </c>
      <c r="K20" s="14">
        <f>EIA_electricity_aeo2014!M49*1000</f>
        <v>24853.028328641201</v>
      </c>
      <c r="L20" s="14">
        <f>EIA_electricity_aeo2014!N49*1000</f>
        <v>25150.325410556601</v>
      </c>
      <c r="M20" s="14">
        <f>EIA_electricity_aeo2014!O49*1000</f>
        <v>25370.967633179433</v>
      </c>
      <c r="N20" s="190">
        <f>EIA_electricity_aeo2014!P49*1000</f>
        <v>25479.600924908002</v>
      </c>
      <c r="O20" s="14">
        <f>EIA_electricity_aeo2014!Q49*1000</f>
        <v>25664.973076627266</v>
      </c>
      <c r="P20" s="14">
        <f>EIA_electricity_aeo2014!R49*1000</f>
        <v>25752.269302136865</v>
      </c>
      <c r="Q20" s="14">
        <f>EIA_electricity_aeo2014!S49*1000</f>
        <v>25736.461059645142</v>
      </c>
      <c r="R20" s="14">
        <f>EIA_electricity_aeo2014!T49*1000</f>
        <v>25848.454768190662</v>
      </c>
      <c r="S20" s="14">
        <f>EIA_electricity_aeo2014!U49*1000</f>
        <v>25902.433161243767</v>
      </c>
      <c r="T20" s="14">
        <f>EIA_electricity_aeo2014!V49*1000</f>
        <v>25893.393086112672</v>
      </c>
      <c r="U20" s="14">
        <f>EIA_electricity_aeo2014!W49*1000</f>
        <v>25909.779444520169</v>
      </c>
      <c r="V20" s="14">
        <f>EIA_electricity_aeo2014!X49*1000</f>
        <v>25903.784394695947</v>
      </c>
      <c r="W20" s="14">
        <f>EIA_electricity_aeo2014!Y49*1000</f>
        <v>25894.82020908445</v>
      </c>
      <c r="X20" s="187">
        <f>EIA_electricity_aeo2014!Z49*1000</f>
        <v>25777.138397710154</v>
      </c>
      <c r="Y20" s="14">
        <f>EIA_electricity_aeo2014!AA49*1000</f>
        <v>25692.932086769386</v>
      </c>
      <c r="Z20" s="14">
        <f>EIA_electricity_aeo2014!AB49*1000</f>
        <v>25648.663385523607</v>
      </c>
      <c r="AA20" s="14">
        <f>EIA_electricity_aeo2014!AC49*1000</f>
        <v>25625.888140685427</v>
      </c>
      <c r="AB20" s="14">
        <f>EIA_electricity_aeo2014!AD49*1000</f>
        <v>25613.140201405331</v>
      </c>
      <c r="AC20" s="14">
        <f>EIA_electricity_aeo2014!AE49*1000</f>
        <v>25596.72245384807</v>
      </c>
      <c r="AD20" s="14">
        <f>EIA_electricity_aeo2014!AF49*1000</f>
        <v>25583.827846682372</v>
      </c>
      <c r="AE20" s="14">
        <f>EIA_electricity_aeo2014!AG49*1000</f>
        <v>25558.578970174989</v>
      </c>
      <c r="AF20" s="14">
        <f>EIA_electricity_aeo2014!AH49*1000</f>
        <v>25534.931495865578</v>
      </c>
      <c r="AG20" s="14">
        <f>EIA_electricity_aeo2014!AI49*1000</f>
        <v>25519.685258044614</v>
      </c>
      <c r="AH20" s="14">
        <f>EIA_electricity_aeo2014!AJ49*1000</f>
        <v>25502.595282678318</v>
      </c>
    </row>
    <row r="21" spans="1:34">
      <c r="A21" s="10" t="s">
        <v>222</v>
      </c>
      <c r="B21" s="37"/>
      <c r="C21" s="331">
        <f>EIA_electricity_aeo2014!E51*1000</f>
        <v>1768</v>
      </c>
      <c r="D21" s="331">
        <f>EIA_electricity_aeo2014!F51*1000</f>
        <v>2897</v>
      </c>
      <c r="E21" s="331">
        <f>EIA_electricity_aeo2014!G51*1000</f>
        <v>3828.4164755227748</v>
      </c>
      <c r="F21" s="331">
        <f>EIA_electricity_aeo2014!H51*1000</f>
        <v>5451.9862689181937</v>
      </c>
      <c r="G21" s="331">
        <f>EIA_electricity_aeo2014!I51*1000</f>
        <v>4428.1252966835773</v>
      </c>
      <c r="H21" s="14">
        <f>EIA_electricity_aeo2014!J51*1000</f>
        <v>4257.6010412601308</v>
      </c>
      <c r="I21" s="14">
        <f>EIA_electricity_aeo2014!K51*1000</f>
        <v>4707.7754781401818</v>
      </c>
      <c r="J21" s="14">
        <f>EIA_electricity_aeo2014!L51*1000</f>
        <v>5403.8802037412006</v>
      </c>
      <c r="K21" s="14">
        <f>EIA_electricity_aeo2014!M51*1000</f>
        <v>5553.4343616768147</v>
      </c>
      <c r="L21" s="14">
        <f>EIA_electricity_aeo2014!N51*1000</f>
        <v>5687.1168659748992</v>
      </c>
      <c r="M21" s="14">
        <f>EIA_electricity_aeo2014!O51*1000</f>
        <v>5776.5393394689827</v>
      </c>
      <c r="N21" s="190">
        <f>EIA_electricity_aeo2014!P51*1000</f>
        <v>5825.3701266473226</v>
      </c>
      <c r="O21" s="14">
        <f>EIA_electricity_aeo2014!Q51*1000</f>
        <v>5714.9746695698277</v>
      </c>
      <c r="P21" s="14">
        <f>EIA_electricity_aeo2014!R51*1000</f>
        <v>5794.7206105964424</v>
      </c>
      <c r="Q21" s="14">
        <f>EIA_electricity_aeo2014!S51*1000</f>
        <v>6024.9973019014651</v>
      </c>
      <c r="R21" s="14">
        <f>EIA_electricity_aeo2014!T51*1000</f>
        <v>5997.2008083370038</v>
      </c>
      <c r="S21" s="14">
        <f>EIA_electricity_aeo2014!U51*1000</f>
        <v>6000.0034801559077</v>
      </c>
      <c r="T21" s="14">
        <f>EIA_electricity_aeo2014!V51*1000</f>
        <v>6330.6703151823904</v>
      </c>
      <c r="U21" s="14">
        <f>EIA_electricity_aeo2014!W51*1000</f>
        <v>6442.5771893150068</v>
      </c>
      <c r="V21" s="14">
        <f>EIA_electricity_aeo2014!X51*1000</f>
        <v>6402.2635042061092</v>
      </c>
      <c r="W21" s="14">
        <f>EIA_electricity_aeo2014!Y51*1000</f>
        <v>6488.8849829368282</v>
      </c>
      <c r="X21" s="187">
        <f>EIA_electricity_aeo2014!Z51*1000</f>
        <v>6433.1007724749688</v>
      </c>
      <c r="Y21" s="14">
        <f>EIA_electricity_aeo2014!AA51*1000</f>
        <v>6799.3062084690791</v>
      </c>
      <c r="Z21" s="14">
        <f>EIA_electricity_aeo2014!AB51*1000</f>
        <v>7130.8701512059815</v>
      </c>
      <c r="AA21" s="14">
        <f>EIA_electricity_aeo2014!AC51*1000</f>
        <v>7497.4448514293863</v>
      </c>
      <c r="AB21" s="14">
        <f>EIA_electricity_aeo2014!AD51*1000</f>
        <v>7777.2771299166816</v>
      </c>
      <c r="AC21" s="14">
        <f>EIA_electricity_aeo2014!AE51*1000</f>
        <v>7991.5959357283446</v>
      </c>
      <c r="AD21" s="14">
        <f>EIA_electricity_aeo2014!AF51*1000</f>
        <v>8237.6309039160878</v>
      </c>
      <c r="AE21" s="14">
        <f>EIA_electricity_aeo2014!AG51*1000</f>
        <v>8425.9551538398719</v>
      </c>
      <c r="AF21" s="14">
        <f>EIA_electricity_aeo2014!AH51*1000</f>
        <v>8556.3398259203259</v>
      </c>
      <c r="AG21" s="14">
        <f>EIA_electricity_aeo2014!AI51*1000</f>
        <v>8566.8605023441596</v>
      </c>
      <c r="AH21" s="14">
        <f>EIA_electricity_aeo2014!AJ51*1000</f>
        <v>8638.3391835756083</v>
      </c>
    </row>
    <row r="22" spans="1:34">
      <c r="A22" s="10" t="s">
        <v>350</v>
      </c>
      <c r="B22" s="37"/>
      <c r="C22" s="330">
        <f>SUM(C17,C20:C21)</f>
        <v>42924.350600000005</v>
      </c>
      <c r="D22" s="330">
        <f t="shared" ref="D22:AH22" si="3">SUM(D17,D20:D21)</f>
        <v>42809.847999999998</v>
      </c>
      <c r="E22" s="330">
        <f t="shared" si="3"/>
        <v>48269.133673907527</v>
      </c>
      <c r="F22" s="330">
        <f t="shared" si="3"/>
        <v>45567.134698202775</v>
      </c>
      <c r="G22" s="330">
        <f t="shared" si="3"/>
        <v>48142.953090493509</v>
      </c>
      <c r="H22" s="79">
        <f t="shared" si="3"/>
        <v>48258.650067941198</v>
      </c>
      <c r="I22" s="79">
        <f t="shared" si="3"/>
        <v>48862.420763646798</v>
      </c>
      <c r="J22" s="79">
        <f t="shared" si="3"/>
        <v>49759.21657656652</v>
      </c>
      <c r="K22" s="79">
        <f t="shared" si="3"/>
        <v>50890.482870256135</v>
      </c>
      <c r="L22" s="79">
        <f t="shared" si="3"/>
        <v>51591.970248348051</v>
      </c>
      <c r="M22" s="79">
        <f t="shared" si="3"/>
        <v>51599.684500174211</v>
      </c>
      <c r="N22" s="388">
        <f t="shared" si="3"/>
        <v>51708.060170669851</v>
      </c>
      <c r="O22" s="79">
        <f t="shared" si="3"/>
        <v>51896.225374098562</v>
      </c>
      <c r="P22" s="79">
        <f t="shared" si="3"/>
        <v>52182.585329806716</v>
      </c>
      <c r="Q22" s="79">
        <f t="shared" si="3"/>
        <v>53024.036657908437</v>
      </c>
      <c r="R22" s="79">
        <f t="shared" si="3"/>
        <v>53228.834621752772</v>
      </c>
      <c r="S22" s="79">
        <f t="shared" si="3"/>
        <v>53594.150539765367</v>
      </c>
      <c r="T22" s="79">
        <f t="shared" si="3"/>
        <v>54056.251965602532</v>
      </c>
      <c r="U22" s="79">
        <f t="shared" si="3"/>
        <v>54283.792491934029</v>
      </c>
      <c r="V22" s="79">
        <f t="shared" si="3"/>
        <v>54405.556225779343</v>
      </c>
      <c r="W22" s="79">
        <f t="shared" si="3"/>
        <v>54616.77847886426</v>
      </c>
      <c r="X22" s="184">
        <f t="shared" si="3"/>
        <v>54847.505105222546</v>
      </c>
      <c r="Y22" s="174">
        <f t="shared" si="3"/>
        <v>55472.338741377636</v>
      </c>
      <c r="Z22" s="174">
        <f t="shared" si="3"/>
        <v>55972.492997464389</v>
      </c>
      <c r="AA22" s="174">
        <f t="shared" si="3"/>
        <v>56435.847065821858</v>
      </c>
      <c r="AB22" s="174">
        <f t="shared" si="3"/>
        <v>56889.467021511024</v>
      </c>
      <c r="AC22" s="174">
        <f t="shared" si="3"/>
        <v>57242.677058347224</v>
      </c>
      <c r="AD22" s="174">
        <f t="shared" si="3"/>
        <v>57589.15670657171</v>
      </c>
      <c r="AE22" s="174">
        <f t="shared" si="3"/>
        <v>57873.195341796694</v>
      </c>
      <c r="AF22" s="174">
        <f t="shared" si="3"/>
        <v>58098.855930305755</v>
      </c>
      <c r="AG22" s="174">
        <f t="shared" si="3"/>
        <v>58187.960178977199</v>
      </c>
      <c r="AH22" s="174">
        <f t="shared" si="3"/>
        <v>58349.118987601265</v>
      </c>
    </row>
    <row r="23" spans="1:34">
      <c r="A23" s="10" t="s">
        <v>328</v>
      </c>
      <c r="B23" s="37"/>
      <c r="C23" s="330">
        <f>EIA_electricity_aeo2014!E50*1000+EIA_electricity_aeo2014!E55*1000</f>
        <v>586</v>
      </c>
      <c r="D23" s="330">
        <f>EIA_electricity_aeo2014!F50*1000+EIA_electricity_aeo2014!F55*1000</f>
        <v>592</v>
      </c>
      <c r="E23" s="330">
        <f>EIA_electricity_aeo2014!G50*1000+EIA_electricity_aeo2014!G55*1000</f>
        <v>674.25614749899182</v>
      </c>
      <c r="F23" s="330">
        <f>EIA_electricity_aeo2014!H50*1000+EIA_electricity_aeo2014!H55*1000</f>
        <v>551.49709892928081</v>
      </c>
      <c r="G23" s="330">
        <f>EIA_electricity_aeo2014!I50*1000+EIA_electricity_aeo2014!I55*1000</f>
        <v>442.31028334943215</v>
      </c>
      <c r="H23" s="330">
        <f>EIA_electricity_aeo2014!J50*1000+EIA_electricity_aeo2014!J55*1000</f>
        <v>442.4765119866031</v>
      </c>
      <c r="I23" s="330">
        <f>EIA_electricity_aeo2014!K50*1000+EIA_electricity_aeo2014!K55*1000</f>
        <v>439.22741910307934</v>
      </c>
      <c r="J23" s="330">
        <f>EIA_electricity_aeo2014!L50*1000+EIA_electricity_aeo2014!L55*1000</f>
        <v>430.79824970682762</v>
      </c>
      <c r="K23" s="330">
        <f>EIA_electricity_aeo2014!M50*1000+EIA_electricity_aeo2014!M55*1000</f>
        <v>436.5046218637487</v>
      </c>
      <c r="L23" s="330">
        <f>EIA_electricity_aeo2014!N50*1000+EIA_electricity_aeo2014!N55*1000</f>
        <v>442.01172912997436</v>
      </c>
      <c r="M23" s="330">
        <f>EIA_electricity_aeo2014!O50*1000+EIA_electricity_aeo2014!O55*1000</f>
        <v>445.30986652470733</v>
      </c>
      <c r="N23" s="330">
        <f>EIA_electricity_aeo2014!P50*1000+EIA_electricity_aeo2014!P55*1000</f>
        <v>446.78450818879372</v>
      </c>
      <c r="O23" s="330">
        <f>EIA_electricity_aeo2014!Q50*1000+EIA_electricity_aeo2014!Q55*1000</f>
        <v>449.27878715068272</v>
      </c>
      <c r="P23" s="330">
        <f>EIA_electricity_aeo2014!R50*1000+EIA_electricity_aeo2014!R55*1000</f>
        <v>450.97564355252422</v>
      </c>
      <c r="Q23" s="330">
        <f>EIA_electricity_aeo2014!S50*1000+EIA_electricity_aeo2014!S55*1000</f>
        <v>451.46733597735749</v>
      </c>
      <c r="R23" s="330">
        <f>EIA_electricity_aeo2014!T50*1000+EIA_electricity_aeo2014!T55*1000</f>
        <v>449.96223677732513</v>
      </c>
      <c r="S23" s="330">
        <f>EIA_electricity_aeo2014!U50*1000+EIA_electricity_aeo2014!U55*1000</f>
        <v>449.11217847155052</v>
      </c>
      <c r="T23" s="330">
        <f>EIA_electricity_aeo2014!V50*1000+EIA_electricity_aeo2014!V55*1000</f>
        <v>447.89067615787371</v>
      </c>
      <c r="U23" s="330">
        <f>EIA_electricity_aeo2014!W50*1000+EIA_electricity_aeo2014!W55*1000</f>
        <v>447.10975622318404</v>
      </c>
      <c r="V23" s="330">
        <f>EIA_electricity_aeo2014!X50*1000+EIA_electricity_aeo2014!X55*1000</f>
        <v>446.41559731030736</v>
      </c>
      <c r="W23" s="330">
        <f>EIA_electricity_aeo2014!Y50*1000+EIA_electricity_aeo2014!Y55*1000</f>
        <v>446.52890202290598</v>
      </c>
      <c r="X23" s="330">
        <f>EIA_electricity_aeo2014!Z50*1000+EIA_electricity_aeo2014!Z55*1000</f>
        <v>447.88685128873146</v>
      </c>
      <c r="Y23" s="330">
        <f>EIA_electricity_aeo2014!AA50*1000+EIA_electricity_aeo2014!AA55*1000</f>
        <v>446.24817759577462</v>
      </c>
      <c r="Z23" s="330">
        <f>EIA_electricity_aeo2014!AB50*1000+EIA_electricity_aeo2014!AB55*1000</f>
        <v>445.53303132717394</v>
      </c>
      <c r="AA23" s="330">
        <f>EIA_electricity_aeo2014!AC50*1000+EIA_electricity_aeo2014!AC55*1000</f>
        <v>445.58412918051363</v>
      </c>
      <c r="AB23" s="330">
        <f>EIA_electricity_aeo2014!AD50*1000+EIA_electricity_aeo2014!AD55*1000</f>
        <v>446.05593138464201</v>
      </c>
      <c r="AC23" s="330">
        <f>EIA_electricity_aeo2014!AE50*1000+EIA_electricity_aeo2014!AE55*1000</f>
        <v>445.87922707204109</v>
      </c>
      <c r="AD23" s="330">
        <f>EIA_electricity_aeo2014!AF50*1000+EIA_electricity_aeo2014!AF55*1000</f>
        <v>445.72065035460696</v>
      </c>
      <c r="AE23" s="330">
        <f>EIA_electricity_aeo2014!AG50*1000+EIA_electricity_aeo2014!AG55*1000</f>
        <v>445.7267612239134</v>
      </c>
      <c r="AF23" s="330">
        <f>EIA_electricity_aeo2014!AH50*1000+EIA_electricity_aeo2014!AH55*1000</f>
        <v>445.57919482703596</v>
      </c>
      <c r="AG23" s="330">
        <f>EIA_electricity_aeo2014!AI50*1000+EIA_electricity_aeo2014!AI55*1000</f>
        <v>445.81162925713613</v>
      </c>
      <c r="AH23" s="330">
        <f>EIA_electricity_aeo2014!AJ50*1000+EIA_electricity_aeo2014!AJ55*1000</f>
        <v>445.67061183505098</v>
      </c>
    </row>
    <row r="24" spans="1:34">
      <c r="A24" s="10" t="s">
        <v>345</v>
      </c>
      <c r="B24" s="37"/>
      <c r="C24" s="330">
        <f>SUM(C22:C23)</f>
        <v>43510.350600000005</v>
      </c>
      <c r="D24" s="330">
        <f t="shared" ref="D24:AH24" si="4">SUM(D22:D23)</f>
        <v>43401.847999999998</v>
      </c>
      <c r="E24" s="330">
        <f t="shared" si="4"/>
        <v>48943.389821406519</v>
      </c>
      <c r="F24" s="330">
        <f t="shared" si="4"/>
        <v>46118.631797132053</v>
      </c>
      <c r="G24" s="330">
        <f t="shared" si="4"/>
        <v>48585.263373842943</v>
      </c>
      <c r="H24" s="83">
        <f t="shared" si="4"/>
        <v>48701.126579927804</v>
      </c>
      <c r="I24" s="83">
        <f t="shared" si="4"/>
        <v>49301.648182749879</v>
      </c>
      <c r="J24" s="83">
        <f t="shared" si="4"/>
        <v>50190.014826273349</v>
      </c>
      <c r="K24" s="83">
        <f t="shared" si="4"/>
        <v>51326.987492119886</v>
      </c>
      <c r="L24" s="83">
        <f t="shared" si="4"/>
        <v>52033.981977478026</v>
      </c>
      <c r="M24" s="83">
        <f t="shared" si="4"/>
        <v>52044.99436669892</v>
      </c>
      <c r="N24" s="388">
        <f t="shared" si="4"/>
        <v>52154.844678858644</v>
      </c>
      <c r="O24" s="83">
        <f t="shared" si="4"/>
        <v>52345.504161249242</v>
      </c>
      <c r="P24" s="83">
        <f t="shared" si="4"/>
        <v>52633.560973359243</v>
      </c>
      <c r="Q24" s="83">
        <f t="shared" si="4"/>
        <v>53475.503993885795</v>
      </c>
      <c r="R24" s="83">
        <f t="shared" si="4"/>
        <v>53678.796858530099</v>
      </c>
      <c r="S24" s="83">
        <f t="shared" si="4"/>
        <v>54043.262718236918</v>
      </c>
      <c r="T24" s="83">
        <f t="shared" si="4"/>
        <v>54504.142641760409</v>
      </c>
      <c r="U24" s="83">
        <f t="shared" si="4"/>
        <v>54730.90224815721</v>
      </c>
      <c r="V24" s="83">
        <f t="shared" si="4"/>
        <v>54851.971823089647</v>
      </c>
      <c r="W24" s="83">
        <f t="shared" si="4"/>
        <v>55063.307380887163</v>
      </c>
      <c r="X24" s="184">
        <f t="shared" si="4"/>
        <v>55295.391956511281</v>
      </c>
      <c r="Y24" s="174">
        <f t="shared" si="4"/>
        <v>55918.586918973408</v>
      </c>
      <c r="Z24" s="174">
        <f t="shared" si="4"/>
        <v>56418.026028791566</v>
      </c>
      <c r="AA24" s="174">
        <f t="shared" si="4"/>
        <v>56881.431195002369</v>
      </c>
      <c r="AB24" s="174">
        <f t="shared" si="4"/>
        <v>57335.522952895662</v>
      </c>
      <c r="AC24" s="174">
        <f t="shared" si="4"/>
        <v>57688.556285419269</v>
      </c>
      <c r="AD24" s="174">
        <f t="shared" si="4"/>
        <v>58034.877356926314</v>
      </c>
      <c r="AE24" s="174">
        <f t="shared" si="4"/>
        <v>58318.92210302061</v>
      </c>
      <c r="AF24" s="174">
        <f t="shared" si="4"/>
        <v>58544.43512513279</v>
      </c>
      <c r="AG24" s="174">
        <f t="shared" si="4"/>
        <v>58633.771808234334</v>
      </c>
      <c r="AH24" s="174">
        <f t="shared" si="4"/>
        <v>58794.789599436313</v>
      </c>
    </row>
    <row r="25" spans="1:34">
      <c r="A25" s="10" t="s">
        <v>346</v>
      </c>
      <c r="B25" s="37"/>
      <c r="C25" s="332">
        <f t="shared" ref="C25:AH25" si="5">C24/C4-1</f>
        <v>1.0000000000021103E-4</v>
      </c>
      <c r="D25" s="332">
        <f t="shared" si="5"/>
        <v>2.2695427728613993E-4</v>
      </c>
      <c r="E25" s="332">
        <f t="shared" si="5"/>
        <v>5.0040883985058571E-4</v>
      </c>
      <c r="F25" s="332">
        <f t="shared" si="5"/>
        <v>1.0004340980616089E-3</v>
      </c>
      <c r="G25" s="332">
        <f t="shared" si="5"/>
        <v>2.5004126767429469E-3</v>
      </c>
      <c r="H25" s="82">
        <f t="shared" si="5"/>
        <v>3.5004121056256832E-3</v>
      </c>
      <c r="I25" s="82">
        <f t="shared" si="5"/>
        <v>5.0004076944465403E-3</v>
      </c>
      <c r="J25" s="82">
        <f t="shared" si="5"/>
        <v>7.0004012751958555E-3</v>
      </c>
      <c r="K25" s="82">
        <f t="shared" si="5"/>
        <v>9.5003933604689283E-3</v>
      </c>
      <c r="L25" s="82">
        <f t="shared" si="5"/>
        <v>1.400038974545148E-2</v>
      </c>
      <c r="M25" s="82">
        <f t="shared" si="5"/>
        <v>1.7500391007974292E-2</v>
      </c>
      <c r="N25" s="199">
        <f t="shared" si="5"/>
        <v>2.0000391143103924E-2</v>
      </c>
      <c r="O25" s="82">
        <f t="shared" si="5"/>
        <v>2.0000389718431766E-2</v>
      </c>
      <c r="P25" s="82">
        <f t="shared" si="5"/>
        <v>2.0000387585551449E-2</v>
      </c>
      <c r="Q25" s="82">
        <f t="shared" si="5"/>
        <v>2.1840382171389283E-2</v>
      </c>
      <c r="R25" s="82">
        <f t="shared" si="5"/>
        <v>2.3562881365805977E-2</v>
      </c>
      <c r="S25" s="82">
        <f t="shared" si="5"/>
        <v>2.5285379431340127E-2</v>
      </c>
      <c r="T25" s="82">
        <f t="shared" si="5"/>
        <v>2.7007876854979296E-2</v>
      </c>
      <c r="U25" s="82">
        <f t="shared" si="5"/>
        <v>2.8730375923046614E-2</v>
      </c>
      <c r="V25" s="82">
        <f t="shared" si="5"/>
        <v>3.0452875721360906E-2</v>
      </c>
      <c r="W25" s="82">
        <f t="shared" si="5"/>
        <v>3.2175374904968024E-2</v>
      </c>
      <c r="X25" s="185">
        <f t="shared" si="5"/>
        <v>3.3897873954442659E-2</v>
      </c>
      <c r="Y25" s="172">
        <f t="shared" si="5"/>
        <v>3.5620370402911661E-2</v>
      </c>
      <c r="Z25" s="172">
        <f t="shared" si="5"/>
        <v>3.7342867734549312E-2</v>
      </c>
      <c r="AA25" s="172">
        <f t="shared" si="5"/>
        <v>3.9065365344310932E-2</v>
      </c>
      <c r="AB25" s="172">
        <f t="shared" si="5"/>
        <v>4.0787863051667816E-2</v>
      </c>
      <c r="AC25" s="172">
        <f t="shared" si="5"/>
        <v>4.2510361427093635E-2</v>
      </c>
      <c r="AD25" s="172">
        <f t="shared" si="5"/>
        <v>4.4232859863898133E-2</v>
      </c>
      <c r="AE25" s="172">
        <f t="shared" si="5"/>
        <v>4.5955358701883275E-2</v>
      </c>
      <c r="AF25" s="172">
        <f t="shared" si="5"/>
        <v>4.7677857908606125E-2</v>
      </c>
      <c r="AG25" s="172">
        <f t="shared" si="5"/>
        <v>4.9400357950827978E-2</v>
      </c>
      <c r="AH25" s="172">
        <f t="shared" si="5"/>
        <v>5.1122857556465284E-2</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0.3151105786042438</v>
      </c>
      <c r="D28" s="332">
        <f t="shared" si="6"/>
        <v>0.28260296167903842</v>
      </c>
      <c r="E28" s="332">
        <f t="shared" si="6"/>
        <v>0.26956865732846863</v>
      </c>
      <c r="F28" s="332">
        <f t="shared" si="6"/>
        <v>0.23836419989495877</v>
      </c>
      <c r="G28" s="332">
        <f t="shared" si="6"/>
        <v>0.2052228065914713</v>
      </c>
      <c r="H28" s="164">
        <f t="shared" si="6"/>
        <v>0.21668452859148937</v>
      </c>
      <c r="I28" s="164">
        <f t="shared" si="6"/>
        <v>0.23262762082951324</v>
      </c>
      <c r="J28" s="164">
        <f t="shared" si="6"/>
        <v>0.27868457316792117</v>
      </c>
      <c r="K28" s="164">
        <f t="shared" si="6"/>
        <v>0.39143527581954124</v>
      </c>
      <c r="L28" s="164">
        <f t="shared" ref="L28:L34" si="7">L10/L$18</f>
        <v>0.47236360501337926</v>
      </c>
      <c r="M28" s="164">
        <f t="shared" ref="M28:AH28" si="8">M10/M$18</f>
        <v>0.44540090022897449</v>
      </c>
      <c r="N28" s="185">
        <f t="shared" si="8"/>
        <v>0.44743768508883874</v>
      </c>
      <c r="O28" s="164">
        <f t="shared" si="8"/>
        <v>0.45838454399231476</v>
      </c>
      <c r="P28" s="164">
        <f t="shared" si="8"/>
        <v>0.4758694575194895</v>
      </c>
      <c r="Q28" s="164">
        <f t="shared" si="8"/>
        <v>0.51234573703214104</v>
      </c>
      <c r="R28" s="164">
        <f t="shared" si="8"/>
        <v>0.50175628785007464</v>
      </c>
      <c r="S28" s="164">
        <f t="shared" si="8"/>
        <v>0.51498090816463271</v>
      </c>
      <c r="T28" s="164">
        <f t="shared" si="8"/>
        <v>0.50767170542970885</v>
      </c>
      <c r="U28" s="164">
        <f t="shared" si="8"/>
        <v>0.49744285710672825</v>
      </c>
      <c r="V28" s="164">
        <f t="shared" si="8"/>
        <v>0.493192581999155</v>
      </c>
      <c r="W28" s="164">
        <f t="shared" si="8"/>
        <v>0.48744243653296254</v>
      </c>
      <c r="X28" s="185">
        <f t="shared" si="8"/>
        <v>0.5072730031344852</v>
      </c>
      <c r="Y28" s="172">
        <f t="shared" si="8"/>
        <v>0.51388166737655516</v>
      </c>
      <c r="Z28" s="172">
        <f t="shared" si="8"/>
        <v>0.50976079748555181</v>
      </c>
      <c r="AA28" s="172">
        <f t="shared" si="8"/>
        <v>0.50131272479171818</v>
      </c>
      <c r="AB28" s="172">
        <f t="shared" si="8"/>
        <v>0.49143948786823016</v>
      </c>
      <c r="AC28" s="172">
        <f t="shared" si="8"/>
        <v>0.48299013277731645</v>
      </c>
      <c r="AD28" s="172">
        <f t="shared" si="8"/>
        <v>0.47359333501964318</v>
      </c>
      <c r="AE28" s="172">
        <f t="shared" si="8"/>
        <v>0.46713889132136177</v>
      </c>
      <c r="AF28" s="172">
        <f t="shared" si="8"/>
        <v>0.46108225721234797</v>
      </c>
      <c r="AG28" s="172">
        <f t="shared" si="8"/>
        <v>0.45405878884254486</v>
      </c>
      <c r="AH28" s="172">
        <f t="shared" si="8"/>
        <v>0.44779777734014642</v>
      </c>
    </row>
    <row r="29" spans="1:34">
      <c r="A29" s="9" t="s">
        <v>50</v>
      </c>
      <c r="B29" s="37"/>
      <c r="C29" s="332">
        <f t="shared" ref="C29:K29" si="9">C11/C$18</f>
        <v>0</v>
      </c>
      <c r="D29" s="332">
        <f t="shared" si="9"/>
        <v>0</v>
      </c>
      <c r="E29" s="332">
        <f t="shared" si="9"/>
        <v>1.2714207092585853E-11</v>
      </c>
      <c r="F29" s="332">
        <f t="shared" si="9"/>
        <v>1.167396578979369E-11</v>
      </c>
      <c r="G29" s="332">
        <f t="shared" si="9"/>
        <v>9.237797409316054E-12</v>
      </c>
      <c r="H29" s="164">
        <f t="shared" si="9"/>
        <v>8.5884158425685863E-12</v>
      </c>
      <c r="I29" s="164">
        <f t="shared" si="9"/>
        <v>7.8076522481746404E-12</v>
      </c>
      <c r="J29" s="164">
        <f t="shared" si="9"/>
        <v>6.6388938061137512E-12</v>
      </c>
      <c r="K29" s="164">
        <f t="shared" si="9"/>
        <v>4.9855638092122145E-12</v>
      </c>
      <c r="L29" s="164">
        <f t="shared" si="7"/>
        <v>3.6237672254643133E-12</v>
      </c>
      <c r="M29" s="164">
        <f t="shared" ref="M29:AH29" si="10">M11/M$18</f>
        <v>3.3967950154808679E-12</v>
      </c>
      <c r="N29" s="185">
        <f t="shared" si="10"/>
        <v>3.1393145380744936E-12</v>
      </c>
      <c r="O29" s="164">
        <f t="shared" si="10"/>
        <v>3.0706979150937171E-12</v>
      </c>
      <c r="P29" s="164">
        <f t="shared" si="10"/>
        <v>2.9621670252797688E-12</v>
      </c>
      <c r="Q29" s="164">
        <f t="shared" si="10"/>
        <v>2.593531927642897E-12</v>
      </c>
      <c r="R29" s="164">
        <f t="shared" si="10"/>
        <v>2.5148715725540001E-12</v>
      </c>
      <c r="S29" s="164">
        <f t="shared" si="10"/>
        <v>2.3337868461903132E-12</v>
      </c>
      <c r="T29" s="164">
        <f t="shared" si="10"/>
        <v>2.259705355608037E-12</v>
      </c>
      <c r="U29" s="164">
        <f t="shared" si="10"/>
        <v>2.2101384501040204E-12</v>
      </c>
      <c r="V29" s="164">
        <f t="shared" si="10"/>
        <v>2.1417454584124741E-12</v>
      </c>
      <c r="W29" s="164">
        <f t="shared" si="10"/>
        <v>2.0821822921410774E-12</v>
      </c>
      <c r="X29" s="185">
        <f t="shared" si="10"/>
        <v>1.9262269712088845E-12</v>
      </c>
      <c r="Y29" s="172">
        <f t="shared" si="10"/>
        <v>1.8218560179093454E-12</v>
      </c>
      <c r="Z29" s="172">
        <f t="shared" si="10"/>
        <v>1.7661366431983284E-12</v>
      </c>
      <c r="AA29" s="172">
        <f t="shared" si="10"/>
        <v>1.7296157166046637E-12</v>
      </c>
      <c r="AB29" s="172">
        <f t="shared" si="10"/>
        <v>1.6909215087714174E-12</v>
      </c>
      <c r="AC29" s="172">
        <f t="shared" si="10"/>
        <v>1.6608407453046917E-12</v>
      </c>
      <c r="AD29" s="172">
        <f t="shared" si="10"/>
        <v>1.635407244657318E-12</v>
      </c>
      <c r="AE29" s="172">
        <f t="shared" si="10"/>
        <v>1.6036825242657245E-12</v>
      </c>
      <c r="AF29" s="172">
        <f t="shared" si="10"/>
        <v>1.5736702155542671E-12</v>
      </c>
      <c r="AG29" s="172">
        <f t="shared" si="10"/>
        <v>1.5507719545881261E-12</v>
      </c>
      <c r="AH29" s="172">
        <f t="shared" si="10"/>
        <v>1.5255132041705466E-12</v>
      </c>
    </row>
    <row r="30" spans="1:34">
      <c r="A30" s="9" t="s">
        <v>51</v>
      </c>
      <c r="B30" s="37"/>
      <c r="C30" s="332">
        <f t="shared" ref="C30:K30" si="11">C12/C$18</f>
        <v>0.67703758602968955</v>
      </c>
      <c r="D30" s="332">
        <f t="shared" si="11"/>
        <v>0.69708730547496145</v>
      </c>
      <c r="E30" s="332">
        <f t="shared" si="11"/>
        <v>0.69874109360760339</v>
      </c>
      <c r="F30" s="332">
        <f t="shared" si="11"/>
        <v>0.70721575332073316</v>
      </c>
      <c r="G30" s="332">
        <f t="shared" si="11"/>
        <v>0.68227832470000027</v>
      </c>
      <c r="H30" s="164">
        <f t="shared" si="11"/>
        <v>0.6368987651496345</v>
      </c>
      <c r="I30" s="164">
        <f t="shared" si="11"/>
        <v>0.57537589691234026</v>
      </c>
      <c r="J30" s="164">
        <f t="shared" si="11"/>
        <v>0.4892742360502047</v>
      </c>
      <c r="K30" s="164">
        <f t="shared" si="11"/>
        <v>0.3674391351802207</v>
      </c>
      <c r="L30" s="164">
        <f t="shared" si="7"/>
        <v>0.26707028088959578</v>
      </c>
      <c r="M30" s="164">
        <f t="shared" ref="M30:AH30" si="12">M12/M$18</f>
        <v>0.25033039453879768</v>
      </c>
      <c r="N30" s="185">
        <f t="shared" si="12"/>
        <v>0.23132450058338552</v>
      </c>
      <c r="O30" s="164">
        <f t="shared" si="12"/>
        <v>0.22625102507394498</v>
      </c>
      <c r="P30" s="164">
        <f t="shared" si="12"/>
        <v>0.21823926276477984</v>
      </c>
      <c r="Q30" s="164">
        <f t="shared" si="12"/>
        <v>0.19106494331039112</v>
      </c>
      <c r="R30" s="164">
        <f t="shared" si="12"/>
        <v>0.18732487201792969</v>
      </c>
      <c r="S30" s="164">
        <f t="shared" si="12"/>
        <v>0.17382840352387693</v>
      </c>
      <c r="T30" s="164">
        <f t="shared" si="12"/>
        <v>0.16829963325446631</v>
      </c>
      <c r="U30" s="164">
        <f t="shared" si="12"/>
        <v>0.16459661286567748</v>
      </c>
      <c r="V30" s="164">
        <f t="shared" si="12"/>
        <v>0.15949146245335502</v>
      </c>
      <c r="W30" s="164">
        <f t="shared" si="12"/>
        <v>0.1550323055641753</v>
      </c>
      <c r="X30" s="185">
        <f t="shared" si="12"/>
        <v>0.14339467647005122</v>
      </c>
      <c r="Y30" s="172">
        <f t="shared" si="12"/>
        <v>0.13560271719244177</v>
      </c>
      <c r="Z30" s="172">
        <f t="shared" si="12"/>
        <v>0.13143326531363655</v>
      </c>
      <c r="AA30" s="172">
        <f t="shared" si="12"/>
        <v>0.12869304769899401</v>
      </c>
      <c r="AB30" s="172">
        <f t="shared" si="12"/>
        <v>0.12851446947855991</v>
      </c>
      <c r="AC30" s="172">
        <f t="shared" si="12"/>
        <v>0.12621640068453463</v>
      </c>
      <c r="AD30" s="172">
        <f t="shared" si="12"/>
        <v>0.12427051648981402</v>
      </c>
      <c r="AE30" s="172">
        <f t="shared" si="12"/>
        <v>0.12184629672920025</v>
      </c>
      <c r="AF30" s="172">
        <f t="shared" si="12"/>
        <v>0.11955364463400002</v>
      </c>
      <c r="AG30" s="172">
        <f t="shared" si="12"/>
        <v>0.11780214039873887</v>
      </c>
      <c r="AH30" s="172">
        <f t="shared" si="12"/>
        <v>0.11587298405546037</v>
      </c>
    </row>
    <row r="31" spans="1:34">
      <c r="A31" s="9" t="s">
        <v>347</v>
      </c>
      <c r="B31" s="37"/>
      <c r="C31" s="332">
        <f t="shared" ref="C31:K31" si="13">C13/C$18</f>
        <v>7.8338290472892771E-3</v>
      </c>
      <c r="D31" s="332">
        <f t="shared" si="13"/>
        <v>1.8579860171480056E-2</v>
      </c>
      <c r="E31" s="332">
        <f t="shared" si="13"/>
        <v>3.1110972064083052E-2</v>
      </c>
      <c r="F31" s="332">
        <f t="shared" si="13"/>
        <v>5.3796598680324811E-2</v>
      </c>
      <c r="G31" s="332">
        <f t="shared" si="13"/>
        <v>0.11193458327618147</v>
      </c>
      <c r="H31" s="164">
        <f t="shared" si="13"/>
        <v>0.14589087476919146</v>
      </c>
      <c r="I31" s="164">
        <f t="shared" si="13"/>
        <v>0.19151525447797813</v>
      </c>
      <c r="J31" s="164">
        <f t="shared" si="13"/>
        <v>0.2316295108369234</v>
      </c>
      <c r="K31" s="164">
        <f t="shared" si="13"/>
        <v>0.24081645459507064</v>
      </c>
      <c r="L31" s="164">
        <f t="shared" si="7"/>
        <v>0.2603414466814834</v>
      </c>
      <c r="M31" s="164">
        <f t="shared" ref="M31:AH31" si="14">M13/M$18</f>
        <v>0.30405813059536613</v>
      </c>
      <c r="N31" s="185">
        <f t="shared" si="14"/>
        <v>0.32104313803035633</v>
      </c>
      <c r="O31" s="164">
        <f t="shared" si="14"/>
        <v>0.3151739904597175</v>
      </c>
      <c r="P31" s="164">
        <f t="shared" si="14"/>
        <v>0.30570754941211625</v>
      </c>
      <c r="Q31" s="164">
        <f t="shared" si="14"/>
        <v>0.29642843239526362</v>
      </c>
      <c r="R31" s="164">
        <f t="shared" si="14"/>
        <v>0.31076273773938945</v>
      </c>
      <c r="S31" s="164">
        <f t="shared" si="14"/>
        <v>0.31104569890893313</v>
      </c>
      <c r="T31" s="164">
        <f t="shared" si="14"/>
        <v>0.32388808196215479</v>
      </c>
      <c r="U31" s="164">
        <f t="shared" si="14"/>
        <v>0.33782282656032664</v>
      </c>
      <c r="V31" s="164">
        <f t="shared" si="14"/>
        <v>0.34718231470613253</v>
      </c>
      <c r="W31" s="164">
        <f t="shared" si="14"/>
        <v>0.3573951334718411</v>
      </c>
      <c r="X31" s="185">
        <f t="shared" si="14"/>
        <v>0.34921172995275201</v>
      </c>
      <c r="Y31" s="172">
        <f t="shared" si="14"/>
        <v>0.3504013966076216</v>
      </c>
      <c r="Z31" s="172">
        <f t="shared" si="14"/>
        <v>0.35869505609732072</v>
      </c>
      <c r="AA31" s="172">
        <f t="shared" si="14"/>
        <v>0.36988534830335079</v>
      </c>
      <c r="AB31" s="172">
        <f t="shared" si="14"/>
        <v>0.37993913267201668</v>
      </c>
      <c r="AC31" s="172">
        <f t="shared" si="14"/>
        <v>0.39068814420378584</v>
      </c>
      <c r="AD31" s="172">
        <f t="shared" si="14"/>
        <v>0.40203224370632751</v>
      </c>
      <c r="AE31" s="172">
        <f t="shared" si="14"/>
        <v>0.41091235654615887</v>
      </c>
      <c r="AF31" s="172">
        <f t="shared" si="14"/>
        <v>0.41926314194578207</v>
      </c>
      <c r="AG31" s="172">
        <f t="shared" si="14"/>
        <v>0.42803874803578407</v>
      </c>
      <c r="AH31" s="172">
        <f t="shared" si="14"/>
        <v>0.43622940185891762</v>
      </c>
    </row>
    <row r="32" spans="1:34">
      <c r="A32" s="9" t="s">
        <v>348</v>
      </c>
      <c r="B32" s="37"/>
      <c r="C32" s="332">
        <f t="shared" ref="C32:K32" si="15">C14/C$18</f>
        <v>0</v>
      </c>
      <c r="D32" s="332">
        <f t="shared" si="15"/>
        <v>0</v>
      </c>
      <c r="E32" s="332">
        <f t="shared" si="15"/>
        <v>1.2714207092585853E-5</v>
      </c>
      <c r="F32" s="332">
        <f t="shared" si="15"/>
        <v>1.1673965789793689E-5</v>
      </c>
      <c r="G32" s="332">
        <f t="shared" si="15"/>
        <v>9.2377974093160544E-6</v>
      </c>
      <c r="H32" s="164">
        <f t="shared" si="15"/>
        <v>8.5884158425685873E-6</v>
      </c>
      <c r="I32" s="164">
        <f t="shared" si="15"/>
        <v>7.8076522481746415E-6</v>
      </c>
      <c r="J32" s="164">
        <f t="shared" si="15"/>
        <v>6.6388938061137513E-6</v>
      </c>
      <c r="K32" s="164">
        <f t="shared" si="15"/>
        <v>4.9855638092122144E-6</v>
      </c>
      <c r="L32" s="164">
        <f t="shared" si="7"/>
        <v>3.6237672254643133E-6</v>
      </c>
      <c r="M32" s="164">
        <f t="shared" ref="M32:AH32" si="16">M14/M$18</f>
        <v>3.3967950154808679E-6</v>
      </c>
      <c r="N32" s="185">
        <f t="shared" si="16"/>
        <v>3.1393145380744933E-6</v>
      </c>
      <c r="O32" s="164">
        <f t="shared" si="16"/>
        <v>3.0706979150937173E-6</v>
      </c>
      <c r="P32" s="164">
        <f t="shared" si="16"/>
        <v>2.962167025279769E-6</v>
      </c>
      <c r="Q32" s="164">
        <f t="shared" si="16"/>
        <v>2.5935319276428973E-6</v>
      </c>
      <c r="R32" s="164">
        <f t="shared" si="16"/>
        <v>2.5148715725539998E-6</v>
      </c>
      <c r="S32" s="164">
        <f t="shared" si="16"/>
        <v>2.333786846190313E-6</v>
      </c>
      <c r="T32" s="164">
        <f t="shared" si="16"/>
        <v>2.2597053556080373E-6</v>
      </c>
      <c r="U32" s="164">
        <f t="shared" si="16"/>
        <v>2.2101384501040205E-6</v>
      </c>
      <c r="V32" s="164">
        <f t="shared" si="16"/>
        <v>2.1417454584124742E-6</v>
      </c>
      <c r="W32" s="164">
        <f t="shared" si="16"/>
        <v>2.0821822921410774E-6</v>
      </c>
      <c r="X32" s="185">
        <f t="shared" si="16"/>
        <v>1.9262269712088842E-6</v>
      </c>
      <c r="Y32" s="172">
        <f t="shared" si="16"/>
        <v>1.8218560179093452E-6</v>
      </c>
      <c r="Z32" s="172">
        <f t="shared" si="16"/>
        <v>1.7661366431983283E-6</v>
      </c>
      <c r="AA32" s="172">
        <f t="shared" si="16"/>
        <v>1.7296157166046638E-6</v>
      </c>
      <c r="AB32" s="172">
        <f t="shared" si="16"/>
        <v>1.6909215087714175E-6</v>
      </c>
      <c r="AC32" s="172">
        <f t="shared" si="16"/>
        <v>1.6608407453046917E-6</v>
      </c>
      <c r="AD32" s="172">
        <f t="shared" si="16"/>
        <v>1.635407244657318E-6</v>
      </c>
      <c r="AE32" s="172">
        <f t="shared" si="16"/>
        <v>1.6036825242657243E-6</v>
      </c>
      <c r="AF32" s="172">
        <f t="shared" si="16"/>
        <v>1.5736702155542671E-6</v>
      </c>
      <c r="AG32" s="172">
        <f t="shared" si="16"/>
        <v>1.5507719545881261E-6</v>
      </c>
      <c r="AH32" s="172">
        <f t="shared" si="16"/>
        <v>1.5255132041705466E-6</v>
      </c>
    </row>
    <row r="33" spans="1:36">
      <c r="A33" s="9" t="s">
        <v>344</v>
      </c>
      <c r="B33" s="37"/>
      <c r="C33" s="332">
        <f t="shared" ref="C33:K33" si="17">C15/C$18</f>
        <v>1.8006318777385362E-5</v>
      </c>
      <c r="D33" s="332">
        <f t="shared" si="17"/>
        <v>1.7127452222972025E-5</v>
      </c>
      <c r="E33" s="332">
        <f t="shared" si="17"/>
        <v>1.2714207092585853E-5</v>
      </c>
      <c r="F33" s="332">
        <f t="shared" si="17"/>
        <v>1.1673965789793689E-5</v>
      </c>
      <c r="G33" s="332">
        <f t="shared" si="17"/>
        <v>9.2377974093160544E-6</v>
      </c>
      <c r="H33" s="164">
        <f t="shared" si="17"/>
        <v>8.5884158425685873E-6</v>
      </c>
      <c r="I33" s="164">
        <f t="shared" si="17"/>
        <v>7.8076522481746415E-6</v>
      </c>
      <c r="J33" s="164">
        <f t="shared" si="17"/>
        <v>6.6388938061137513E-6</v>
      </c>
      <c r="K33" s="164">
        <f t="shared" si="17"/>
        <v>4.9855638092122144E-6</v>
      </c>
      <c r="L33" s="164">
        <f t="shared" si="7"/>
        <v>3.6237672254643133E-6</v>
      </c>
      <c r="M33" s="164">
        <f t="shared" ref="M33:AH33" si="18">M15/M$18</f>
        <v>3.3967950154808679E-6</v>
      </c>
      <c r="N33" s="185">
        <f t="shared" si="18"/>
        <v>3.1393145380744933E-6</v>
      </c>
      <c r="O33" s="164">
        <f t="shared" si="18"/>
        <v>3.0706979150937173E-6</v>
      </c>
      <c r="P33" s="164">
        <f t="shared" si="18"/>
        <v>2.962167025279769E-6</v>
      </c>
      <c r="Q33" s="164">
        <f t="shared" si="18"/>
        <v>2.5935319276428973E-6</v>
      </c>
      <c r="R33" s="164">
        <f t="shared" si="18"/>
        <v>2.5148715725539998E-6</v>
      </c>
      <c r="S33" s="164">
        <f t="shared" si="18"/>
        <v>2.333786846190313E-6</v>
      </c>
      <c r="T33" s="164">
        <f t="shared" si="18"/>
        <v>2.2597053556080373E-6</v>
      </c>
      <c r="U33" s="164">
        <f t="shared" si="18"/>
        <v>2.2101384501040205E-6</v>
      </c>
      <c r="V33" s="164">
        <f t="shared" si="18"/>
        <v>2.1417454584124742E-6</v>
      </c>
      <c r="W33" s="164">
        <f t="shared" si="18"/>
        <v>2.0821822921410774E-6</v>
      </c>
      <c r="X33" s="185">
        <f t="shared" si="18"/>
        <v>1.9262269712088842E-6</v>
      </c>
      <c r="Y33" s="172">
        <f t="shared" si="18"/>
        <v>1.8218560179093452E-6</v>
      </c>
      <c r="Z33" s="172">
        <f t="shared" si="18"/>
        <v>1.7661366431983283E-6</v>
      </c>
      <c r="AA33" s="172">
        <f t="shared" si="18"/>
        <v>1.7296157166046638E-6</v>
      </c>
      <c r="AB33" s="172">
        <f t="shared" si="18"/>
        <v>1.6909215087714175E-6</v>
      </c>
      <c r="AC33" s="172">
        <f t="shared" si="18"/>
        <v>1.6608407453046917E-6</v>
      </c>
      <c r="AD33" s="172">
        <f t="shared" si="18"/>
        <v>1.635407244657318E-6</v>
      </c>
      <c r="AE33" s="172">
        <f t="shared" si="18"/>
        <v>1.6036825242657243E-6</v>
      </c>
      <c r="AF33" s="172">
        <f t="shared" si="18"/>
        <v>1.5736702155542671E-6</v>
      </c>
      <c r="AG33" s="172">
        <f t="shared" si="18"/>
        <v>1.5507719545881261E-6</v>
      </c>
      <c r="AH33" s="172">
        <f t="shared" si="18"/>
        <v>1.5255132041705466E-6</v>
      </c>
    </row>
    <row r="34" spans="1:36">
      <c r="A34" s="9" t="s">
        <v>53</v>
      </c>
      <c r="B34" s="37"/>
      <c r="C34" s="332">
        <f t="shared" ref="C34:K34" si="19">C16/C$18</f>
        <v>0</v>
      </c>
      <c r="D34" s="332">
        <f t="shared" si="19"/>
        <v>1.7127452222972025E-3</v>
      </c>
      <c r="E34" s="332">
        <f t="shared" si="19"/>
        <v>5.5384857294555018E-4</v>
      </c>
      <c r="F34" s="332">
        <f t="shared" si="19"/>
        <v>6.0010016072968683E-4</v>
      </c>
      <c r="G34" s="332">
        <f t="shared" si="19"/>
        <v>5.4580982829069825E-4</v>
      </c>
      <c r="H34" s="164">
        <f t="shared" si="19"/>
        <v>5.0865464941122194E-4</v>
      </c>
      <c r="I34" s="164">
        <f t="shared" si="19"/>
        <v>4.6561246786443726E-4</v>
      </c>
      <c r="J34" s="164">
        <f t="shared" si="19"/>
        <v>3.9840215069963025E-4</v>
      </c>
      <c r="K34" s="164">
        <f t="shared" si="19"/>
        <v>2.9916327256341777E-4</v>
      </c>
      <c r="L34" s="164">
        <f t="shared" si="7"/>
        <v>2.1741987746680871E-4</v>
      </c>
      <c r="M34" s="164">
        <f t="shared" ref="M34:AH34" si="20">M16/M$18</f>
        <v>2.0378104343383736E-4</v>
      </c>
      <c r="N34" s="185">
        <f t="shared" si="20"/>
        <v>1.8839766520373983E-4</v>
      </c>
      <c r="O34" s="164">
        <f t="shared" si="20"/>
        <v>1.842990751217798E-4</v>
      </c>
      <c r="P34" s="164">
        <f t="shared" si="20"/>
        <v>1.7780596660154057E-4</v>
      </c>
      <c r="Q34" s="164">
        <f t="shared" si="20"/>
        <v>1.5570019575524588E-4</v>
      </c>
      <c r="R34" s="164">
        <f t="shared" si="20"/>
        <v>1.5107264694616071E-4</v>
      </c>
      <c r="S34" s="164">
        <f t="shared" si="20"/>
        <v>1.403218265310744E-4</v>
      </c>
      <c r="T34" s="164">
        <f t="shared" si="20"/>
        <v>1.360599406991383E-4</v>
      </c>
      <c r="U34" s="164">
        <f t="shared" si="20"/>
        <v>1.3328318815735739E-4</v>
      </c>
      <c r="V34" s="164">
        <f t="shared" si="20"/>
        <v>1.2935734829880923E-4</v>
      </c>
      <c r="W34" s="164">
        <f t="shared" si="20"/>
        <v>1.2596006435453797E-4</v>
      </c>
      <c r="X34" s="185">
        <f t="shared" si="20"/>
        <v>1.1673798684293552E-4</v>
      </c>
      <c r="Y34" s="172">
        <f t="shared" si="20"/>
        <v>1.1057510952373893E-4</v>
      </c>
      <c r="Z34" s="172">
        <f t="shared" si="20"/>
        <v>1.0734882843840254E-4</v>
      </c>
      <c r="AA34" s="172">
        <f t="shared" si="20"/>
        <v>1.0541997277410988E-4</v>
      </c>
      <c r="AB34" s="172">
        <f t="shared" si="20"/>
        <v>1.0352813648464577E-4</v>
      </c>
      <c r="AC34" s="172">
        <f t="shared" si="20"/>
        <v>1.0200065121160604E-4</v>
      </c>
      <c r="AD34" s="172">
        <f t="shared" si="20"/>
        <v>1.0063396809062062E-4</v>
      </c>
      <c r="AE34" s="172">
        <f t="shared" si="20"/>
        <v>9.9248036626751378E-5</v>
      </c>
      <c r="AF34" s="172">
        <f t="shared" si="20"/>
        <v>9.7808865865023109E-5</v>
      </c>
      <c r="AG34" s="172">
        <f t="shared" si="20"/>
        <v>9.7221177472199679E-5</v>
      </c>
      <c r="AH34" s="172">
        <f t="shared" si="20"/>
        <v>9.6785717541743378E-5</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376</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283.3485</v>
      </c>
      <c r="D42" s="331">
        <f>D7*Inputs!$C$48</f>
        <v>250.04849999999999</v>
      </c>
      <c r="E42" s="331">
        <f>E7*Inputs!$C$48</f>
        <v>404.24519432206705</v>
      </c>
      <c r="F42" s="331">
        <f>F7*Inputs!$C$48</f>
        <v>317.15169950629485</v>
      </c>
      <c r="G42" s="331">
        <f>G7*Inputs!$C$48</f>
        <v>407.19268729860414</v>
      </c>
      <c r="H42" s="14">
        <f>H7*Inputs!$C$48</f>
        <v>436.02890852336839</v>
      </c>
      <c r="I42" s="14">
        <f>I7*Inputs!$C$48</f>
        <v>462.80996833238601</v>
      </c>
      <c r="J42" s="14">
        <f>J7*Inputs!$C$48</f>
        <v>471.0005677758441</v>
      </c>
      <c r="K42" s="14">
        <f>K7*Inputs!$C$48</f>
        <v>518.81377545875932</v>
      </c>
      <c r="L42" s="14">
        <f>L7*Inputs!$C$48</f>
        <v>518.81377545875932</v>
      </c>
      <c r="M42" s="14">
        <f>M7*Inputs!$C$48</f>
        <v>518.81377545875932</v>
      </c>
      <c r="N42" s="190">
        <f>N7*Inputs!$C$48</f>
        <v>518.81373429955454</v>
      </c>
      <c r="O42" s="14">
        <f>O7*Inputs!$C$48</f>
        <v>525.11496160433535</v>
      </c>
      <c r="P42" s="14">
        <f>P7*Inputs!$C$48</f>
        <v>525.11496160433535</v>
      </c>
      <c r="Q42" s="14">
        <f>Q7*Inputs!$C$48</f>
        <v>547.1865440370982</v>
      </c>
      <c r="R42" s="14">
        <f>R7*Inputs!$C$48</f>
        <v>547.1865440370982</v>
      </c>
      <c r="S42" s="14">
        <f>S7*Inputs!$C$48</f>
        <v>547.1865440370982</v>
      </c>
      <c r="T42" s="14">
        <f>T7*Inputs!$C$48</f>
        <v>547.1865440370982</v>
      </c>
      <c r="U42" s="14">
        <f>U7*Inputs!$C$48</f>
        <v>547.1865440370982</v>
      </c>
      <c r="V42" s="14">
        <f>V7*Inputs!$C$48</f>
        <v>550.7245892845865</v>
      </c>
      <c r="W42" s="14">
        <f>W7*Inputs!$C$48</f>
        <v>550.7245892845865</v>
      </c>
      <c r="X42" s="187">
        <f>X7*Inputs!$C$48</f>
        <v>553.0270763621777</v>
      </c>
      <c r="Y42" s="14">
        <f>Y7*Inputs!$C$48</f>
        <v>559.84048881190677</v>
      </c>
      <c r="Z42" s="14">
        <f>Z7*Inputs!$C$48</f>
        <v>565.79412663186861</v>
      </c>
      <c r="AA42" s="14">
        <f>AA7*Inputs!$C$48</f>
        <v>565.79412663186861</v>
      </c>
      <c r="AB42" s="14">
        <f>AB7*Inputs!$C$48</f>
        <v>573.9288730343676</v>
      </c>
      <c r="AC42" s="14">
        <f>AC7*Inputs!$C$48</f>
        <v>581.15844620416817</v>
      </c>
      <c r="AD42" s="14">
        <f>AD7*Inputs!$C$48</f>
        <v>584.11363595200919</v>
      </c>
      <c r="AE42" s="14">
        <f>AE7*Inputs!$C$48</f>
        <v>584.11363595200919</v>
      </c>
      <c r="AF42" s="14">
        <f>AF7*Inputs!$C$48</f>
        <v>584.11363595200919</v>
      </c>
      <c r="AG42" s="14">
        <f>AG7*Inputs!$C$48</f>
        <v>584.11363595200919</v>
      </c>
      <c r="AH42" s="14">
        <f>AH7*Inputs!$C$48</f>
        <v>584.11363595200919</v>
      </c>
    </row>
    <row r="43" spans="1:36" ht="15">
      <c r="A43" s="8" t="s">
        <v>59</v>
      </c>
      <c r="B43" s="34">
        <v>0</v>
      </c>
      <c r="C43" s="331">
        <f>C8*Inputs!$C$53</f>
        <v>2037.0000000000002</v>
      </c>
      <c r="D43" s="331">
        <f>D8*Inputs!$C$53</f>
        <v>1959.16</v>
      </c>
      <c r="E43" s="331">
        <f>E8*Inputs!$C$53</f>
        <v>2104.3260588000003</v>
      </c>
      <c r="F43" s="331">
        <f>F8*Inputs!$C$53</f>
        <v>2129.240358</v>
      </c>
      <c r="G43" s="331">
        <f>G8*Inputs!$C$53</f>
        <v>2051.9776872000002</v>
      </c>
      <c r="H43" s="14">
        <f>H8*Inputs!$C$53</f>
        <v>2055.7267752000002</v>
      </c>
      <c r="I43" s="14">
        <f>I8*Inputs!$C$53</f>
        <v>2115.1555320000002</v>
      </c>
      <c r="J43" s="14">
        <f>J8*Inputs!$C$53</f>
        <v>2136.3390720000002</v>
      </c>
      <c r="K43" s="14">
        <f>K8*Inputs!$C$53</f>
        <v>2102.7258671999998</v>
      </c>
      <c r="L43" s="14">
        <f>L8*Inputs!$C$53</f>
        <v>2035.0694448000002</v>
      </c>
      <c r="M43" s="14">
        <f>M8*Inputs!$C$53</f>
        <v>1966.9254443999998</v>
      </c>
      <c r="N43" s="190">
        <f>N8*Inputs!$C$53</f>
        <v>1926.2490995999999</v>
      </c>
      <c r="O43" s="14">
        <f>O8*Inputs!$C$53</f>
        <v>1926.2491584000004</v>
      </c>
      <c r="P43" s="14">
        <f>P8*Inputs!$C$53</f>
        <v>1926.2490995999999</v>
      </c>
      <c r="Q43" s="14">
        <f>Q8*Inputs!$C$53</f>
        <v>1926.2490995999999</v>
      </c>
      <c r="R43" s="14">
        <f>R8*Inputs!$C$53</f>
        <v>1926.2491584000004</v>
      </c>
      <c r="S43" s="14">
        <f>S8*Inputs!$C$53</f>
        <v>1926.2490995999999</v>
      </c>
      <c r="T43" s="14">
        <f>T8*Inputs!$C$53</f>
        <v>1926.2491584000004</v>
      </c>
      <c r="U43" s="14">
        <f>U8*Inputs!$C$53</f>
        <v>1926.2490995999999</v>
      </c>
      <c r="V43" s="14">
        <f>V8*Inputs!$C$53</f>
        <v>1926.2490995999999</v>
      </c>
      <c r="W43" s="14">
        <f>W8*Inputs!$C$53</f>
        <v>1926.2491584000004</v>
      </c>
      <c r="X43" s="187">
        <f>X8*Inputs!$C$53</f>
        <v>1926.2491584000004</v>
      </c>
      <c r="Y43" s="14">
        <f>Y8*Inputs!$C$53</f>
        <v>1926.2491584000004</v>
      </c>
      <c r="Z43" s="14">
        <f>Z8*Inputs!$C$53</f>
        <v>1926.2491584000004</v>
      </c>
      <c r="AA43" s="14">
        <f>AA8*Inputs!$C$53</f>
        <v>1926.2490995999999</v>
      </c>
      <c r="AB43" s="14">
        <f>AB8*Inputs!$C$53</f>
        <v>1926.2490995999999</v>
      </c>
      <c r="AC43" s="14">
        <f>AC8*Inputs!$C$53</f>
        <v>1926.2490995999999</v>
      </c>
      <c r="AD43" s="14">
        <f>AD8*Inputs!$C$53</f>
        <v>1926.2490995999999</v>
      </c>
      <c r="AE43" s="14">
        <f>AE8*Inputs!$C$53</f>
        <v>1926.2490995999999</v>
      </c>
      <c r="AF43" s="14">
        <f>AF8*Inputs!$C$53</f>
        <v>1926.2490995999999</v>
      </c>
      <c r="AG43" s="14">
        <f>AG8*Inputs!$C$53</f>
        <v>1926.2490995999999</v>
      </c>
      <c r="AH43" s="14">
        <f>AH8*Inputs!$C$53</f>
        <v>1926.2491584000004</v>
      </c>
    </row>
    <row r="44" spans="1:36" ht="15">
      <c r="A44" s="8" t="s">
        <v>121</v>
      </c>
      <c r="B44" s="34">
        <v>1</v>
      </c>
      <c r="C44" s="331">
        <f>C10*Inputs!$C$46</f>
        <v>36.75</v>
      </c>
      <c r="D44" s="331">
        <f>D10*Inputs!$C$46</f>
        <v>34.65</v>
      </c>
      <c r="E44" s="331">
        <f>E10*Inputs!$C$46</f>
        <v>44.524536706649648</v>
      </c>
      <c r="F44" s="331">
        <f>F10*Inputs!$C$46</f>
        <v>42.878729370360759</v>
      </c>
      <c r="G44" s="331">
        <f>G10*Inputs!$C$46</f>
        <v>46.652667810994743</v>
      </c>
      <c r="H44" s="14">
        <f>H10*Inputs!$C$46</f>
        <v>52.982705819474738</v>
      </c>
      <c r="I44" s="14">
        <f>I10*Inputs!$C$46</f>
        <v>62.569129389207738</v>
      </c>
      <c r="J44" s="14">
        <f>J10*Inputs!$C$46</f>
        <v>88.152879191061857</v>
      </c>
      <c r="K44" s="14">
        <f>K10*Inputs!$C$46</f>
        <v>164.87886038127468</v>
      </c>
      <c r="L44" s="14">
        <f>L10*Inputs!$C$46</f>
        <v>273.73821462856131</v>
      </c>
      <c r="M44" s="14">
        <f>M10*Inputs!$C$46</f>
        <v>275.36012217929925</v>
      </c>
      <c r="N44" s="190">
        <f>N10*Inputs!$C$46</f>
        <v>299.30710264632455</v>
      </c>
      <c r="O44" s="14">
        <f>O10*Inputs!$C$46</f>
        <v>313.48168038681274</v>
      </c>
      <c r="P44" s="14">
        <f>P10*Inputs!$C$46</f>
        <v>337.36310351930416</v>
      </c>
      <c r="Q44" s="14">
        <f>Q10*Inputs!$C$46</f>
        <v>414.849740733803</v>
      </c>
      <c r="R44" s="14">
        <f>R10*Inputs!$C$46</f>
        <v>418.98290790852366</v>
      </c>
      <c r="S44" s="14">
        <f>S10*Inputs!$C$46</f>
        <v>463.39275110368794</v>
      </c>
      <c r="T44" s="14">
        <f>T10*Inputs!$C$46</f>
        <v>471.79185496753473</v>
      </c>
      <c r="U44" s="14">
        <f>U10*Inputs!$C$46</f>
        <v>472.65364750111632</v>
      </c>
      <c r="V44" s="14">
        <f>V10*Inputs!$C$46</f>
        <v>483.57960472385946</v>
      </c>
      <c r="W44" s="14">
        <f>W10*Inputs!$C$46</f>
        <v>491.61359242309112</v>
      </c>
      <c r="X44" s="187">
        <f>X10*Inputs!$C$46</f>
        <v>553.036232232727</v>
      </c>
      <c r="Y44" s="14">
        <f>Y10*Inputs!$C$46</f>
        <v>592.33632673625686</v>
      </c>
      <c r="Z44" s="14">
        <f>Z10*Inputs!$C$46</f>
        <v>606.12392525930238</v>
      </c>
      <c r="AA44" s="14">
        <f>AA10*Inputs!$C$46</f>
        <v>608.66509939515981</v>
      </c>
      <c r="AB44" s="14">
        <f>AB10*Inputs!$C$46</f>
        <v>610.33165594606817</v>
      </c>
      <c r="AC44" s="14">
        <f>AC10*Inputs!$C$46</f>
        <v>610.70230947777509</v>
      </c>
      <c r="AD44" s="14">
        <f>AD10*Inputs!$C$46</f>
        <v>608.13354397830562</v>
      </c>
      <c r="AE44" s="14">
        <f>AE10*Inputs!$C$46</f>
        <v>611.71189242959724</v>
      </c>
      <c r="AF44" s="14">
        <f>AF10*Inputs!$C$46</f>
        <v>615.29584189587808</v>
      </c>
      <c r="AG44" s="14">
        <f>AG10*Inputs!$C$46</f>
        <v>614.87019658063991</v>
      </c>
      <c r="AH44" s="14">
        <f>AH10*Inputs!$C$46</f>
        <v>616.43211598788434</v>
      </c>
    </row>
    <row r="45" spans="1:36" ht="15">
      <c r="A45" s="8" t="s">
        <v>50</v>
      </c>
      <c r="B45" s="34">
        <v>1</v>
      </c>
      <c r="C45" s="331">
        <f>C11*Inputs!$C$49</f>
        <v>0</v>
      </c>
      <c r="D45" s="331">
        <f>D11*Inputs!$C$49</f>
        <v>0</v>
      </c>
      <c r="E45" s="331">
        <f>E11*Inputs!$C$49</f>
        <v>2.5000000000000001E-9</v>
      </c>
      <c r="F45" s="331">
        <f>F11*Inputs!$C$49</f>
        <v>2.5000000000000001E-9</v>
      </c>
      <c r="G45" s="331">
        <f>G11*Inputs!$C$49</f>
        <v>2.5000000000000001E-9</v>
      </c>
      <c r="H45" s="14">
        <f>H11*Inputs!$C$49</f>
        <v>2.5000000000000001E-9</v>
      </c>
      <c r="I45" s="14">
        <f>I11*Inputs!$C$49</f>
        <v>2.5000000000000001E-9</v>
      </c>
      <c r="J45" s="14">
        <f>J11*Inputs!$C$49</f>
        <v>2.5000000000000001E-9</v>
      </c>
      <c r="K45" s="14">
        <f>K11*Inputs!$C$49</f>
        <v>2.5000000000000001E-9</v>
      </c>
      <c r="L45" s="14">
        <f>L11*Inputs!$C$49</f>
        <v>2.5000000000000001E-9</v>
      </c>
      <c r="M45" s="14">
        <f>M11*Inputs!$C$49</f>
        <v>2.5000000000000001E-9</v>
      </c>
      <c r="N45" s="190">
        <f>N11*Inputs!$C$49</f>
        <v>2.5000000000000001E-9</v>
      </c>
      <c r="O45" s="14">
        <f>O11*Inputs!$C$49</f>
        <v>2.5000000000000001E-9</v>
      </c>
      <c r="P45" s="14">
        <f>P11*Inputs!$C$49</f>
        <v>2.5000000000000001E-9</v>
      </c>
      <c r="Q45" s="14">
        <f>Q11*Inputs!$C$49</f>
        <v>2.5000000000000001E-9</v>
      </c>
      <c r="R45" s="14">
        <f>R11*Inputs!$C$49</f>
        <v>2.5000000000000001E-9</v>
      </c>
      <c r="S45" s="14">
        <f>S11*Inputs!$C$49</f>
        <v>2.5000000000000001E-9</v>
      </c>
      <c r="T45" s="14">
        <f>T11*Inputs!$C$49</f>
        <v>2.5000000000000001E-9</v>
      </c>
      <c r="U45" s="14">
        <f>U11*Inputs!$C$49</f>
        <v>2.5000000000000001E-9</v>
      </c>
      <c r="V45" s="14">
        <f>V11*Inputs!$C$49</f>
        <v>2.5000000000000001E-9</v>
      </c>
      <c r="W45" s="14">
        <f>W11*Inputs!$C$49</f>
        <v>2.5000000000000001E-9</v>
      </c>
      <c r="X45" s="187">
        <f>X11*Inputs!$C$49</f>
        <v>2.5000000000000001E-9</v>
      </c>
      <c r="Y45" s="14">
        <f>Y11*Inputs!$C$49</f>
        <v>2.5000000000000001E-9</v>
      </c>
      <c r="Z45" s="14">
        <f>Z11*Inputs!$C$49</f>
        <v>2.5000000000000001E-9</v>
      </c>
      <c r="AA45" s="14">
        <f>AA11*Inputs!$C$49</f>
        <v>2.5000000000000001E-9</v>
      </c>
      <c r="AB45" s="14">
        <f>AB11*Inputs!$C$49</f>
        <v>2.5000000000000001E-9</v>
      </c>
      <c r="AC45" s="14">
        <f>AC11*Inputs!$C$49</f>
        <v>2.5000000000000001E-9</v>
      </c>
      <c r="AD45" s="14">
        <f>AD11*Inputs!$C$49</f>
        <v>2.5000000000000001E-9</v>
      </c>
      <c r="AE45" s="14">
        <f>AE11*Inputs!$C$49</f>
        <v>2.5000000000000001E-9</v>
      </c>
      <c r="AF45" s="14">
        <f>AF11*Inputs!$C$49</f>
        <v>2.5000000000000001E-9</v>
      </c>
      <c r="AG45" s="14">
        <f>AG11*Inputs!$C$49</f>
        <v>2.5000000000000001E-9</v>
      </c>
      <c r="AH45" s="14">
        <f>AH11*Inputs!$C$49</f>
        <v>2.5000000000000001E-9</v>
      </c>
    </row>
    <row r="46" spans="1:36" ht="15">
      <c r="A46" s="8" t="s">
        <v>51</v>
      </c>
      <c r="B46" s="34">
        <v>1</v>
      </c>
      <c r="C46" s="331">
        <f>C12*Inputs!$C$52</f>
        <v>56.4</v>
      </c>
      <c r="D46" s="331">
        <f>D12*Inputs!$C$52</f>
        <v>61.05</v>
      </c>
      <c r="E46" s="331">
        <f>E12*Inputs!$C$52</f>
        <v>82.436256762138129</v>
      </c>
      <c r="F46" s="331">
        <f>F12*Inputs!$C$52</f>
        <v>90.870887330212696</v>
      </c>
      <c r="G46" s="331">
        <f>G12*Inputs!$C$52</f>
        <v>110.78587694702129</v>
      </c>
      <c r="H46" s="14">
        <f>H12*Inputs!$C$52</f>
        <v>111.23682938001873</v>
      </c>
      <c r="I46" s="14">
        <f>I12*Inputs!$C$52</f>
        <v>110.54076410361219</v>
      </c>
      <c r="J46" s="14">
        <f>J12*Inputs!$C$52</f>
        <v>110.54723505284099</v>
      </c>
      <c r="K46" s="14">
        <f>K12*Inputs!$C$52</f>
        <v>110.5509274100378</v>
      </c>
      <c r="L46" s="14">
        <f>L12*Inputs!$C$52</f>
        <v>110.54943554854412</v>
      </c>
      <c r="M46" s="14">
        <f>M12*Inputs!$C$52</f>
        <v>110.5440834954356</v>
      </c>
      <c r="N46" s="190">
        <f>N12*Inputs!$C$52</f>
        <v>110.5294632527977</v>
      </c>
      <c r="O46" s="14">
        <f>O12*Inputs!$C$52</f>
        <v>110.52097829055248</v>
      </c>
      <c r="P46" s="14">
        <f>P12*Inputs!$C$52</f>
        <v>110.51331385212877</v>
      </c>
      <c r="Q46" s="14">
        <f>Q12*Inputs!$C$52</f>
        <v>110.5046797037342</v>
      </c>
      <c r="R46" s="14">
        <f>R12*Inputs!$C$52</f>
        <v>111.73028121731696</v>
      </c>
      <c r="S46" s="14">
        <f>S12*Inputs!$C$52</f>
        <v>111.72511564689513</v>
      </c>
      <c r="T46" s="14">
        <f>T12*Inputs!$C$52</f>
        <v>111.7178614703822</v>
      </c>
      <c r="U46" s="14">
        <f>U12*Inputs!$C$52</f>
        <v>111.71015973542113</v>
      </c>
      <c r="V46" s="14">
        <f>V12*Inputs!$C$52</f>
        <v>111.70197314547467</v>
      </c>
      <c r="W46" s="14">
        <f>W12*Inputs!$C$52</f>
        <v>111.6849659244469</v>
      </c>
      <c r="X46" s="187">
        <f>X12*Inputs!$C$52</f>
        <v>111.66493768389445</v>
      </c>
      <c r="Y46" s="14">
        <f>Y12*Inputs!$C$52</f>
        <v>111.64662508405972</v>
      </c>
      <c r="Z46" s="14">
        <f>Z12*Inputs!$C$52</f>
        <v>111.62777168443353</v>
      </c>
      <c r="AA46" s="14">
        <f>AA12*Inputs!$C$52</f>
        <v>111.60835883674723</v>
      </c>
      <c r="AB46" s="14">
        <f>AB12*Inputs!$C$52</f>
        <v>114.00393407846774</v>
      </c>
      <c r="AC46" s="14">
        <f>AC12*Inputs!$C$52</f>
        <v>113.99322997225067</v>
      </c>
      <c r="AD46" s="14">
        <f>AD12*Inputs!$C$52</f>
        <v>113.98125778376404</v>
      </c>
      <c r="AE46" s="14">
        <f>AE12*Inputs!$C$52</f>
        <v>113.96859560933653</v>
      </c>
      <c r="AF46" s="14">
        <f>AF12*Inputs!$C$52</f>
        <v>113.95682855180526</v>
      </c>
      <c r="AG46" s="14">
        <f>AG12*Inputs!$C$52</f>
        <v>113.9453225700354</v>
      </c>
      <c r="AH46" s="14">
        <f>AH12*Inputs!$C$52</f>
        <v>113.93508467053512</v>
      </c>
    </row>
    <row r="47" spans="1:36" ht="15">
      <c r="A47" s="8" t="s">
        <v>347</v>
      </c>
      <c r="B47" s="34">
        <v>1</v>
      </c>
      <c r="C47" s="331">
        <f>C13*Inputs!$C$54</f>
        <v>3.4369740000000011</v>
      </c>
      <c r="D47" s="331">
        <f>D13*Inputs!$C$54</f>
        <v>8.5699200000000015</v>
      </c>
      <c r="E47" s="331">
        <f>E13*Inputs!$C$54</f>
        <v>19.33086959465825</v>
      </c>
      <c r="F47" s="331">
        <f>F13*Inputs!$C$54</f>
        <v>36.405206013720623</v>
      </c>
      <c r="G47" s="331">
        <f>G13*Inputs!$C$54</f>
        <v>95.72446425270806</v>
      </c>
      <c r="H47" s="14">
        <f>H13*Inputs!$C$54</f>
        <v>134.19679854858035</v>
      </c>
      <c r="I47" s="14">
        <f>I13*Inputs!$C$54</f>
        <v>193.78046847946464</v>
      </c>
      <c r="J47" s="14">
        <f>J13*Inputs!$C$54</f>
        <v>275.6292221343511</v>
      </c>
      <c r="K47" s="14">
        <f>K13*Inputs!$C$54</f>
        <v>381.5917445055569</v>
      </c>
      <c r="L47" s="14">
        <f>L13*Inputs!$C$54</f>
        <v>567.55782058274849</v>
      </c>
      <c r="M47" s="14">
        <f>M13*Inputs!$C$54</f>
        <v>707.15460331165866</v>
      </c>
      <c r="N47" s="190">
        <f>N13*Inputs!$C$54</f>
        <v>807.89636071173197</v>
      </c>
      <c r="O47" s="14">
        <f>O13*Inputs!$C$54</f>
        <v>810.84971347817464</v>
      </c>
      <c r="P47" s="14">
        <f>P13*Inputs!$C$54</f>
        <v>815.31176997948648</v>
      </c>
      <c r="Q47" s="14">
        <f>Q13*Inputs!$C$54</f>
        <v>902.93263443681133</v>
      </c>
      <c r="R47" s="14">
        <f>R13*Inputs!$C$54</f>
        <v>976.2031806848704</v>
      </c>
      <c r="S47" s="14">
        <f>S13*Inputs!$C$54</f>
        <v>1052.9072204652362</v>
      </c>
      <c r="T47" s="14">
        <f>T13*Inputs!$C$54</f>
        <v>1132.3227787865858</v>
      </c>
      <c r="U47" s="14">
        <f>U13*Inputs!$C$54</f>
        <v>1207.526311168865</v>
      </c>
      <c r="V47" s="14">
        <f>V13*Inputs!$C$54</f>
        <v>1280.6098294292397</v>
      </c>
      <c r="W47" s="14">
        <f>W13*Inputs!$C$54</f>
        <v>1355.9915311373925</v>
      </c>
      <c r="X47" s="187">
        <f>X13*Inputs!$C$54</f>
        <v>1432.2157813496701</v>
      </c>
      <c r="Y47" s="14">
        <f>Y13*Inputs!$C$54</f>
        <v>1519.4236020785008</v>
      </c>
      <c r="Z47" s="14">
        <f>Z13*Inputs!$C$54</f>
        <v>1604.4573640900471</v>
      </c>
      <c r="AA47" s="14">
        <f>AA13*Inputs!$C$54</f>
        <v>1689.4470971463606</v>
      </c>
      <c r="AB47" s="14">
        <f>AB13*Inputs!$C$54</f>
        <v>1775.0789333147479</v>
      </c>
      <c r="AC47" s="14">
        <f>AC13*Inputs!$C$54</f>
        <v>1858.3577913387969</v>
      </c>
      <c r="AD47" s="14">
        <f>AD13*Inputs!$C$54</f>
        <v>1942.0573900817562</v>
      </c>
      <c r="AE47" s="14">
        <f>AE13*Inputs!$C$54</f>
        <v>2024.2208589265456</v>
      </c>
      <c r="AF47" s="14">
        <f>AF13*Inputs!$C$54</f>
        <v>2104.7477347120571</v>
      </c>
      <c r="AG47" s="14">
        <f>AG13*Inputs!$C$54</f>
        <v>2180.5308636631867</v>
      </c>
      <c r="AH47" s="14">
        <f>AH13*Inputs!$C$54</f>
        <v>2259.0510952405862</v>
      </c>
    </row>
    <row r="48" spans="1:36" ht="15">
      <c r="A48" s="8" t="s">
        <v>348</v>
      </c>
      <c r="B48" s="34">
        <v>1</v>
      </c>
      <c r="C48" s="331">
        <f>C14*Inputs!$C$55</f>
        <v>0</v>
      </c>
      <c r="D48" s="331">
        <f>D14*Inputs!$C$55</f>
        <v>0</v>
      </c>
      <c r="E48" s="331">
        <f>E14*Inputs!$C$55</f>
        <v>2.3E-3</v>
      </c>
      <c r="F48" s="331">
        <f>F14*Inputs!$C$55</f>
        <v>2.3E-3</v>
      </c>
      <c r="G48" s="331">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0</v>
      </c>
      <c r="D50" s="331">
        <f>D16*Inputs!$C$57</f>
        <v>0.17</v>
      </c>
      <c r="E50" s="331">
        <f>E16*Inputs!$C$57</f>
        <v>7.4054368247351052E-2</v>
      </c>
      <c r="F50" s="331">
        <f>F16*Inputs!$C$57</f>
        <v>8.7388492617682834E-2</v>
      </c>
      <c r="G50" s="331">
        <f>G16*Inputs!$C$57</f>
        <v>0.10044350043425396</v>
      </c>
      <c r="H50" s="14">
        <f>H16*Inputs!$C$57</f>
        <v>0.10068363244745526</v>
      </c>
      <c r="I50" s="14">
        <f>I16*Inputs!$C$57</f>
        <v>0.10138018064964389</v>
      </c>
      <c r="J50" s="14">
        <f>J16*Inputs!$C$57</f>
        <v>0.10201754629147126</v>
      </c>
      <c r="K50" s="14">
        <f>K16*Inputs!$C$57</f>
        <v>0.10201003995136357</v>
      </c>
      <c r="L50" s="14">
        <f>L16*Inputs!$C$57</f>
        <v>0.10199711203751953</v>
      </c>
      <c r="M50" s="14">
        <f>M16*Inputs!$C$57</f>
        <v>0.10198665867639393</v>
      </c>
      <c r="N50" s="190">
        <f>N16*Inputs!$C$57</f>
        <v>0.10202100712176482</v>
      </c>
      <c r="O50" s="14">
        <f>O16*Inputs!$C$57</f>
        <v>0.1020316671877714</v>
      </c>
      <c r="P50" s="14">
        <f>P16*Inputs!$C$57</f>
        <v>0.10204358520062534</v>
      </c>
      <c r="Q50" s="14">
        <f>Q16*Inputs!$C$57</f>
        <v>0.10205786555497656</v>
      </c>
      <c r="R50" s="14">
        <f>R16*Inputs!$C$57</f>
        <v>0.10212191453882231</v>
      </c>
      <c r="S50" s="14">
        <f>S16*Inputs!$C$57</f>
        <v>0.10221460691332293</v>
      </c>
      <c r="T50" s="14">
        <f>T16*Inputs!$C$57</f>
        <v>0.10235931804759424</v>
      </c>
      <c r="U50" s="14">
        <f>U16*Inputs!$C$57</f>
        <v>0.10251910682647213</v>
      </c>
      <c r="V50" s="14">
        <f>V16*Inputs!$C$57</f>
        <v>0.10267676359214868</v>
      </c>
      <c r="W50" s="14">
        <f>W16*Inputs!$C$57</f>
        <v>0.10284023171790864</v>
      </c>
      <c r="X50" s="187">
        <f>X16*Inputs!$C$57</f>
        <v>0.10302761855132883</v>
      </c>
      <c r="Y50" s="14">
        <f>Y16*Inputs!$C$57</f>
        <v>0.10317922181691852</v>
      </c>
      <c r="Z50" s="14">
        <f>Z16*Inputs!$C$57</f>
        <v>0.10332892930345666</v>
      </c>
      <c r="AA50" s="14">
        <f>AA16*Inputs!$C$57</f>
        <v>0.10361489664755952</v>
      </c>
      <c r="AB50" s="14">
        <f>AB16*Inputs!$C$57</f>
        <v>0.10408397498697239</v>
      </c>
      <c r="AC50" s="14">
        <f>AC16*Inputs!$C$57</f>
        <v>0.10440561959353831</v>
      </c>
      <c r="AD50" s="14">
        <f>AD16*Inputs!$C$57</f>
        <v>0.10460865103352442</v>
      </c>
      <c r="AE50" s="14">
        <f>AE16*Inputs!$C$57</f>
        <v>0.10520889247872155</v>
      </c>
      <c r="AF50" s="14">
        <f>AF16*Inputs!$C$57</f>
        <v>0.10566068438422789</v>
      </c>
      <c r="AG50" s="14">
        <f>AG16*Inputs!$C$57</f>
        <v>0.10657659961785651</v>
      </c>
      <c r="AH50" s="14">
        <f>AH16*Inputs!$C$57</f>
        <v>0.10785597880840715</v>
      </c>
    </row>
    <row r="51" spans="1:34" s="20" customFormat="1" ht="15">
      <c r="A51" s="8" t="s">
        <v>128</v>
      </c>
      <c r="B51" s="38"/>
      <c r="C51" s="334">
        <f t="shared" ref="C51:AH51" si="21">SUMPRODUCT($B42:$B50,C42:C50)</f>
        <v>96.589674000000016</v>
      </c>
      <c r="D51" s="334">
        <f t="shared" si="21"/>
        <v>104.44261999999999</v>
      </c>
      <c r="E51" s="334">
        <f t="shared" si="21"/>
        <v>146.37071743419338</v>
      </c>
      <c r="F51" s="334">
        <f t="shared" si="21"/>
        <v>170.24721120941177</v>
      </c>
      <c r="G51" s="334">
        <f t="shared" si="21"/>
        <v>253.26845251365836</v>
      </c>
      <c r="H51" s="19">
        <f t="shared" si="21"/>
        <v>298.52201738302125</v>
      </c>
      <c r="I51" s="19">
        <f t="shared" si="21"/>
        <v>366.99674215543422</v>
      </c>
      <c r="J51" s="19">
        <f t="shared" si="21"/>
        <v>474.43635392704539</v>
      </c>
      <c r="K51" s="19">
        <f t="shared" si="21"/>
        <v>657.12854233932069</v>
      </c>
      <c r="L51" s="19">
        <f t="shared" si="21"/>
        <v>951.95246787439146</v>
      </c>
      <c r="M51" s="19">
        <f t="shared" si="21"/>
        <v>1093.1657956475699</v>
      </c>
      <c r="N51" s="190">
        <f t="shared" si="21"/>
        <v>1217.8399476204761</v>
      </c>
      <c r="O51" s="19">
        <f t="shared" si="21"/>
        <v>1234.9594038252276</v>
      </c>
      <c r="P51" s="19">
        <f t="shared" si="21"/>
        <v>1263.2952309386201</v>
      </c>
      <c r="Q51" s="19">
        <f t="shared" si="21"/>
        <v>1428.3941127424036</v>
      </c>
      <c r="R51" s="19">
        <f t="shared" si="21"/>
        <v>1507.0234917277501</v>
      </c>
      <c r="S51" s="19">
        <f t="shared" si="21"/>
        <v>1628.1323018252326</v>
      </c>
      <c r="T51" s="19">
        <f t="shared" si="21"/>
        <v>1715.9398545450504</v>
      </c>
      <c r="U51" s="19">
        <f t="shared" si="21"/>
        <v>1791.9976375147291</v>
      </c>
      <c r="V51" s="19">
        <f t="shared" si="21"/>
        <v>1875.999084064666</v>
      </c>
      <c r="W51" s="19">
        <f t="shared" si="21"/>
        <v>1959.3979297191486</v>
      </c>
      <c r="X51" s="182">
        <f t="shared" si="21"/>
        <v>2097.024978887343</v>
      </c>
      <c r="Y51" s="19">
        <f t="shared" si="21"/>
        <v>2223.5147331231342</v>
      </c>
      <c r="Z51" s="19">
        <f t="shared" si="21"/>
        <v>2322.3173899655867</v>
      </c>
      <c r="AA51" s="19">
        <f t="shared" si="21"/>
        <v>2409.8291702774154</v>
      </c>
      <c r="AB51" s="19">
        <f t="shared" si="21"/>
        <v>2499.5236073167712</v>
      </c>
      <c r="AC51" s="19">
        <f t="shared" si="21"/>
        <v>2583.1627364109168</v>
      </c>
      <c r="AD51" s="19">
        <f t="shared" si="21"/>
        <v>2664.2818004973597</v>
      </c>
      <c r="AE51" s="19">
        <f t="shared" si="21"/>
        <v>2750.0115558604584</v>
      </c>
      <c r="AF51" s="19">
        <f t="shared" si="21"/>
        <v>2834.1110658466246</v>
      </c>
      <c r="AG51" s="19">
        <f t="shared" si="21"/>
        <v>2909.45795941598</v>
      </c>
      <c r="AH51" s="19">
        <f t="shared" si="21"/>
        <v>2989.5311518803142</v>
      </c>
    </row>
    <row r="52" spans="1:34" s="20" customFormat="1" ht="15">
      <c r="A52" s="27" t="s">
        <v>329</v>
      </c>
      <c r="B52" s="39"/>
      <c r="C52" s="334">
        <f>SUM(C40:C50)</f>
        <v>2416.9381740000003</v>
      </c>
      <c r="D52" s="334">
        <f t="shared" ref="D52:I52" si="22">SUM(D42:D50)</f>
        <v>2313.6511200000004</v>
      </c>
      <c r="E52" s="334">
        <f t="shared" si="22"/>
        <v>2654.9419705562614</v>
      </c>
      <c r="F52" s="334">
        <f t="shared" si="22"/>
        <v>2616.6392687157067</v>
      </c>
      <c r="G52" s="334">
        <f t="shared" si="22"/>
        <v>2712.4388270122631</v>
      </c>
      <c r="H52" s="19">
        <f t="shared" si="22"/>
        <v>2790.2777011063899</v>
      </c>
      <c r="I52" s="19">
        <f t="shared" si="22"/>
        <v>2944.9622424878207</v>
      </c>
      <c r="J52" s="19">
        <f t="shared" ref="J52:AH52" si="23">SUM(J42:J50)</f>
        <v>3081.77599370289</v>
      </c>
      <c r="K52" s="19">
        <f t="shared" si="23"/>
        <v>3278.6681849980801</v>
      </c>
      <c r="L52" s="19">
        <f t="shared" si="23"/>
        <v>3505.835688133152</v>
      </c>
      <c r="M52" s="19">
        <f t="shared" si="23"/>
        <v>3578.9050155063292</v>
      </c>
      <c r="N52" s="190">
        <f t="shared" si="23"/>
        <v>3662.9027815200307</v>
      </c>
      <c r="O52" s="19">
        <f t="shared" si="23"/>
        <v>3686.3235238295638</v>
      </c>
      <c r="P52" s="19">
        <f t="shared" si="23"/>
        <v>3714.659292142956</v>
      </c>
      <c r="Q52" s="19">
        <f t="shared" si="23"/>
        <v>3901.8297563795022</v>
      </c>
      <c r="R52" s="19">
        <f t="shared" si="23"/>
        <v>3980.4591941648487</v>
      </c>
      <c r="S52" s="19">
        <f t="shared" si="23"/>
        <v>4101.5679454623314</v>
      </c>
      <c r="T52" s="19">
        <f t="shared" si="23"/>
        <v>4189.3755569821496</v>
      </c>
      <c r="U52" s="19">
        <f t="shared" si="23"/>
        <v>4265.433281151827</v>
      </c>
      <c r="V52" s="19">
        <f t="shared" si="23"/>
        <v>4352.9727729492524</v>
      </c>
      <c r="W52" s="19">
        <f t="shared" si="23"/>
        <v>4436.3716774037348</v>
      </c>
      <c r="X52" s="182">
        <f t="shared" si="23"/>
        <v>4576.3012136495217</v>
      </c>
      <c r="Y52" s="19">
        <f t="shared" si="23"/>
        <v>4709.6043803350422</v>
      </c>
      <c r="Z52" s="19">
        <f t="shared" si="23"/>
        <v>4814.3606749974551</v>
      </c>
      <c r="AA52" s="19">
        <f t="shared" si="23"/>
        <v>4901.872396509285</v>
      </c>
      <c r="AB52" s="19">
        <f t="shared" si="23"/>
        <v>4999.7015799511382</v>
      </c>
      <c r="AC52" s="19">
        <f t="shared" si="23"/>
        <v>5090.5702822150843</v>
      </c>
      <c r="AD52" s="19">
        <f t="shared" si="23"/>
        <v>5174.644536049369</v>
      </c>
      <c r="AE52" s="19">
        <f t="shared" si="23"/>
        <v>5260.3742914124678</v>
      </c>
      <c r="AF52" s="19">
        <f t="shared" si="23"/>
        <v>5344.4738013986334</v>
      </c>
      <c r="AG52" s="19">
        <f t="shared" si="23"/>
        <v>5419.8206949679898</v>
      </c>
      <c r="AH52" s="19">
        <f t="shared" si="23"/>
        <v>5499.8939462323242</v>
      </c>
    </row>
    <row r="53" spans="1:34" s="20" customFormat="1" ht="15">
      <c r="A53" s="27" t="s">
        <v>330</v>
      </c>
      <c r="B53" s="39"/>
      <c r="C53" s="334">
        <f>C20*Inputs!$C$60</f>
        <v>2657.82</v>
      </c>
      <c r="D53" s="334">
        <f>D20*Inputs!$C$60</f>
        <v>2603.48</v>
      </c>
      <c r="E53" s="334">
        <f>E20*Inputs!$C$60</f>
        <v>2852.1159808534517</v>
      </c>
      <c r="F53" s="334">
        <f>F20*Inputs!$C$60</f>
        <v>2412.8870849134642</v>
      </c>
      <c r="G53" s="334">
        <f>G20*Inputs!$C$60</f>
        <v>2778.6788999701612</v>
      </c>
      <c r="H53" s="19">
        <f>H20*Inputs!$C$60</f>
        <v>2777.0674660221507</v>
      </c>
      <c r="I53" s="19">
        <f>I20*Inputs!$C$60</f>
        <v>2714.8216642594975</v>
      </c>
      <c r="J53" s="19">
        <f>J20*Inputs!$C$60</f>
        <v>2689.4442027945711</v>
      </c>
      <c r="K53" s="19">
        <f>K20*Inputs!$C$60</f>
        <v>2733.8331161505321</v>
      </c>
      <c r="L53" s="19">
        <f>L20*Inputs!$C$60</f>
        <v>2766.5357951612264</v>
      </c>
      <c r="M53" s="19">
        <f>M20*Inputs!$C$60</f>
        <v>2790.8064396497375</v>
      </c>
      <c r="N53" s="190">
        <f>N20*Inputs!$C$60</f>
        <v>2802.7561017398803</v>
      </c>
      <c r="O53" s="19">
        <f>O20*Inputs!$C$60</f>
        <v>2823.1470384289992</v>
      </c>
      <c r="P53" s="19">
        <f>P20*Inputs!$C$60</f>
        <v>2832.749623235055</v>
      </c>
      <c r="Q53" s="19">
        <f>Q20*Inputs!$C$60</f>
        <v>2831.0107165609656</v>
      </c>
      <c r="R53" s="19">
        <f>R20*Inputs!$C$60</f>
        <v>2843.3300245009727</v>
      </c>
      <c r="S53" s="19">
        <f>S20*Inputs!$C$60</f>
        <v>2849.2676477368145</v>
      </c>
      <c r="T53" s="19">
        <f>T20*Inputs!$C$60</f>
        <v>2848.2732394723939</v>
      </c>
      <c r="U53" s="19">
        <f>U20*Inputs!$C$60</f>
        <v>2850.0757388972188</v>
      </c>
      <c r="V53" s="19">
        <f>V20*Inputs!$C$60</f>
        <v>2849.4162834165541</v>
      </c>
      <c r="W53" s="19">
        <f>W20*Inputs!$C$60</f>
        <v>2848.4302229992895</v>
      </c>
      <c r="X53" s="182">
        <f>X20*Inputs!$C$60</f>
        <v>2835.4852237481168</v>
      </c>
      <c r="Y53" s="19">
        <f>Y20*Inputs!$C$60</f>
        <v>2826.2225295446324</v>
      </c>
      <c r="Z53" s="19">
        <f>Z20*Inputs!$C$60</f>
        <v>2821.3529724075966</v>
      </c>
      <c r="AA53" s="19">
        <f>AA20*Inputs!$C$60</f>
        <v>2818.8476954753969</v>
      </c>
      <c r="AB53" s="19">
        <f>AB20*Inputs!$C$60</f>
        <v>2817.4454221545866</v>
      </c>
      <c r="AC53" s="19">
        <f>AC20*Inputs!$C$60</f>
        <v>2815.6394699232878</v>
      </c>
      <c r="AD53" s="19">
        <f>AD20*Inputs!$C$60</f>
        <v>2814.2210631350608</v>
      </c>
      <c r="AE53" s="19">
        <f>AE20*Inputs!$C$60</f>
        <v>2811.4436867192489</v>
      </c>
      <c r="AF53" s="19">
        <f>AF20*Inputs!$C$60</f>
        <v>2808.8424645452137</v>
      </c>
      <c r="AG53" s="19">
        <f>AG20*Inputs!$C$60</f>
        <v>2807.1653783849074</v>
      </c>
      <c r="AH53" s="19">
        <f>AH20*Inputs!$C$60</f>
        <v>2805.2854810946151</v>
      </c>
    </row>
    <row r="54" spans="1:34" s="20" customFormat="1" ht="15">
      <c r="A54" s="27" t="s">
        <v>222</v>
      </c>
      <c r="B54" s="39"/>
      <c r="C54" s="334">
        <f>C21*Inputs!$C$61</f>
        <v>194.48</v>
      </c>
      <c r="D54" s="334">
        <f>D21*Inputs!$C$61</f>
        <v>318.67</v>
      </c>
      <c r="E54" s="334">
        <f>E21*Inputs!$C$61</f>
        <v>421.12581230750521</v>
      </c>
      <c r="F54" s="334">
        <f>F21*Inputs!$C$61</f>
        <v>599.71848958100134</v>
      </c>
      <c r="G54" s="334">
        <f>G21*Inputs!$C$61</f>
        <v>487.09378263519352</v>
      </c>
      <c r="H54" s="19">
        <f>H21*Inputs!$C$61</f>
        <v>468.33611453861437</v>
      </c>
      <c r="I54" s="19">
        <f>I21*Inputs!$C$61</f>
        <v>517.85530259541997</v>
      </c>
      <c r="J54" s="19">
        <f>J21*Inputs!$C$61</f>
        <v>594.42682241153204</v>
      </c>
      <c r="K54" s="19">
        <f>K21*Inputs!$C$61</f>
        <v>610.87777978444967</v>
      </c>
      <c r="L54" s="19">
        <f>L21*Inputs!$C$61</f>
        <v>625.58285525723886</v>
      </c>
      <c r="M54" s="19">
        <f>M21*Inputs!$C$61</f>
        <v>635.41932734158809</v>
      </c>
      <c r="N54" s="190">
        <f>N21*Inputs!$C$61</f>
        <v>640.79071393120546</v>
      </c>
      <c r="O54" s="19">
        <f>O21*Inputs!$C$61</f>
        <v>628.6472136526811</v>
      </c>
      <c r="P54" s="19">
        <f>P21*Inputs!$C$61</f>
        <v>637.41926716560863</v>
      </c>
      <c r="Q54" s="19">
        <f>Q21*Inputs!$C$61</f>
        <v>662.74970320916111</v>
      </c>
      <c r="R54" s="19">
        <f>R21*Inputs!$C$61</f>
        <v>659.69208891707046</v>
      </c>
      <c r="S54" s="19">
        <f>S21*Inputs!$C$61</f>
        <v>660.0003828171499</v>
      </c>
      <c r="T54" s="19">
        <f>T21*Inputs!$C$61</f>
        <v>696.37373467006296</v>
      </c>
      <c r="U54" s="19">
        <f>U21*Inputs!$C$61</f>
        <v>708.68349082465079</v>
      </c>
      <c r="V54" s="19">
        <f>V21*Inputs!$C$61</f>
        <v>704.24898546267207</v>
      </c>
      <c r="W54" s="19">
        <f>W21*Inputs!$C$61</f>
        <v>713.77734812305107</v>
      </c>
      <c r="X54" s="182">
        <f>X21*Inputs!$C$61</f>
        <v>707.64108497224663</v>
      </c>
      <c r="Y54" s="19">
        <f>Y21*Inputs!$C$61</f>
        <v>747.92368293159871</v>
      </c>
      <c r="Z54" s="19">
        <f>Z21*Inputs!$C$61</f>
        <v>784.39571663265792</v>
      </c>
      <c r="AA54" s="19">
        <f>AA21*Inputs!$C$61</f>
        <v>824.71893365723247</v>
      </c>
      <c r="AB54" s="19">
        <f>AB21*Inputs!$C$61</f>
        <v>855.50048429083495</v>
      </c>
      <c r="AC54" s="19">
        <f>AC21*Inputs!$C$61</f>
        <v>879.07555293011785</v>
      </c>
      <c r="AD54" s="19">
        <f>AD21*Inputs!$C$61</f>
        <v>906.13939943076969</v>
      </c>
      <c r="AE54" s="19">
        <f>AE21*Inputs!$C$61</f>
        <v>926.85506692238596</v>
      </c>
      <c r="AF54" s="19">
        <f>AF21*Inputs!$C$61</f>
        <v>941.19738085123583</v>
      </c>
      <c r="AG54" s="19">
        <f>AG21*Inputs!$C$61</f>
        <v>942.35465525785753</v>
      </c>
      <c r="AH54" s="19">
        <f>AH21*Inputs!$C$61</f>
        <v>950.21731019331696</v>
      </c>
    </row>
    <row r="55" spans="1:34" s="20" customFormat="1" ht="15">
      <c r="A55" s="27" t="s">
        <v>58</v>
      </c>
      <c r="B55" s="39"/>
      <c r="C55" s="334">
        <f>SUM(C52:C54)</f>
        <v>5269.2381740000001</v>
      </c>
      <c r="D55" s="334">
        <f t="shared" ref="D55:AH55" si="24">SUM(D52:D54)</f>
        <v>5235.8011200000001</v>
      </c>
      <c r="E55" s="334">
        <f t="shared" si="24"/>
        <v>5928.1837637172184</v>
      </c>
      <c r="F55" s="334">
        <f t="shared" si="24"/>
        <v>5629.2448432101728</v>
      </c>
      <c r="G55" s="334">
        <f t="shared" si="24"/>
        <v>5978.2115096176176</v>
      </c>
      <c r="H55" s="19">
        <f t="shared" si="24"/>
        <v>6035.6812816671545</v>
      </c>
      <c r="I55" s="19">
        <f t="shared" si="24"/>
        <v>6177.6392093427376</v>
      </c>
      <c r="J55" s="19">
        <f t="shared" si="24"/>
        <v>6365.6470189089932</v>
      </c>
      <c r="K55" s="19">
        <f t="shared" si="24"/>
        <v>6623.3790809330612</v>
      </c>
      <c r="L55" s="19">
        <f t="shared" si="24"/>
        <v>6897.9543385516172</v>
      </c>
      <c r="M55" s="19">
        <f t="shared" si="24"/>
        <v>7005.1307824976539</v>
      </c>
      <c r="N55" s="190">
        <f t="shared" si="24"/>
        <v>7106.4495971911165</v>
      </c>
      <c r="O55" s="19">
        <f t="shared" si="24"/>
        <v>7138.1177759112434</v>
      </c>
      <c r="P55" s="19">
        <f t="shared" si="24"/>
        <v>7184.8281825436197</v>
      </c>
      <c r="Q55" s="19">
        <f t="shared" si="24"/>
        <v>7395.5901761496298</v>
      </c>
      <c r="R55" s="19">
        <f t="shared" si="24"/>
        <v>7483.4813075828915</v>
      </c>
      <c r="S55" s="19">
        <f t="shared" si="24"/>
        <v>7610.8359760162966</v>
      </c>
      <c r="T55" s="19">
        <f t="shared" si="24"/>
        <v>7734.0225311246058</v>
      </c>
      <c r="U55" s="19">
        <f t="shared" si="24"/>
        <v>7824.1925108736968</v>
      </c>
      <c r="V55" s="19">
        <f t="shared" si="24"/>
        <v>7906.638041828478</v>
      </c>
      <c r="W55" s="19">
        <f t="shared" si="24"/>
        <v>7998.5792485260754</v>
      </c>
      <c r="X55" s="182">
        <f t="shared" si="24"/>
        <v>8119.427522369886</v>
      </c>
      <c r="Y55" s="19">
        <f t="shared" si="24"/>
        <v>8283.7505928112732</v>
      </c>
      <c r="Z55" s="19">
        <f t="shared" si="24"/>
        <v>8420.1093640377094</v>
      </c>
      <c r="AA55" s="19">
        <f t="shared" si="24"/>
        <v>8545.4390256419138</v>
      </c>
      <c r="AB55" s="19">
        <f t="shared" si="24"/>
        <v>8672.6474863965595</v>
      </c>
      <c r="AC55" s="19">
        <f t="shared" si="24"/>
        <v>8785.2853050684898</v>
      </c>
      <c r="AD55" s="19">
        <f t="shared" si="24"/>
        <v>8895.0049986151989</v>
      </c>
      <c r="AE55" s="19">
        <f t="shared" si="24"/>
        <v>8998.6730450541036</v>
      </c>
      <c r="AF55" s="19">
        <f t="shared" si="24"/>
        <v>9094.5136467950833</v>
      </c>
      <c r="AG55" s="19">
        <f t="shared" si="24"/>
        <v>9169.340728610754</v>
      </c>
      <c r="AH55" s="19">
        <f t="shared" si="24"/>
        <v>9255.3967375202556</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376</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255.01365000000001</v>
      </c>
      <c r="D60" s="331">
        <f>D42*Inputs!$H48</f>
        <v>225.04364999999999</v>
      </c>
      <c r="E60" s="331">
        <f>E42*Inputs!$H48</f>
        <v>363.82067488986036</v>
      </c>
      <c r="F60" s="331">
        <f>F42*Inputs!$H48</f>
        <v>285.43652955566535</v>
      </c>
      <c r="G60" s="331">
        <f>G42*Inputs!$H48</f>
        <v>366.47341856874374</v>
      </c>
      <c r="H60" s="14">
        <f>H42*Inputs!$H48</f>
        <v>392.42601767103156</v>
      </c>
      <c r="I60" s="14">
        <f>I42*Inputs!$H48</f>
        <v>416.52897149914742</v>
      </c>
      <c r="J60" s="14">
        <f>J42*Inputs!$H48</f>
        <v>423.90051099825968</v>
      </c>
      <c r="K60" s="14">
        <f>K42*Inputs!$H48</f>
        <v>466.9323979128834</v>
      </c>
      <c r="L60" s="14">
        <f>L42*Inputs!$H48</f>
        <v>466.9323979128834</v>
      </c>
      <c r="M60" s="14">
        <f>M42*Inputs!$H48</f>
        <v>466.9323979128834</v>
      </c>
      <c r="N60" s="190">
        <f>N42*Inputs!$H48</f>
        <v>466.93236086959911</v>
      </c>
      <c r="O60" s="14">
        <f>O42*Inputs!$H48</f>
        <v>472.60346544390183</v>
      </c>
      <c r="P60" s="14">
        <f>P42*Inputs!$H48</f>
        <v>472.60346544390183</v>
      </c>
      <c r="Q60" s="14">
        <f>Q42*Inputs!$H48</f>
        <v>492.46788963338838</v>
      </c>
      <c r="R60" s="14">
        <f>R42*Inputs!$H48</f>
        <v>492.46788963338838</v>
      </c>
      <c r="S60" s="14">
        <f>S42*Inputs!$H48</f>
        <v>492.46788963338838</v>
      </c>
      <c r="T60" s="14">
        <f>T42*Inputs!$H48</f>
        <v>492.46788963338838</v>
      </c>
      <c r="U60" s="14">
        <f>U42*Inputs!$H48</f>
        <v>492.46788963338838</v>
      </c>
      <c r="V60" s="14">
        <f>V42*Inputs!$H48</f>
        <v>495.65213035612788</v>
      </c>
      <c r="W60" s="14">
        <f>W42*Inputs!$H48</f>
        <v>495.65213035612788</v>
      </c>
      <c r="X60" s="187">
        <f>X42*Inputs!$H48</f>
        <v>497.72436872595995</v>
      </c>
      <c r="Y60" s="14">
        <f>Y42*Inputs!$H48</f>
        <v>503.85643993071608</v>
      </c>
      <c r="Z60" s="14">
        <f>Z42*Inputs!$H48</f>
        <v>509.21471396868174</v>
      </c>
      <c r="AA60" s="14">
        <f>AA42*Inputs!$H48</f>
        <v>509.21471396868174</v>
      </c>
      <c r="AB60" s="14">
        <f>AB42*Inputs!$H48</f>
        <v>516.53598573093086</v>
      </c>
      <c r="AC60" s="14">
        <f>AC42*Inputs!$H48</f>
        <v>523.04260158375132</v>
      </c>
      <c r="AD60" s="14">
        <f>AD42*Inputs!$H48</f>
        <v>525.70227235680829</v>
      </c>
      <c r="AE60" s="14">
        <f>AE42*Inputs!$H48</f>
        <v>525.70227235680829</v>
      </c>
      <c r="AF60" s="14">
        <f>AF42*Inputs!$H48</f>
        <v>525.70227235680829</v>
      </c>
      <c r="AG60" s="14">
        <f>AG42*Inputs!$H48</f>
        <v>525.70227235680829</v>
      </c>
      <c r="AH60" s="14">
        <f>AH42*Inputs!$H48</f>
        <v>525.70227235680829</v>
      </c>
    </row>
    <row r="61" spans="1:34" ht="15">
      <c r="A61" s="8" t="s">
        <v>59</v>
      </c>
      <c r="B61" s="34">
        <v>0</v>
      </c>
      <c r="C61" s="331">
        <f>C43*Inputs!$H53</f>
        <v>1833.3000000000002</v>
      </c>
      <c r="D61" s="331">
        <f>D43*Inputs!$H53</f>
        <v>1763.2440000000001</v>
      </c>
      <c r="E61" s="331">
        <f>E43*Inputs!$H53</f>
        <v>1893.8934529200003</v>
      </c>
      <c r="F61" s="331">
        <f>F43*Inputs!$H53</f>
        <v>1916.3163222000001</v>
      </c>
      <c r="G61" s="331">
        <f>G43*Inputs!$H53</f>
        <v>1846.7799184800003</v>
      </c>
      <c r="H61" s="14">
        <f>H43*Inputs!$H53</f>
        <v>1850.1540976800002</v>
      </c>
      <c r="I61" s="14">
        <f>I43*Inputs!$H53</f>
        <v>1903.6399788000003</v>
      </c>
      <c r="J61" s="14">
        <f>J43*Inputs!$H53</f>
        <v>1922.7051648000001</v>
      </c>
      <c r="K61" s="14">
        <f>K43*Inputs!$H53</f>
        <v>1892.4532804799999</v>
      </c>
      <c r="L61" s="14">
        <f>L43*Inputs!$H53</f>
        <v>1831.5625003200003</v>
      </c>
      <c r="M61" s="14">
        <f>M43*Inputs!$H53</f>
        <v>1770.2328999599999</v>
      </c>
      <c r="N61" s="190">
        <f>N43*Inputs!$H53</f>
        <v>1733.6241896399999</v>
      </c>
      <c r="O61" s="14">
        <f>O43*Inputs!$H53</f>
        <v>1733.6242425600003</v>
      </c>
      <c r="P61" s="14">
        <f>P43*Inputs!$H53</f>
        <v>1733.6241896399999</v>
      </c>
      <c r="Q61" s="14">
        <f>Q43*Inputs!$H53</f>
        <v>1733.6241896399999</v>
      </c>
      <c r="R61" s="14">
        <f>R43*Inputs!$H53</f>
        <v>1733.6242425600003</v>
      </c>
      <c r="S61" s="14">
        <f>S43*Inputs!$H53</f>
        <v>1733.6241896399999</v>
      </c>
      <c r="T61" s="14">
        <f>T43*Inputs!$H53</f>
        <v>1733.6242425600003</v>
      </c>
      <c r="U61" s="14">
        <f>U43*Inputs!$H53</f>
        <v>1733.6241896399999</v>
      </c>
      <c r="V61" s="14">
        <f>V43*Inputs!$H53</f>
        <v>1733.6241896399999</v>
      </c>
      <c r="W61" s="14">
        <f>W43*Inputs!$H53</f>
        <v>1733.6242425600003</v>
      </c>
      <c r="X61" s="187">
        <f>X43*Inputs!$H53</f>
        <v>1733.6242425600003</v>
      </c>
      <c r="Y61" s="14">
        <f>Y43*Inputs!$H53</f>
        <v>1733.6242425600003</v>
      </c>
      <c r="Z61" s="14">
        <f>Z43*Inputs!$H53</f>
        <v>1733.6242425600003</v>
      </c>
      <c r="AA61" s="14">
        <f>AA43*Inputs!$H53</f>
        <v>1733.6241896399999</v>
      </c>
      <c r="AB61" s="14">
        <f>AB43*Inputs!$H53</f>
        <v>1733.6241896399999</v>
      </c>
      <c r="AC61" s="14">
        <f>AC43*Inputs!$H53</f>
        <v>1733.6241896399999</v>
      </c>
      <c r="AD61" s="14">
        <f>AD43*Inputs!$H53</f>
        <v>1733.6241896399999</v>
      </c>
      <c r="AE61" s="14">
        <f>AE43*Inputs!$H53</f>
        <v>1733.6241896399999</v>
      </c>
      <c r="AF61" s="14">
        <f>AF43*Inputs!$H53</f>
        <v>1733.6241896399999</v>
      </c>
      <c r="AG61" s="14">
        <f>AG43*Inputs!$H53</f>
        <v>1733.6241896399999</v>
      </c>
      <c r="AH61" s="14">
        <f>AH43*Inputs!$H53</f>
        <v>1733.6242425600003</v>
      </c>
    </row>
    <row r="62" spans="1:34" ht="15">
      <c r="A62" s="8" t="s">
        <v>121</v>
      </c>
      <c r="B62" s="34">
        <v>1</v>
      </c>
      <c r="C62" s="331">
        <f>C44*Inputs!$H46</f>
        <v>33.075000000000003</v>
      </c>
      <c r="D62" s="331">
        <f>D44*Inputs!$H46</f>
        <v>31.184999999999999</v>
      </c>
      <c r="E62" s="331">
        <f>E44*Inputs!$H46</f>
        <v>40.072083035984683</v>
      </c>
      <c r="F62" s="331">
        <f>F44*Inputs!$H46</f>
        <v>38.590856433324682</v>
      </c>
      <c r="G62" s="331">
        <f>G44*Inputs!$H46</f>
        <v>41.987401029895267</v>
      </c>
      <c r="H62" s="14">
        <f>H44*Inputs!$H46</f>
        <v>47.684435237527268</v>
      </c>
      <c r="I62" s="14">
        <f>I44*Inputs!$H46</f>
        <v>56.312216450286968</v>
      </c>
      <c r="J62" s="14">
        <f>J44*Inputs!$H46</f>
        <v>79.337591271955674</v>
      </c>
      <c r="K62" s="14">
        <f>K44*Inputs!$H46</f>
        <v>148.39097434314721</v>
      </c>
      <c r="L62" s="14">
        <f>L44*Inputs!$H46</f>
        <v>246.3643931657052</v>
      </c>
      <c r="M62" s="14">
        <f>M44*Inputs!$H46</f>
        <v>247.82410996136935</v>
      </c>
      <c r="N62" s="190">
        <f>N44*Inputs!$H46</f>
        <v>269.37639238169209</v>
      </c>
      <c r="O62" s="14">
        <f>O44*Inputs!$H46</f>
        <v>282.13351234813149</v>
      </c>
      <c r="P62" s="14">
        <f>P44*Inputs!$H46</f>
        <v>303.62679316737376</v>
      </c>
      <c r="Q62" s="14">
        <f>Q44*Inputs!$H46</f>
        <v>373.36476666042273</v>
      </c>
      <c r="R62" s="14">
        <f>R44*Inputs!$H46</f>
        <v>377.08461711767131</v>
      </c>
      <c r="S62" s="14">
        <f>S44*Inputs!$H46</f>
        <v>417.05347599331918</v>
      </c>
      <c r="T62" s="14">
        <f>T44*Inputs!$H46</f>
        <v>424.61266947078127</v>
      </c>
      <c r="U62" s="14">
        <f>U44*Inputs!$H46</f>
        <v>425.38828275100468</v>
      </c>
      <c r="V62" s="14">
        <f>V44*Inputs!$H46</f>
        <v>435.22164425147355</v>
      </c>
      <c r="W62" s="14">
        <f>W44*Inputs!$H46</f>
        <v>442.452233180782</v>
      </c>
      <c r="X62" s="187">
        <f>X44*Inputs!$H46</f>
        <v>497.73260900945434</v>
      </c>
      <c r="Y62" s="14">
        <f>Y44*Inputs!$H46</f>
        <v>533.10269406263114</v>
      </c>
      <c r="Z62" s="14">
        <f>Z44*Inputs!$H46</f>
        <v>545.51153273337218</v>
      </c>
      <c r="AA62" s="14">
        <f>AA44*Inputs!$H46</f>
        <v>547.79858945564388</v>
      </c>
      <c r="AB62" s="14">
        <f>AB44*Inputs!$H46</f>
        <v>549.2984903514614</v>
      </c>
      <c r="AC62" s="14">
        <f>AC44*Inputs!$H46</f>
        <v>549.63207852999756</v>
      </c>
      <c r="AD62" s="14">
        <f>AD44*Inputs!$H46</f>
        <v>547.32018958047513</v>
      </c>
      <c r="AE62" s="14">
        <f>AE44*Inputs!$H46</f>
        <v>550.54070318663753</v>
      </c>
      <c r="AF62" s="14">
        <f>AF44*Inputs!$H46</f>
        <v>553.76625770629028</v>
      </c>
      <c r="AG62" s="14">
        <f>AG44*Inputs!$H46</f>
        <v>553.3831769225759</v>
      </c>
      <c r="AH62" s="14">
        <f>AH44*Inputs!$H46</f>
        <v>554.78890438909593</v>
      </c>
    </row>
    <row r="63" spans="1:34" ht="15">
      <c r="A63" s="8" t="s">
        <v>50</v>
      </c>
      <c r="B63" s="34">
        <v>1</v>
      </c>
      <c r="C63" s="331">
        <f>C45*Inputs!$H49</f>
        <v>0</v>
      </c>
      <c r="D63" s="331">
        <f>D45*Inputs!$H49</f>
        <v>0</v>
      </c>
      <c r="E63" s="331">
        <f>E45*Inputs!$H49</f>
        <v>2.2500000000000003E-9</v>
      </c>
      <c r="F63" s="331">
        <f>F45*Inputs!$H49</f>
        <v>2.2500000000000003E-9</v>
      </c>
      <c r="G63" s="331">
        <f>G45*Inputs!$H49</f>
        <v>2.2500000000000003E-9</v>
      </c>
      <c r="H63" s="14">
        <f>H45*Inputs!$H49</f>
        <v>2.2500000000000003E-9</v>
      </c>
      <c r="I63" s="14">
        <f>I45*Inputs!$H49</f>
        <v>2.2500000000000003E-9</v>
      </c>
      <c r="J63" s="14">
        <f>J45*Inputs!$H49</f>
        <v>2.2500000000000003E-9</v>
      </c>
      <c r="K63" s="14">
        <f>K45*Inputs!$H49</f>
        <v>2.2500000000000003E-9</v>
      </c>
      <c r="L63" s="14">
        <f>L45*Inputs!$H49</f>
        <v>2.2500000000000003E-9</v>
      </c>
      <c r="M63" s="14">
        <f>M45*Inputs!$H49</f>
        <v>2.2500000000000003E-9</v>
      </c>
      <c r="N63" s="190">
        <f>N45*Inputs!$H49</f>
        <v>2.2500000000000003E-9</v>
      </c>
      <c r="O63" s="14">
        <f>O45*Inputs!$H49</f>
        <v>2.2500000000000003E-9</v>
      </c>
      <c r="P63" s="14">
        <f>P45*Inputs!$H49</f>
        <v>2.2500000000000003E-9</v>
      </c>
      <c r="Q63" s="14">
        <f>Q45*Inputs!$H49</f>
        <v>2.2500000000000003E-9</v>
      </c>
      <c r="R63" s="14">
        <f>R45*Inputs!$H49</f>
        <v>2.2500000000000003E-9</v>
      </c>
      <c r="S63" s="14">
        <f>S45*Inputs!$H49</f>
        <v>2.2500000000000003E-9</v>
      </c>
      <c r="T63" s="14">
        <f>T45*Inputs!$H49</f>
        <v>2.2500000000000003E-9</v>
      </c>
      <c r="U63" s="14">
        <f>U45*Inputs!$H49</f>
        <v>2.2500000000000003E-9</v>
      </c>
      <c r="V63" s="14">
        <f>V45*Inputs!$H49</f>
        <v>2.2500000000000003E-9</v>
      </c>
      <c r="W63" s="14">
        <f>W45*Inputs!$H49</f>
        <v>2.2500000000000003E-9</v>
      </c>
      <c r="X63" s="187">
        <f>X45*Inputs!$H49</f>
        <v>2.2500000000000003E-9</v>
      </c>
      <c r="Y63" s="14">
        <f>Y45*Inputs!$H49</f>
        <v>2.2500000000000003E-9</v>
      </c>
      <c r="Z63" s="14">
        <f>Z45*Inputs!$H49</f>
        <v>2.2500000000000003E-9</v>
      </c>
      <c r="AA63" s="14">
        <f>AA45*Inputs!$H49</f>
        <v>2.2500000000000003E-9</v>
      </c>
      <c r="AB63" s="14">
        <f>AB45*Inputs!$H49</f>
        <v>2.2500000000000003E-9</v>
      </c>
      <c r="AC63" s="14">
        <f>AC45*Inputs!$H49</f>
        <v>2.2500000000000003E-9</v>
      </c>
      <c r="AD63" s="14">
        <f>AD45*Inputs!$H49</f>
        <v>2.2500000000000003E-9</v>
      </c>
      <c r="AE63" s="14">
        <f>AE45*Inputs!$H49</f>
        <v>2.2500000000000003E-9</v>
      </c>
      <c r="AF63" s="14">
        <f>AF45*Inputs!$H49</f>
        <v>2.2500000000000003E-9</v>
      </c>
      <c r="AG63" s="14">
        <f>AG45*Inputs!$H49</f>
        <v>2.2500000000000003E-9</v>
      </c>
      <c r="AH63" s="14">
        <f>AH45*Inputs!$H49</f>
        <v>2.2500000000000003E-9</v>
      </c>
    </row>
    <row r="64" spans="1:34" ht="15">
      <c r="A64" s="8" t="s">
        <v>51</v>
      </c>
      <c r="B64" s="34">
        <v>1</v>
      </c>
      <c r="C64" s="331">
        <f>C46*Inputs!$H52</f>
        <v>50.76</v>
      </c>
      <c r="D64" s="331">
        <f>D46*Inputs!$H52</f>
        <v>54.945</v>
      </c>
      <c r="E64" s="331">
        <f>E46*Inputs!$H52</f>
        <v>74.192631085924319</v>
      </c>
      <c r="F64" s="331">
        <f>F46*Inputs!$H52</f>
        <v>81.783798597191435</v>
      </c>
      <c r="G64" s="331">
        <f>G46*Inputs!$H52</f>
        <v>99.707289252319171</v>
      </c>
      <c r="H64" s="14">
        <f>H46*Inputs!$H52</f>
        <v>100.11314644201686</v>
      </c>
      <c r="I64" s="14">
        <f>I46*Inputs!$H52</f>
        <v>99.486687693250971</v>
      </c>
      <c r="J64" s="14">
        <f>J46*Inputs!$H52</f>
        <v>99.492511547556887</v>
      </c>
      <c r="K64" s="14">
        <f>K46*Inputs!$H52</f>
        <v>99.495834669034025</v>
      </c>
      <c r="L64" s="14">
        <f>L46*Inputs!$H52</f>
        <v>99.494491993689721</v>
      </c>
      <c r="M64" s="14">
        <f>M46*Inputs!$H52</f>
        <v>99.489675145892036</v>
      </c>
      <c r="N64" s="190">
        <f>N46*Inputs!$H52</f>
        <v>99.476516927517935</v>
      </c>
      <c r="O64" s="14">
        <f>O46*Inputs!$H52</f>
        <v>99.468880461497236</v>
      </c>
      <c r="P64" s="14">
        <f>P46*Inputs!$H52</f>
        <v>99.461982466915899</v>
      </c>
      <c r="Q64" s="14">
        <f>Q46*Inputs!$H52</f>
        <v>99.454211733360779</v>
      </c>
      <c r="R64" s="14">
        <f>R46*Inputs!$H52</f>
        <v>100.55725309558527</v>
      </c>
      <c r="S64" s="14">
        <f>S46*Inputs!$H52</f>
        <v>100.55260408220562</v>
      </c>
      <c r="T64" s="14">
        <f>T46*Inputs!$H52</f>
        <v>100.54607532334398</v>
      </c>
      <c r="U64" s="14">
        <f>U46*Inputs!$H52</f>
        <v>100.53914376187902</v>
      </c>
      <c r="V64" s="14">
        <f>V46*Inputs!$H52</f>
        <v>100.5317758309272</v>
      </c>
      <c r="W64" s="14">
        <f>W46*Inputs!$H52</f>
        <v>100.51646933200222</v>
      </c>
      <c r="X64" s="187">
        <f>X46*Inputs!$H52</f>
        <v>100.49844391550501</v>
      </c>
      <c r="Y64" s="14">
        <f>Y46*Inputs!$H52</f>
        <v>100.48196257565375</v>
      </c>
      <c r="Z64" s="14">
        <f>Z46*Inputs!$H52</f>
        <v>100.46499451599017</v>
      </c>
      <c r="AA64" s="14">
        <f>AA46*Inputs!$H52</f>
        <v>100.44752295307251</v>
      </c>
      <c r="AB64" s="14">
        <f>AB46*Inputs!$H52</f>
        <v>102.60354067062096</v>
      </c>
      <c r="AC64" s="14">
        <f>AC46*Inputs!$H52</f>
        <v>102.5939069750256</v>
      </c>
      <c r="AD64" s="14">
        <f>AD46*Inputs!$H52</f>
        <v>102.58313200538764</v>
      </c>
      <c r="AE64" s="14">
        <f>AE46*Inputs!$H52</f>
        <v>102.57173604840288</v>
      </c>
      <c r="AF64" s="14">
        <f>AF46*Inputs!$H52</f>
        <v>102.56114569662473</v>
      </c>
      <c r="AG64" s="14">
        <f>AG46*Inputs!$H52</f>
        <v>102.55079031303187</v>
      </c>
      <c r="AH64" s="14">
        <f>AH46*Inputs!$H52</f>
        <v>102.54157620348161</v>
      </c>
    </row>
    <row r="65" spans="1:34" ht="15">
      <c r="A65" s="8" t="s">
        <v>347</v>
      </c>
      <c r="B65" s="34">
        <v>1</v>
      </c>
      <c r="C65" s="331">
        <f>C47*Inputs!$H54</f>
        <v>3.0932766000000012</v>
      </c>
      <c r="D65" s="331">
        <f>D47*Inputs!$H54</f>
        <v>7.7129280000000016</v>
      </c>
      <c r="E65" s="331">
        <f>E47*Inputs!$H54</f>
        <v>17.397782635192424</v>
      </c>
      <c r="F65" s="331">
        <f>F47*Inputs!$H54</f>
        <v>32.764685412348562</v>
      </c>
      <c r="G65" s="331">
        <f>G47*Inputs!$H54</f>
        <v>86.152017827437263</v>
      </c>
      <c r="H65" s="14">
        <f>H47*Inputs!$H54</f>
        <v>120.77711869372231</v>
      </c>
      <c r="I65" s="14">
        <f>I47*Inputs!$H54</f>
        <v>174.40242163151819</v>
      </c>
      <c r="J65" s="14">
        <f>J47*Inputs!$H54</f>
        <v>248.06629992091598</v>
      </c>
      <c r="K65" s="14">
        <f>K47*Inputs!$H54</f>
        <v>343.43257005500124</v>
      </c>
      <c r="L65" s="14">
        <f>L47*Inputs!$H54</f>
        <v>510.80203852447363</v>
      </c>
      <c r="M65" s="14">
        <f>M47*Inputs!$H54</f>
        <v>636.43914298049276</v>
      </c>
      <c r="N65" s="190">
        <f>N47*Inputs!$H54</f>
        <v>727.10672464055881</v>
      </c>
      <c r="O65" s="14">
        <f>O47*Inputs!$H54</f>
        <v>729.76474213035715</v>
      </c>
      <c r="P65" s="14">
        <f>P47*Inputs!$H54</f>
        <v>733.78059298153789</v>
      </c>
      <c r="Q65" s="14">
        <f>Q47*Inputs!$H54</f>
        <v>812.63937099313023</v>
      </c>
      <c r="R65" s="14">
        <f>R47*Inputs!$H54</f>
        <v>878.58286261638341</v>
      </c>
      <c r="S65" s="14">
        <f>S47*Inputs!$H54</f>
        <v>947.61649841871258</v>
      </c>
      <c r="T65" s="14">
        <f>T47*Inputs!$H54</f>
        <v>1019.0905009079272</v>
      </c>
      <c r="U65" s="14">
        <f>U47*Inputs!$H54</f>
        <v>1086.7736800519785</v>
      </c>
      <c r="V65" s="14">
        <f>V47*Inputs!$H54</f>
        <v>1152.5488464863158</v>
      </c>
      <c r="W65" s="14">
        <f>W47*Inputs!$H54</f>
        <v>1220.3923780236532</v>
      </c>
      <c r="X65" s="187">
        <f>X47*Inputs!$H54</f>
        <v>1288.9942032147032</v>
      </c>
      <c r="Y65" s="14">
        <f>Y47*Inputs!$H54</f>
        <v>1367.4812418706508</v>
      </c>
      <c r="Z65" s="14">
        <f>Z47*Inputs!$H54</f>
        <v>1444.0116276810425</v>
      </c>
      <c r="AA65" s="14">
        <f>AA47*Inputs!$H54</f>
        <v>1520.5023874317246</v>
      </c>
      <c r="AB65" s="14">
        <f>AB47*Inputs!$H54</f>
        <v>1597.5710399832731</v>
      </c>
      <c r="AC65" s="14">
        <f>AC47*Inputs!$H54</f>
        <v>1672.5220122049172</v>
      </c>
      <c r="AD65" s="14">
        <f>AD47*Inputs!$H54</f>
        <v>1747.8516510735806</v>
      </c>
      <c r="AE65" s="14">
        <f>AE47*Inputs!$H54</f>
        <v>1821.7987730338912</v>
      </c>
      <c r="AF65" s="14">
        <f>AF47*Inputs!$H54</f>
        <v>1894.2729612408514</v>
      </c>
      <c r="AG65" s="14">
        <f>AG47*Inputs!$H54</f>
        <v>1962.477777296868</v>
      </c>
      <c r="AH65" s="14">
        <f>AH47*Inputs!$H54</f>
        <v>2033.1459857165275</v>
      </c>
    </row>
    <row r="66" spans="1:34" ht="15">
      <c r="A66" s="8" t="s">
        <v>348</v>
      </c>
      <c r="B66" s="34">
        <v>1</v>
      </c>
      <c r="C66" s="331">
        <f>C48*Inputs!$H55</f>
        <v>0</v>
      </c>
      <c r="D66" s="331">
        <f>D48*Inputs!$H55</f>
        <v>0</v>
      </c>
      <c r="E66" s="331">
        <f>E48*Inputs!$H55</f>
        <v>2.0700000000000002E-3</v>
      </c>
      <c r="F66" s="331">
        <f>F48*Inputs!$H55</f>
        <v>2.0700000000000002E-3</v>
      </c>
      <c r="G66" s="331">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0</v>
      </c>
      <c r="D68" s="331">
        <f>D50*Inputs!$H57</f>
        <v>0.15300000000000002</v>
      </c>
      <c r="E68" s="331">
        <f>E50*Inputs!$H57</f>
        <v>6.6648931422615951E-2</v>
      </c>
      <c r="F68" s="331">
        <f>F50*Inputs!$H57</f>
        <v>7.8649643355914553E-2</v>
      </c>
      <c r="G68" s="331">
        <f>G50*Inputs!$H57</f>
        <v>9.0399150390828562E-2</v>
      </c>
      <c r="H68" s="14">
        <f>H50*Inputs!$H57</f>
        <v>9.0615269202709736E-2</v>
      </c>
      <c r="I68" s="14">
        <f>I50*Inputs!$H57</f>
        <v>9.1242162584679501E-2</v>
      </c>
      <c r="J68" s="14">
        <f>J50*Inputs!$H57</f>
        <v>9.1815791662324134E-2</v>
      </c>
      <c r="K68" s="14">
        <f>K50*Inputs!$H57</f>
        <v>9.180903595622722E-2</v>
      </c>
      <c r="L68" s="14">
        <f>L50*Inputs!$H57</f>
        <v>9.1797400833767584E-2</v>
      </c>
      <c r="M68" s="14">
        <f>M50*Inputs!$H57</f>
        <v>9.1787992808754548E-2</v>
      </c>
      <c r="N68" s="190">
        <f>N50*Inputs!$H57</f>
        <v>9.1818906409588341E-2</v>
      </c>
      <c r="O68" s="14">
        <f>O50*Inputs!$H57</f>
        <v>9.1828500468994267E-2</v>
      </c>
      <c r="P68" s="14">
        <f>P50*Inputs!$H57</f>
        <v>9.183922668056281E-2</v>
      </c>
      <c r="Q68" s="14">
        <f>Q50*Inputs!$H57</f>
        <v>9.1852078999478906E-2</v>
      </c>
      <c r="R68" s="14">
        <f>R50*Inputs!$H57</f>
        <v>9.1909723084940081E-2</v>
      </c>
      <c r="S68" s="14">
        <f>S50*Inputs!$H57</f>
        <v>9.1993146221990646E-2</v>
      </c>
      <c r="T68" s="14">
        <f>T50*Inputs!$H57</f>
        <v>9.2123386242834823E-2</v>
      </c>
      <c r="U68" s="14">
        <f>U50*Inputs!$H57</f>
        <v>9.226719614382492E-2</v>
      </c>
      <c r="V68" s="14">
        <f>V50*Inputs!$H57</f>
        <v>9.2409087232933812E-2</v>
      </c>
      <c r="W68" s="14">
        <f>W50*Inputs!$H57</f>
        <v>9.2556208546117777E-2</v>
      </c>
      <c r="X68" s="187">
        <f>X50*Inputs!$H57</f>
        <v>9.2724856696195956E-2</v>
      </c>
      <c r="Y68" s="14">
        <f>Y50*Inputs!$H57</f>
        <v>9.2861299635226671E-2</v>
      </c>
      <c r="Z68" s="14">
        <f>Z50*Inputs!$H57</f>
        <v>9.2996036373111005E-2</v>
      </c>
      <c r="AA68" s="14">
        <f>AA50*Inputs!$H57</f>
        <v>9.3253406982803572E-2</v>
      </c>
      <c r="AB68" s="14">
        <f>AB50*Inputs!$H57</f>
        <v>9.3675577488275152E-2</v>
      </c>
      <c r="AC68" s="14">
        <f>AC50*Inputs!$H57</f>
        <v>9.3965057634184473E-2</v>
      </c>
      <c r="AD68" s="14">
        <f>AD50*Inputs!$H57</f>
        <v>9.4147785930171979E-2</v>
      </c>
      <c r="AE68" s="14">
        <f>AE50*Inputs!$H57</f>
        <v>9.4688003230849388E-2</v>
      </c>
      <c r="AF68" s="14">
        <f>AF50*Inputs!$H57</f>
        <v>9.5094615945805108E-2</v>
      </c>
      <c r="AG68" s="14">
        <f>AG50*Inputs!$H57</f>
        <v>9.5918939656070859E-2</v>
      </c>
      <c r="AH68" s="14">
        <f>AH50*Inputs!$H57</f>
        <v>9.7070380927566438E-2</v>
      </c>
    </row>
    <row r="69" spans="1:34" s="20" customFormat="1" ht="15">
      <c r="A69" s="8" t="s">
        <v>128</v>
      </c>
      <c r="B69" s="38"/>
      <c r="C69" s="334">
        <f t="shared" ref="C69:AH69" si="25">SUMPRODUCT($B60:$B68,C60:C68)</f>
        <v>86.930706600000008</v>
      </c>
      <c r="D69" s="334">
        <f t="shared" si="25"/>
        <v>93.99835800000001</v>
      </c>
      <c r="E69" s="334">
        <f t="shared" si="25"/>
        <v>131.73364569077404</v>
      </c>
      <c r="F69" s="334">
        <f t="shared" si="25"/>
        <v>153.22249008847058</v>
      </c>
      <c r="G69" s="334">
        <f t="shared" si="25"/>
        <v>227.94160726229254</v>
      </c>
      <c r="H69" s="19">
        <f t="shared" si="25"/>
        <v>268.66981564471916</v>
      </c>
      <c r="I69" s="19">
        <f t="shared" si="25"/>
        <v>330.29706793989084</v>
      </c>
      <c r="J69" s="19">
        <f t="shared" si="25"/>
        <v>426.9927185343409</v>
      </c>
      <c r="K69" s="19">
        <f t="shared" si="25"/>
        <v>591.41568810538865</v>
      </c>
      <c r="L69" s="19">
        <f t="shared" si="25"/>
        <v>856.75722108695243</v>
      </c>
      <c r="M69" s="19">
        <f t="shared" si="25"/>
        <v>983.84921608281297</v>
      </c>
      <c r="N69" s="190">
        <f t="shared" si="25"/>
        <v>1096.0559528584283</v>
      </c>
      <c r="O69" s="19">
        <f t="shared" si="25"/>
        <v>1111.463463442705</v>
      </c>
      <c r="P69" s="19">
        <f t="shared" si="25"/>
        <v>1136.9657078447581</v>
      </c>
      <c r="Q69" s="19">
        <f t="shared" si="25"/>
        <v>1285.5547014681631</v>
      </c>
      <c r="R69" s="19">
        <f t="shared" si="25"/>
        <v>1356.3211425549748</v>
      </c>
      <c r="S69" s="19">
        <f t="shared" si="25"/>
        <v>1465.3190716427093</v>
      </c>
      <c r="T69" s="19">
        <f t="shared" si="25"/>
        <v>1544.3458690905452</v>
      </c>
      <c r="U69" s="19">
        <f t="shared" si="25"/>
        <v>1612.7978737632561</v>
      </c>
      <c r="V69" s="19">
        <f t="shared" si="25"/>
        <v>1688.3991756581995</v>
      </c>
      <c r="W69" s="19">
        <f t="shared" si="25"/>
        <v>1763.4581367472335</v>
      </c>
      <c r="X69" s="182">
        <f t="shared" si="25"/>
        <v>1887.3224809986089</v>
      </c>
      <c r="Y69" s="19">
        <f t="shared" si="25"/>
        <v>2001.1632598108208</v>
      </c>
      <c r="Z69" s="19">
        <f t="shared" si="25"/>
        <v>2090.0856509690279</v>
      </c>
      <c r="AA69" s="19">
        <f t="shared" si="25"/>
        <v>2168.8462532496737</v>
      </c>
      <c r="AB69" s="19">
        <f t="shared" si="25"/>
        <v>2249.5712465850938</v>
      </c>
      <c r="AC69" s="19">
        <f t="shared" si="25"/>
        <v>2324.8464627698245</v>
      </c>
      <c r="AD69" s="19">
        <f t="shared" si="25"/>
        <v>2397.8536204476236</v>
      </c>
      <c r="AE69" s="19">
        <f t="shared" si="25"/>
        <v>2475.0104002744119</v>
      </c>
      <c r="AF69" s="19">
        <f t="shared" si="25"/>
        <v>2550.6999592619622</v>
      </c>
      <c r="AG69" s="19">
        <f t="shared" si="25"/>
        <v>2618.5121634743819</v>
      </c>
      <c r="AH69" s="19">
        <f t="shared" si="25"/>
        <v>2690.5780366922827</v>
      </c>
    </row>
    <row r="70" spans="1:34" s="20" customFormat="1" ht="15">
      <c r="A70" s="27" t="s">
        <v>329</v>
      </c>
      <c r="B70" s="39"/>
      <c r="C70" s="334">
        <f>SUM(C58:C68)</f>
        <v>2175.2443566000002</v>
      </c>
      <c r="D70" s="334">
        <f t="shared" ref="D70:AH70" si="26">SUM(D58:D68)</f>
        <v>2082.286008</v>
      </c>
      <c r="E70" s="334">
        <f t="shared" si="26"/>
        <v>2389.4477735006349</v>
      </c>
      <c r="F70" s="334">
        <f t="shared" si="26"/>
        <v>2354.975341844136</v>
      </c>
      <c r="G70" s="334">
        <f t="shared" si="26"/>
        <v>2441.194944311037</v>
      </c>
      <c r="H70" s="19">
        <f t="shared" si="26"/>
        <v>2511.2499309957516</v>
      </c>
      <c r="I70" s="19">
        <f t="shared" si="26"/>
        <v>2650.4660182390389</v>
      </c>
      <c r="J70" s="19">
        <f t="shared" si="26"/>
        <v>2773.5983943326009</v>
      </c>
      <c r="K70" s="19">
        <f t="shared" si="26"/>
        <v>2950.8013664982723</v>
      </c>
      <c r="L70" s="19">
        <f t="shared" si="26"/>
        <v>3155.2521193198363</v>
      </c>
      <c r="M70" s="19">
        <f t="shared" si="26"/>
        <v>3221.0145139556962</v>
      </c>
      <c r="N70" s="182">
        <f t="shared" si="26"/>
        <v>3296.6125033680278</v>
      </c>
      <c r="O70" s="19">
        <f t="shared" si="26"/>
        <v>3317.6911714466069</v>
      </c>
      <c r="P70" s="19">
        <f t="shared" si="26"/>
        <v>3343.1933629286596</v>
      </c>
      <c r="Q70" s="19">
        <f t="shared" si="26"/>
        <v>3511.646780741552</v>
      </c>
      <c r="R70" s="19">
        <f t="shared" si="26"/>
        <v>3582.4132747483636</v>
      </c>
      <c r="S70" s="19">
        <f t="shared" si="26"/>
        <v>3691.411150916098</v>
      </c>
      <c r="T70" s="19">
        <f t="shared" si="26"/>
        <v>3770.4380012839338</v>
      </c>
      <c r="U70" s="19">
        <f t="shared" si="26"/>
        <v>3838.8899530366448</v>
      </c>
      <c r="V70" s="19">
        <f t="shared" si="26"/>
        <v>3917.6754956543273</v>
      </c>
      <c r="W70" s="19">
        <f t="shared" si="26"/>
        <v>3992.7345096633621</v>
      </c>
      <c r="X70" s="182">
        <f t="shared" si="26"/>
        <v>4118.6710922845677</v>
      </c>
      <c r="Y70" s="19">
        <f t="shared" si="26"/>
        <v>4238.6439423015363</v>
      </c>
      <c r="Z70" s="19">
        <f t="shared" si="26"/>
        <v>4332.9246074977091</v>
      </c>
      <c r="AA70" s="19">
        <f t="shared" si="26"/>
        <v>4411.6851568583552</v>
      </c>
      <c r="AB70" s="19">
        <f t="shared" si="26"/>
        <v>4499.731421956024</v>
      </c>
      <c r="AC70" s="19">
        <f t="shared" si="26"/>
        <v>4581.5132539935748</v>
      </c>
      <c r="AD70" s="19">
        <f t="shared" si="26"/>
        <v>4657.1800824444308</v>
      </c>
      <c r="AE70" s="19">
        <f t="shared" si="26"/>
        <v>4734.3368622712196</v>
      </c>
      <c r="AF70" s="19">
        <f t="shared" si="26"/>
        <v>4810.026421258769</v>
      </c>
      <c r="AG70" s="19">
        <f t="shared" si="26"/>
        <v>4877.8386254711895</v>
      </c>
      <c r="AH70" s="19">
        <f t="shared" si="26"/>
        <v>4949.904551609091</v>
      </c>
    </row>
    <row r="71" spans="1:34" s="20" customFormat="1" ht="15">
      <c r="A71" s="27" t="s">
        <v>142</v>
      </c>
      <c r="B71" s="39"/>
      <c r="C71" s="334">
        <f>C53*Inputs!$H$60</f>
        <v>2392.038</v>
      </c>
      <c r="D71" s="334">
        <f>D53*Inputs!$H$60</f>
        <v>2343.1320000000001</v>
      </c>
      <c r="E71" s="334">
        <f>E53*Inputs!$H$60</f>
        <v>2566.9043827681066</v>
      </c>
      <c r="F71" s="334">
        <f>F53*Inputs!$H$60</f>
        <v>2171.5983764221178</v>
      </c>
      <c r="G71" s="334">
        <f>G53*Inputs!$H$60</f>
        <v>2500.8110099731452</v>
      </c>
      <c r="H71" s="19">
        <f>H53*Inputs!$H$60</f>
        <v>2499.3607194199358</v>
      </c>
      <c r="I71" s="19">
        <f>I53*Inputs!$H$60</f>
        <v>2443.3394978335477</v>
      </c>
      <c r="J71" s="19">
        <f>J53*Inputs!$H$60</f>
        <v>2420.499782515114</v>
      </c>
      <c r="K71" s="19">
        <f>K53*Inputs!$H$60</f>
        <v>2460.449804535479</v>
      </c>
      <c r="L71" s="19">
        <f>L53*Inputs!$H$60</f>
        <v>2489.8822156451038</v>
      </c>
      <c r="M71" s="19">
        <f>M53*Inputs!$H$60</f>
        <v>2511.7257956847639</v>
      </c>
      <c r="N71" s="190">
        <f>N53*Inputs!$H$60</f>
        <v>2522.4804915658924</v>
      </c>
      <c r="O71" s="19">
        <f>O53*Inputs!$H$60</f>
        <v>2540.8323345860995</v>
      </c>
      <c r="P71" s="19">
        <f>P53*Inputs!$H$60</f>
        <v>2549.4746609115496</v>
      </c>
      <c r="Q71" s="19">
        <f>Q53*Inputs!$H$60</f>
        <v>2547.9096449048693</v>
      </c>
      <c r="R71" s="19">
        <f>R53*Inputs!$H$60</f>
        <v>2558.9970220508753</v>
      </c>
      <c r="S71" s="19">
        <f>S53*Inputs!$H$60</f>
        <v>2564.340882963133</v>
      </c>
      <c r="T71" s="19">
        <f>T53*Inputs!$H$60</f>
        <v>2563.4459155251548</v>
      </c>
      <c r="U71" s="19">
        <f>U53*Inputs!$H$60</f>
        <v>2565.0681650074971</v>
      </c>
      <c r="V71" s="19">
        <f>V53*Inputs!$H$60</f>
        <v>2564.4746550748987</v>
      </c>
      <c r="W71" s="19">
        <f>W53*Inputs!$H$60</f>
        <v>2563.5872006993604</v>
      </c>
      <c r="X71" s="182">
        <f>X53*Inputs!$H$60</f>
        <v>2551.9367013733054</v>
      </c>
      <c r="Y71" s="19">
        <f>Y53*Inputs!$H$60</f>
        <v>2543.6002765901694</v>
      </c>
      <c r="Z71" s="19">
        <f>Z53*Inputs!$H$60</f>
        <v>2539.2176751668371</v>
      </c>
      <c r="AA71" s="19">
        <f>AA53*Inputs!$H$60</f>
        <v>2536.9629259278572</v>
      </c>
      <c r="AB71" s="19">
        <f>AB53*Inputs!$H$60</f>
        <v>2535.7008799391278</v>
      </c>
      <c r="AC71" s="19">
        <f>AC53*Inputs!$H$60</f>
        <v>2534.0755229309593</v>
      </c>
      <c r="AD71" s="19">
        <f>AD53*Inputs!$H$60</f>
        <v>2532.7989568215548</v>
      </c>
      <c r="AE71" s="19">
        <f>AE53*Inputs!$H$60</f>
        <v>2530.299318047324</v>
      </c>
      <c r="AF71" s="19">
        <f>AF53*Inputs!$H$60</f>
        <v>2527.9582180906923</v>
      </c>
      <c r="AG71" s="19">
        <f>AG53*Inputs!$H$60</f>
        <v>2526.4488405464167</v>
      </c>
      <c r="AH71" s="19">
        <f>AH53*Inputs!$H$60</f>
        <v>2524.7569329851535</v>
      </c>
    </row>
    <row r="72" spans="1:34" s="20" customFormat="1" ht="15">
      <c r="A72" s="27" t="s">
        <v>222</v>
      </c>
      <c r="B72" s="39"/>
      <c r="C72" s="334">
        <f>C54*Inputs!$H$61</f>
        <v>175.03199999999998</v>
      </c>
      <c r="D72" s="334">
        <f>D54*Inputs!$H$61</f>
        <v>286.803</v>
      </c>
      <c r="E72" s="334">
        <f>E54*Inputs!$H$61</f>
        <v>379.01323107675472</v>
      </c>
      <c r="F72" s="334">
        <f>F54*Inputs!$H$61</f>
        <v>539.74664062290117</v>
      </c>
      <c r="G72" s="334">
        <f>G54*Inputs!$H$61</f>
        <v>438.38440437167418</v>
      </c>
      <c r="H72" s="19">
        <f>H54*Inputs!$H$61</f>
        <v>421.50250308475296</v>
      </c>
      <c r="I72" s="19">
        <f>I54*Inputs!$H$61</f>
        <v>466.06977233587799</v>
      </c>
      <c r="J72" s="19">
        <f>J54*Inputs!$H$61</f>
        <v>534.98414017037885</v>
      </c>
      <c r="K72" s="19">
        <f>K54*Inputs!$H$61</f>
        <v>549.79000180600474</v>
      </c>
      <c r="L72" s="19">
        <f>L54*Inputs!$H$61</f>
        <v>563.02456973151504</v>
      </c>
      <c r="M72" s="19">
        <f>M54*Inputs!$H$61</f>
        <v>571.87739460742932</v>
      </c>
      <c r="N72" s="190">
        <f>N54*Inputs!$H$61</f>
        <v>576.7116425380849</v>
      </c>
      <c r="O72" s="19">
        <f>O54*Inputs!$H$61</f>
        <v>565.78249228741299</v>
      </c>
      <c r="P72" s="19">
        <f>P54*Inputs!$H$61</f>
        <v>573.67734044904773</v>
      </c>
      <c r="Q72" s="19">
        <f>Q54*Inputs!$H$61</f>
        <v>596.47473288824506</v>
      </c>
      <c r="R72" s="19">
        <f>R54*Inputs!$H$61</f>
        <v>593.72288002536345</v>
      </c>
      <c r="S72" s="19">
        <f>S54*Inputs!$H$61</f>
        <v>594.00034453543492</v>
      </c>
      <c r="T72" s="19">
        <f>T54*Inputs!$H$61</f>
        <v>626.73636120305673</v>
      </c>
      <c r="U72" s="19">
        <f>U54*Inputs!$H$61</f>
        <v>637.81514174218569</v>
      </c>
      <c r="V72" s="19">
        <f>V54*Inputs!$H$61</f>
        <v>633.82408691640489</v>
      </c>
      <c r="W72" s="19">
        <f>W54*Inputs!$H$61</f>
        <v>642.39961331074596</v>
      </c>
      <c r="X72" s="182">
        <f>X54*Inputs!$H$61</f>
        <v>636.87697647502193</v>
      </c>
      <c r="Y72" s="19">
        <f>Y54*Inputs!$H$61</f>
        <v>673.13131463843888</v>
      </c>
      <c r="Z72" s="19">
        <f>Z54*Inputs!$H$61</f>
        <v>705.9561449693922</v>
      </c>
      <c r="AA72" s="19">
        <f>AA54*Inputs!$H$61</f>
        <v>742.24704029150928</v>
      </c>
      <c r="AB72" s="19">
        <f>AB54*Inputs!$H$61</f>
        <v>769.95043586175143</v>
      </c>
      <c r="AC72" s="19">
        <f>AC54*Inputs!$H$61</f>
        <v>791.16799763710605</v>
      </c>
      <c r="AD72" s="19">
        <f>AD54*Inputs!$H$61</f>
        <v>815.52545948769273</v>
      </c>
      <c r="AE72" s="19">
        <f>AE54*Inputs!$H$61</f>
        <v>834.16956023014734</v>
      </c>
      <c r="AF72" s="19">
        <f>AF54*Inputs!$H$61</f>
        <v>847.07764276611226</v>
      </c>
      <c r="AG72" s="19">
        <f>AG54*Inputs!$H$61</f>
        <v>848.11918973207185</v>
      </c>
      <c r="AH72" s="19">
        <f>AH54*Inputs!$H$61</f>
        <v>855.19557917398527</v>
      </c>
    </row>
    <row r="73" spans="1:34" ht="15">
      <c r="A73" s="27" t="s">
        <v>58</v>
      </c>
      <c r="C73" s="331">
        <f>SUM(C70:C72)</f>
        <v>4742.3143566000008</v>
      </c>
      <c r="D73" s="331">
        <f t="shared" ref="D73:AH73" si="27">SUM(D70:D72)</f>
        <v>4712.2210080000004</v>
      </c>
      <c r="E73" s="331">
        <f t="shared" si="27"/>
        <v>5335.3653873454969</v>
      </c>
      <c r="F73" s="331">
        <f t="shared" si="27"/>
        <v>5066.3203588891556</v>
      </c>
      <c r="G73" s="331">
        <f t="shared" si="27"/>
        <v>5380.3903586558572</v>
      </c>
      <c r="H73" s="14">
        <f t="shared" si="27"/>
        <v>5432.1131535004397</v>
      </c>
      <c r="I73" s="14">
        <f t="shared" si="27"/>
        <v>5559.8752884084652</v>
      </c>
      <c r="J73" s="14">
        <f t="shared" si="27"/>
        <v>5729.0823170180938</v>
      </c>
      <c r="K73" s="14">
        <f t="shared" si="27"/>
        <v>5961.0411728397557</v>
      </c>
      <c r="L73" s="14">
        <f t="shared" si="27"/>
        <v>6208.1589046964546</v>
      </c>
      <c r="M73" s="14">
        <f t="shared" si="27"/>
        <v>6304.6177042478885</v>
      </c>
      <c r="N73" s="190">
        <f t="shared" si="27"/>
        <v>6395.8046374720052</v>
      </c>
      <c r="O73" s="14">
        <f t="shared" si="27"/>
        <v>6424.3059983201201</v>
      </c>
      <c r="P73" s="14">
        <f t="shared" si="27"/>
        <v>6466.3453642892573</v>
      </c>
      <c r="Q73" s="14">
        <f t="shared" si="27"/>
        <v>6656.0311585346662</v>
      </c>
      <c r="R73" s="14">
        <f t="shared" si="27"/>
        <v>6735.1331768246018</v>
      </c>
      <c r="S73" s="14">
        <f t="shared" si="27"/>
        <v>6849.7523784146661</v>
      </c>
      <c r="T73" s="14">
        <f t="shared" si="27"/>
        <v>6960.6202780121457</v>
      </c>
      <c r="U73" s="14">
        <f t="shared" si="27"/>
        <v>7041.7732597863278</v>
      </c>
      <c r="V73" s="14">
        <f t="shared" si="27"/>
        <v>7115.9742376456306</v>
      </c>
      <c r="W73" s="14">
        <f t="shared" si="27"/>
        <v>7198.7213236734688</v>
      </c>
      <c r="X73" s="187">
        <f t="shared" si="27"/>
        <v>7307.4847701328954</v>
      </c>
      <c r="Y73" s="14">
        <f t="shared" si="27"/>
        <v>7455.3755335301448</v>
      </c>
      <c r="Z73" s="14">
        <f t="shared" si="27"/>
        <v>7578.0984276339386</v>
      </c>
      <c r="AA73" s="14">
        <f t="shared" si="27"/>
        <v>7690.895123077722</v>
      </c>
      <c r="AB73" s="14">
        <f t="shared" si="27"/>
        <v>7805.3827377569032</v>
      </c>
      <c r="AC73" s="14">
        <f t="shared" si="27"/>
        <v>7906.7567745616407</v>
      </c>
      <c r="AD73" s="14">
        <f t="shared" si="27"/>
        <v>8005.5044987536776</v>
      </c>
      <c r="AE73" s="14">
        <f t="shared" si="27"/>
        <v>8098.8057405486907</v>
      </c>
      <c r="AF73" s="14">
        <f t="shared" si="27"/>
        <v>8185.062282115573</v>
      </c>
      <c r="AG73" s="14">
        <f t="shared" si="27"/>
        <v>8252.4066557496772</v>
      </c>
      <c r="AH73" s="14">
        <f t="shared" si="27"/>
        <v>8329.8570637682296</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62"/>
      <c r="B1" s="562"/>
      <c r="C1" s="562"/>
      <c r="D1" s="562"/>
      <c r="E1" s="562"/>
      <c r="F1" s="562"/>
      <c r="G1" s="562"/>
      <c r="H1" s="562"/>
      <c r="I1" s="562"/>
      <c r="J1" s="562"/>
      <c r="K1" s="562"/>
      <c r="L1" s="562"/>
      <c r="M1" s="562"/>
      <c r="N1" s="562"/>
      <c r="O1" s="562"/>
      <c r="P1" s="562"/>
    </row>
    <row r="2" spans="1:16">
      <c r="A2" s="562"/>
      <c r="B2" s="562"/>
      <c r="C2" s="562"/>
      <c r="D2" s="562"/>
      <c r="E2" s="562"/>
      <c r="F2" s="562"/>
      <c r="G2" s="562"/>
      <c r="H2" s="562"/>
      <c r="I2" s="562"/>
      <c r="J2" s="562"/>
      <c r="K2" s="562"/>
      <c r="L2" s="562"/>
      <c r="M2" s="562"/>
      <c r="N2" s="562"/>
      <c r="O2" s="562"/>
      <c r="P2" s="562"/>
    </row>
    <row r="3" spans="1:16">
      <c r="A3" s="562"/>
      <c r="B3" s="562"/>
      <c r="C3" s="562"/>
      <c r="D3" s="562"/>
      <c r="E3" s="562"/>
      <c r="F3" s="562"/>
      <c r="G3" s="562"/>
      <c r="H3" s="562"/>
      <c r="I3" s="562"/>
      <c r="J3" s="562"/>
      <c r="K3" s="562"/>
      <c r="L3" s="562"/>
      <c r="M3" s="562"/>
      <c r="N3" s="562"/>
      <c r="O3" s="562"/>
      <c r="P3" s="562"/>
    </row>
    <row r="4" spans="1:16">
      <c r="A4" s="562"/>
      <c r="B4" s="562"/>
      <c r="C4" s="562"/>
      <c r="D4" s="562"/>
      <c r="E4" s="562"/>
      <c r="F4" s="562"/>
      <c r="G4" s="562"/>
      <c r="H4" s="562"/>
      <c r="I4" s="562"/>
      <c r="J4" s="562"/>
      <c r="K4" s="562"/>
      <c r="L4" s="562"/>
      <c r="M4" s="562"/>
      <c r="N4" s="562"/>
      <c r="O4" s="562"/>
      <c r="P4" s="562"/>
    </row>
    <row r="5" spans="1:16">
      <c r="A5" s="562"/>
      <c r="B5" s="562"/>
      <c r="C5" s="562"/>
      <c r="D5" s="562"/>
      <c r="E5" s="562"/>
      <c r="F5" s="562"/>
      <c r="G5" s="562"/>
      <c r="H5" s="562"/>
      <c r="I5" s="562"/>
      <c r="J5" s="562"/>
      <c r="K5" s="562"/>
      <c r="L5" s="562"/>
      <c r="M5" s="562"/>
      <c r="N5" s="562"/>
      <c r="O5" s="562"/>
      <c r="P5" s="562"/>
    </row>
    <row r="6" spans="1:16">
      <c r="A6" s="562"/>
      <c r="B6" s="562"/>
      <c r="C6" s="562"/>
      <c r="D6" s="562"/>
      <c r="E6" s="562"/>
      <c r="F6" s="562"/>
      <c r="G6" s="562"/>
      <c r="H6" s="562"/>
      <c r="I6" s="562"/>
      <c r="J6" s="562"/>
      <c r="K6" s="562"/>
      <c r="L6" s="562"/>
      <c r="M6" s="562"/>
      <c r="N6" s="562"/>
      <c r="O6" s="562"/>
      <c r="P6" s="562"/>
    </row>
    <row r="7" spans="1:16">
      <c r="A7" s="562"/>
      <c r="B7" s="562"/>
      <c r="C7" s="562"/>
      <c r="D7" s="562"/>
      <c r="E7" s="562"/>
      <c r="F7" s="562"/>
      <c r="G7" s="562"/>
      <c r="H7" s="562"/>
      <c r="I7" s="562"/>
      <c r="J7" s="562"/>
      <c r="K7" s="562"/>
      <c r="L7" s="562"/>
      <c r="M7" s="562"/>
      <c r="N7" s="562"/>
      <c r="O7" s="562"/>
      <c r="P7" s="562"/>
    </row>
    <row r="8" spans="1:16">
      <c r="A8" s="562"/>
      <c r="B8" s="562"/>
      <c r="C8" s="562"/>
      <c r="D8" s="562"/>
      <c r="E8" s="562"/>
      <c r="F8" s="562"/>
      <c r="G8" s="562"/>
      <c r="H8" s="562"/>
      <c r="I8" s="562"/>
      <c r="J8" s="562"/>
      <c r="K8" s="562"/>
      <c r="L8" s="562"/>
      <c r="M8" s="562"/>
      <c r="N8" s="562"/>
      <c r="O8" s="562"/>
      <c r="P8" s="562"/>
    </row>
    <row r="9" spans="1:16" ht="2.25" customHeight="1">
      <c r="A9" s="562"/>
      <c r="B9" s="562"/>
      <c r="C9" s="562"/>
      <c r="D9" s="562"/>
      <c r="E9" s="562"/>
      <c r="F9" s="562"/>
      <c r="G9" s="562"/>
      <c r="H9" s="562"/>
      <c r="I9" s="562"/>
      <c r="J9" s="562"/>
      <c r="K9" s="562"/>
      <c r="L9" s="562"/>
      <c r="M9" s="562"/>
      <c r="N9" s="562"/>
      <c r="O9" s="562"/>
      <c r="P9" s="562"/>
    </row>
    <row r="10" spans="1:16" ht="12" hidden="1" customHeight="1">
      <c r="A10" s="563" t="s">
        <v>212</v>
      </c>
      <c r="B10" s="565">
        <v>2000</v>
      </c>
      <c r="C10" s="566" t="s">
        <v>219</v>
      </c>
      <c r="D10" s="566" t="s">
        <v>555</v>
      </c>
      <c r="E10" s="569" t="s">
        <v>213</v>
      </c>
      <c r="F10" s="570"/>
      <c r="G10" s="565"/>
      <c r="H10" s="540" t="s">
        <v>556</v>
      </c>
      <c r="I10" s="541"/>
      <c r="J10" s="541"/>
      <c r="K10" s="541"/>
      <c r="L10" s="541"/>
      <c r="M10" s="541"/>
      <c r="N10" s="541"/>
      <c r="O10" s="542"/>
      <c r="P10" s="536"/>
    </row>
    <row r="11" spans="1:16">
      <c r="A11" s="564"/>
      <c r="B11" s="544"/>
      <c r="C11" s="567"/>
      <c r="D11" s="567"/>
      <c r="E11" s="545"/>
      <c r="F11" s="543"/>
      <c r="G11" s="544"/>
      <c r="H11" s="543" t="s">
        <v>214</v>
      </c>
      <c r="I11" s="544"/>
      <c r="J11" s="545" t="s">
        <v>215</v>
      </c>
      <c r="K11" s="544"/>
      <c r="L11" s="545" t="s">
        <v>216</v>
      </c>
      <c r="M11" s="543"/>
      <c r="N11" s="543"/>
      <c r="O11" s="544"/>
      <c r="P11" s="536"/>
    </row>
    <row r="12" spans="1:16" ht="99" customHeight="1" thickBot="1">
      <c r="A12" s="211" t="s">
        <v>217</v>
      </c>
      <c r="B12" s="211" t="s">
        <v>218</v>
      </c>
      <c r="C12" s="568"/>
      <c r="D12" s="568"/>
      <c r="E12" s="411" t="s">
        <v>557</v>
      </c>
      <c r="F12" s="435" t="s">
        <v>558</v>
      </c>
      <c r="G12" s="212" t="s">
        <v>308</v>
      </c>
      <c r="H12" s="423" t="s">
        <v>359</v>
      </c>
      <c r="I12" s="435" t="s">
        <v>559</v>
      </c>
      <c r="J12" s="411" t="s">
        <v>359</v>
      </c>
      <c r="K12" s="435" t="s">
        <v>559</v>
      </c>
      <c r="L12" s="411" t="s">
        <v>359</v>
      </c>
      <c r="M12" s="435" t="s">
        <v>559</v>
      </c>
      <c r="N12" s="212" t="s">
        <v>58</v>
      </c>
      <c r="O12" s="212" t="s">
        <v>560</v>
      </c>
      <c r="P12" s="546"/>
    </row>
    <row r="13" spans="1:16" ht="13" thickTop="1">
      <c r="A13" s="443" t="s">
        <v>561</v>
      </c>
      <c r="B13" s="443" t="s">
        <v>562</v>
      </c>
      <c r="C13" s="444">
        <v>0.85</v>
      </c>
      <c r="D13" s="445">
        <v>40</v>
      </c>
      <c r="E13" s="433">
        <v>4.29</v>
      </c>
      <c r="F13" s="446">
        <v>1.53</v>
      </c>
      <c r="G13" s="434">
        <v>0</v>
      </c>
      <c r="H13" s="447">
        <f t="shared" ref="H13:H31" si="0">E13/D13</f>
        <v>0.10725</v>
      </c>
      <c r="I13" s="434">
        <f t="shared" ref="I13:I31" si="1">F13+G13*8760/1000*C13</f>
        <v>1.53</v>
      </c>
      <c r="J13" s="448">
        <f t="shared" ref="J13:J31" si="2">H13/C13</f>
        <v>0.12617647058823531</v>
      </c>
      <c r="K13" s="434">
        <f t="shared" ref="K13:K31" si="3">I13/C13</f>
        <v>1.8</v>
      </c>
      <c r="L13" s="448">
        <f t="shared" ref="L13:M30" si="4">J13/8760*1000</f>
        <v>1.4403706688154716E-2</v>
      </c>
      <c r="M13" s="434">
        <f t="shared" si="4"/>
        <v>0.20547945205479454</v>
      </c>
      <c r="N13" s="449">
        <f t="shared" ref="N13:N31" si="5">SUM(L13:M13)</f>
        <v>0.21988315874294925</v>
      </c>
      <c r="O13" s="547">
        <f>AVERAGE(N13:N14)</f>
        <v>0.20532702121944668</v>
      </c>
      <c r="P13" s="546"/>
    </row>
    <row r="14" spans="1:16" ht="13" thickBot="1">
      <c r="A14" s="223" t="s">
        <v>563</v>
      </c>
      <c r="B14" s="223" t="s">
        <v>564</v>
      </c>
      <c r="C14" s="224">
        <v>0.85</v>
      </c>
      <c r="D14" s="225">
        <v>40</v>
      </c>
      <c r="E14" s="226">
        <v>8.5</v>
      </c>
      <c r="F14" s="432">
        <v>0.24</v>
      </c>
      <c r="G14" s="531">
        <v>0.13</v>
      </c>
      <c r="H14" s="414">
        <f t="shared" si="0"/>
        <v>0.21249999999999999</v>
      </c>
      <c r="I14" s="531">
        <f t="shared" si="1"/>
        <v>1.2079800000000001</v>
      </c>
      <c r="J14" s="427">
        <f t="shared" si="2"/>
        <v>0.25</v>
      </c>
      <c r="K14" s="531">
        <f t="shared" si="3"/>
        <v>1.4211529411764707</v>
      </c>
      <c r="L14" s="427">
        <f t="shared" si="4"/>
        <v>2.8538812785388126E-2</v>
      </c>
      <c r="M14" s="531">
        <f t="shared" si="4"/>
        <v>0.16223207091055603</v>
      </c>
      <c r="N14" s="419">
        <f t="shared" si="5"/>
        <v>0.19077088369594414</v>
      </c>
      <c r="O14" s="548"/>
      <c r="P14" s="546"/>
    </row>
    <row r="15" spans="1:16">
      <c r="A15" s="227" t="s">
        <v>565</v>
      </c>
      <c r="B15" s="227" t="s">
        <v>566</v>
      </c>
      <c r="C15" s="228">
        <v>0.9</v>
      </c>
      <c r="D15" s="229">
        <v>40</v>
      </c>
      <c r="E15" s="230">
        <f>36000/5600</f>
        <v>6.4285714285714288</v>
      </c>
      <c r="F15" s="464">
        <f>10000/5600</f>
        <v>1.7857142857142858</v>
      </c>
      <c r="G15" s="230">
        <v>0</v>
      </c>
      <c r="H15" s="412">
        <f t="shared" si="0"/>
        <v>0.16071428571428573</v>
      </c>
      <c r="I15" s="532">
        <f t="shared" si="1"/>
        <v>1.7857142857142858</v>
      </c>
      <c r="J15" s="428">
        <f t="shared" si="2"/>
        <v>0.17857142857142858</v>
      </c>
      <c r="K15" s="532">
        <f t="shared" si="3"/>
        <v>1.9841269841269842</v>
      </c>
      <c r="L15" s="428">
        <f t="shared" si="4"/>
        <v>2.0384866275277233E-2</v>
      </c>
      <c r="M15" s="532">
        <f t="shared" si="4"/>
        <v>0.22649851416974706</v>
      </c>
      <c r="N15" s="421">
        <f t="shared" si="5"/>
        <v>0.24688338044502428</v>
      </c>
      <c r="O15" s="549">
        <f>AVERAGE(N15:N17)</f>
        <v>0.24750247638375492</v>
      </c>
      <c r="P15" s="546"/>
    </row>
    <row r="16" spans="1:16">
      <c r="A16" s="217" t="s">
        <v>567</v>
      </c>
      <c r="B16" s="217" t="s">
        <v>312</v>
      </c>
      <c r="C16" s="218">
        <v>0.9</v>
      </c>
      <c r="D16" s="219">
        <v>40</v>
      </c>
      <c r="E16" s="216">
        <v>17.5</v>
      </c>
      <c r="F16" s="530">
        <v>1.7</v>
      </c>
      <c r="G16" s="216">
        <v>0</v>
      </c>
      <c r="H16" s="529">
        <f>E16/D16</f>
        <v>0.4375</v>
      </c>
      <c r="I16" s="533">
        <f>F16+G16*8760/1000*C16</f>
        <v>1.7</v>
      </c>
      <c r="J16" s="429">
        <f>H16/C16</f>
        <v>0.4861111111111111</v>
      </c>
      <c r="K16" s="533">
        <f>I16/C16</f>
        <v>1.8888888888888888</v>
      </c>
      <c r="L16" s="429">
        <f t="shared" si="4"/>
        <v>5.5492135971588023E-2</v>
      </c>
      <c r="M16" s="533">
        <f t="shared" si="4"/>
        <v>0.21562658548959918</v>
      </c>
      <c r="N16" s="420">
        <f>SUM(L16:M16)</f>
        <v>0.27111872146118721</v>
      </c>
      <c r="O16" s="550"/>
      <c r="P16" s="546"/>
    </row>
    <row r="17" spans="1:16" ht="13" thickBot="1">
      <c r="A17" s="451" t="s">
        <v>568</v>
      </c>
      <c r="B17" s="451" t="s">
        <v>562</v>
      </c>
      <c r="C17" s="452">
        <v>0.9</v>
      </c>
      <c r="D17" s="453">
        <v>40</v>
      </c>
      <c r="E17" s="438">
        <v>4</v>
      </c>
      <c r="F17" s="450">
        <v>1.67</v>
      </c>
      <c r="G17" s="438">
        <v>0</v>
      </c>
      <c r="H17" s="454">
        <f>E17/D17</f>
        <v>0.1</v>
      </c>
      <c r="I17" s="439">
        <f>F17+G17*8760/1000*C17</f>
        <v>1.67</v>
      </c>
      <c r="J17" s="441">
        <f>H17/C17</f>
        <v>0.11111111111111112</v>
      </c>
      <c r="K17" s="439">
        <f>I17/C17</f>
        <v>1.8555555555555554</v>
      </c>
      <c r="L17" s="441">
        <f t="shared" si="4"/>
        <v>1.2683916793505836E-2</v>
      </c>
      <c r="M17" s="439">
        <f t="shared" si="4"/>
        <v>0.21182141045154743</v>
      </c>
      <c r="N17" s="442">
        <f>SUM(L17:M17)</f>
        <v>0.22450532724505326</v>
      </c>
      <c r="O17" s="548"/>
      <c r="P17" s="546"/>
    </row>
    <row r="18" spans="1:16">
      <c r="A18" s="227" t="s">
        <v>569</v>
      </c>
      <c r="B18" s="227" t="s">
        <v>312</v>
      </c>
      <c r="C18" s="228">
        <v>0.85</v>
      </c>
      <c r="D18" s="229">
        <v>40</v>
      </c>
      <c r="E18" s="230">
        <v>21.3</v>
      </c>
      <c r="F18" s="464">
        <v>7.8</v>
      </c>
      <c r="G18" s="230">
        <v>0</v>
      </c>
      <c r="H18" s="412">
        <f>E18/D18</f>
        <v>0.53249999999999997</v>
      </c>
      <c r="I18" s="532">
        <f>F18+G18*8760/1000*C18</f>
        <v>7.8</v>
      </c>
      <c r="J18" s="428">
        <f>H18/C18</f>
        <v>0.62647058823529411</v>
      </c>
      <c r="K18" s="532">
        <f>I18/C18</f>
        <v>9.1764705882352935</v>
      </c>
      <c r="L18" s="428">
        <f t="shared" si="4"/>
        <v>7.1514907332796127E-2</v>
      </c>
      <c r="M18" s="532">
        <f t="shared" si="4"/>
        <v>1.0475423045930701</v>
      </c>
      <c r="N18" s="421">
        <f>SUM(L18:M18)</f>
        <v>1.1190572119258662</v>
      </c>
      <c r="O18" s="549">
        <f>AVERAGE(N18:N19)</f>
        <v>0.71885911899006172</v>
      </c>
      <c r="P18" s="546"/>
    </row>
    <row r="19" spans="1:16" ht="13" thickBot="1">
      <c r="A19" s="451" t="s">
        <v>570</v>
      </c>
      <c r="B19" s="451" t="s">
        <v>562</v>
      </c>
      <c r="C19" s="452">
        <v>0.85</v>
      </c>
      <c r="D19" s="453">
        <v>40</v>
      </c>
      <c r="E19" s="438">
        <v>3.71</v>
      </c>
      <c r="F19" s="450">
        <v>2.2799999999999998</v>
      </c>
      <c r="G19" s="438">
        <v>0</v>
      </c>
      <c r="H19" s="454">
        <f t="shared" si="0"/>
        <v>9.2749999999999999E-2</v>
      </c>
      <c r="I19" s="439">
        <f t="shared" si="1"/>
        <v>2.2799999999999998</v>
      </c>
      <c r="J19" s="441">
        <f t="shared" si="2"/>
        <v>0.10911764705882353</v>
      </c>
      <c r="K19" s="439">
        <f t="shared" si="3"/>
        <v>2.6823529411764704</v>
      </c>
      <c r="L19" s="441">
        <f t="shared" si="4"/>
        <v>1.2456352403975288E-2</v>
      </c>
      <c r="M19" s="439">
        <f t="shared" si="4"/>
        <v>0.30620467365028203</v>
      </c>
      <c r="N19" s="442">
        <f t="shared" si="5"/>
        <v>0.31866102605425733</v>
      </c>
      <c r="O19" s="548"/>
      <c r="P19" s="546"/>
    </row>
    <row r="20" spans="1:16" ht="13" thickBot="1">
      <c r="A20" s="231" t="s">
        <v>571</v>
      </c>
      <c r="B20" s="231" t="s">
        <v>562</v>
      </c>
      <c r="C20" s="232">
        <v>0.55000000000000004</v>
      </c>
      <c r="D20" s="233">
        <v>40</v>
      </c>
      <c r="E20" s="234">
        <v>5.71</v>
      </c>
      <c r="F20" s="462">
        <v>1.1399999999999999</v>
      </c>
      <c r="G20" s="234">
        <v>0</v>
      </c>
      <c r="H20" s="413">
        <f t="shared" si="0"/>
        <v>0.14274999999999999</v>
      </c>
      <c r="I20" s="235">
        <f t="shared" si="1"/>
        <v>1.1399999999999999</v>
      </c>
      <c r="J20" s="430">
        <f t="shared" si="2"/>
        <v>0.25954545454545452</v>
      </c>
      <c r="K20" s="235">
        <f t="shared" si="3"/>
        <v>2.0727272727272723</v>
      </c>
      <c r="L20" s="430">
        <f t="shared" si="4"/>
        <v>2.9628476546284761E-2</v>
      </c>
      <c r="M20" s="235">
        <f t="shared" si="4"/>
        <v>0.236612702366127</v>
      </c>
      <c r="N20" s="422">
        <f t="shared" si="5"/>
        <v>0.26624117891241178</v>
      </c>
      <c r="O20" s="235">
        <f>N20</f>
        <v>0.26624117891241178</v>
      </c>
      <c r="P20" s="536"/>
    </row>
    <row r="21" spans="1:16">
      <c r="A21" s="236" t="s">
        <v>309</v>
      </c>
      <c r="B21" s="236" t="s">
        <v>572</v>
      </c>
      <c r="C21" s="237">
        <v>0.2</v>
      </c>
      <c r="D21" s="238">
        <v>25</v>
      </c>
      <c r="E21" s="239">
        <v>37</v>
      </c>
      <c r="F21" s="468">
        <v>1</v>
      </c>
      <c r="G21" s="239">
        <v>0</v>
      </c>
      <c r="H21" s="424">
        <f>E21/D21</f>
        <v>1.48</v>
      </c>
      <c r="I21" s="534">
        <f>F21+G21*8760/1000*C21</f>
        <v>1</v>
      </c>
      <c r="J21" s="431">
        <f>H21/C21</f>
        <v>7.3999999999999995</v>
      </c>
      <c r="K21" s="534">
        <f>I21/C21</f>
        <v>5</v>
      </c>
      <c r="L21" s="431">
        <f>J21/8760*1000</f>
        <v>0.84474885844748848</v>
      </c>
      <c r="M21" s="534">
        <f>K21/8760*1000</f>
        <v>0.57077625570776247</v>
      </c>
      <c r="N21" s="426">
        <f>SUM(L21:M21)</f>
        <v>1.415525114155251</v>
      </c>
      <c r="O21" s="554">
        <f>N38</f>
        <v>0.79313246811604099</v>
      </c>
      <c r="P21" s="536"/>
    </row>
    <row r="22" spans="1:16">
      <c r="A22" s="455" t="s">
        <v>310</v>
      </c>
      <c r="B22" s="455" t="s">
        <v>221</v>
      </c>
      <c r="C22" s="456">
        <v>0.2</v>
      </c>
      <c r="D22" s="457">
        <v>25</v>
      </c>
      <c r="E22" s="458">
        <v>32.340000000000003</v>
      </c>
      <c r="F22" s="467">
        <v>0.37</v>
      </c>
      <c r="G22" s="458">
        <v>0</v>
      </c>
      <c r="H22" s="459">
        <f t="shared" si="0"/>
        <v>1.2936000000000001</v>
      </c>
      <c r="I22" s="528">
        <f t="shared" si="1"/>
        <v>0.37</v>
      </c>
      <c r="J22" s="460">
        <f t="shared" si="2"/>
        <v>6.468</v>
      </c>
      <c r="K22" s="528">
        <f t="shared" si="3"/>
        <v>1.8499999999999999</v>
      </c>
      <c r="L22" s="460">
        <f t="shared" si="4"/>
        <v>0.73835616438356166</v>
      </c>
      <c r="M22" s="528">
        <f t="shared" si="4"/>
        <v>0.21118721461187212</v>
      </c>
      <c r="N22" s="461">
        <f t="shared" si="5"/>
        <v>0.94954337899543373</v>
      </c>
      <c r="O22" s="555"/>
      <c r="P22" s="536"/>
    </row>
    <row r="23" spans="1:16" ht="13" thickBot="1">
      <c r="A23" s="451" t="s">
        <v>311</v>
      </c>
      <c r="B23" s="451" t="s">
        <v>562</v>
      </c>
      <c r="C23" s="452">
        <v>0.2</v>
      </c>
      <c r="D23" s="451">
        <v>25</v>
      </c>
      <c r="E23" s="438">
        <v>7.14</v>
      </c>
      <c r="F23" s="450">
        <v>0.12</v>
      </c>
      <c r="G23" s="465">
        <v>0</v>
      </c>
      <c r="H23" s="454">
        <f t="shared" si="0"/>
        <v>0.28559999999999997</v>
      </c>
      <c r="I23" s="438">
        <f t="shared" si="1"/>
        <v>0.12</v>
      </c>
      <c r="J23" s="450">
        <f t="shared" si="2"/>
        <v>1.4279999999999997</v>
      </c>
      <c r="K23" s="438">
        <f t="shared" si="3"/>
        <v>0.6</v>
      </c>
      <c r="L23" s="450">
        <f t="shared" si="4"/>
        <v>0.16301369863013696</v>
      </c>
      <c r="M23" s="438">
        <f t="shared" si="4"/>
        <v>6.8493150684931503E-2</v>
      </c>
      <c r="N23" s="466">
        <f t="shared" si="5"/>
        <v>0.23150684931506846</v>
      </c>
      <c r="O23" s="556"/>
      <c r="P23" s="536"/>
    </row>
    <row r="24" spans="1:16">
      <c r="A24" s="227" t="s">
        <v>433</v>
      </c>
      <c r="B24" s="227" t="s">
        <v>437</v>
      </c>
      <c r="C24" s="240">
        <v>0.4</v>
      </c>
      <c r="D24" s="229">
        <v>25</v>
      </c>
      <c r="E24" s="230">
        <f>10310/1000</f>
        <v>10.31</v>
      </c>
      <c r="F24" s="464">
        <v>1</v>
      </c>
      <c r="G24" s="230">
        <v>0</v>
      </c>
      <c r="H24" s="424">
        <f t="shared" si="0"/>
        <v>0.41240000000000004</v>
      </c>
      <c r="I24" s="534">
        <f t="shared" si="1"/>
        <v>1</v>
      </c>
      <c r="J24" s="431">
        <f t="shared" si="2"/>
        <v>1.0310000000000001</v>
      </c>
      <c r="K24" s="534">
        <f t="shared" si="3"/>
        <v>2.5</v>
      </c>
      <c r="L24" s="431">
        <f t="shared" si="4"/>
        <v>0.11769406392694066</v>
      </c>
      <c r="M24" s="534">
        <f t="shared" si="4"/>
        <v>0.28538812785388123</v>
      </c>
      <c r="N24" s="426">
        <f t="shared" si="5"/>
        <v>0.40308219178082189</v>
      </c>
      <c r="O24" s="549">
        <f>AVERAGE(N24:N25,N26)</f>
        <v>0.23028919330289191</v>
      </c>
      <c r="P24" s="536"/>
    </row>
    <row r="25" spans="1:16">
      <c r="A25" s="214" t="s">
        <v>434</v>
      </c>
      <c r="B25" s="214" t="s">
        <v>436</v>
      </c>
      <c r="C25" s="220">
        <v>0.4</v>
      </c>
      <c r="D25" s="215">
        <v>25</v>
      </c>
      <c r="E25" s="216">
        <v>4.5</v>
      </c>
      <c r="F25" s="530">
        <v>0.38</v>
      </c>
      <c r="G25" s="533">
        <v>0</v>
      </c>
      <c r="H25" s="415">
        <f t="shared" si="0"/>
        <v>0.18</v>
      </c>
      <c r="I25" s="533">
        <f t="shared" si="1"/>
        <v>0.38</v>
      </c>
      <c r="J25" s="429">
        <f t="shared" si="2"/>
        <v>0.44999999999999996</v>
      </c>
      <c r="K25" s="533">
        <f t="shared" si="3"/>
        <v>0.95</v>
      </c>
      <c r="L25" s="429">
        <f t="shared" si="4"/>
        <v>5.1369863013698627E-2</v>
      </c>
      <c r="M25" s="533">
        <f t="shared" si="4"/>
        <v>0.10844748858447488</v>
      </c>
      <c r="N25" s="420">
        <f t="shared" si="5"/>
        <v>0.15981735159817351</v>
      </c>
      <c r="O25" s="550"/>
      <c r="P25" s="536"/>
    </row>
    <row r="26" spans="1:16" ht="13" thickBot="1">
      <c r="A26" s="436" t="s">
        <v>435</v>
      </c>
      <c r="B26" s="436" t="s">
        <v>562</v>
      </c>
      <c r="C26" s="463">
        <v>0.4</v>
      </c>
      <c r="D26" s="436">
        <v>25</v>
      </c>
      <c r="E26" s="439">
        <v>5.71</v>
      </c>
      <c r="F26" s="441">
        <v>0.22</v>
      </c>
      <c r="G26" s="465">
        <v>0</v>
      </c>
      <c r="H26" s="440">
        <f t="shared" si="0"/>
        <v>0.22839999999999999</v>
      </c>
      <c r="I26" s="439">
        <f t="shared" si="1"/>
        <v>0.22</v>
      </c>
      <c r="J26" s="441">
        <f t="shared" si="2"/>
        <v>0.57099999999999995</v>
      </c>
      <c r="K26" s="439">
        <f t="shared" si="3"/>
        <v>0.54999999999999993</v>
      </c>
      <c r="L26" s="441">
        <f t="shared" si="4"/>
        <v>6.5182648401826485E-2</v>
      </c>
      <c r="M26" s="439">
        <f t="shared" si="4"/>
        <v>6.2785388127853878E-2</v>
      </c>
      <c r="N26" s="442">
        <f t="shared" si="5"/>
        <v>0.12796803652968036</v>
      </c>
      <c r="O26" s="548"/>
      <c r="P26" s="536"/>
    </row>
    <row r="27" spans="1:16">
      <c r="A27" s="241" t="s">
        <v>573</v>
      </c>
      <c r="B27" s="241" t="s">
        <v>361</v>
      </c>
      <c r="C27" s="240">
        <v>0.35</v>
      </c>
      <c r="D27" s="229">
        <v>25</v>
      </c>
      <c r="E27" s="230">
        <v>10.1</v>
      </c>
      <c r="F27" s="464">
        <v>0.4</v>
      </c>
      <c r="G27" s="532">
        <v>0</v>
      </c>
      <c r="H27" s="425">
        <f t="shared" si="0"/>
        <v>0.40399999999999997</v>
      </c>
      <c r="I27" s="532">
        <f t="shared" si="1"/>
        <v>0.4</v>
      </c>
      <c r="J27" s="428">
        <f t="shared" si="2"/>
        <v>1.1542857142857144</v>
      </c>
      <c r="K27" s="532">
        <f t="shared" si="3"/>
        <v>1.142857142857143</v>
      </c>
      <c r="L27" s="428">
        <f t="shared" si="4"/>
        <v>0.13176777560339206</v>
      </c>
      <c r="M27" s="532">
        <f t="shared" si="4"/>
        <v>0.13046314416177432</v>
      </c>
      <c r="N27" s="421">
        <f t="shared" si="5"/>
        <v>0.26223091976516638</v>
      </c>
      <c r="O27" s="549">
        <f>AVERAGE(N27,N28,N29:N31)</f>
        <v>0.16974559686888452</v>
      </c>
      <c r="P27" s="536"/>
    </row>
    <row r="28" spans="1:16">
      <c r="A28" s="214" t="s">
        <v>220</v>
      </c>
      <c r="B28" s="214" t="s">
        <v>221</v>
      </c>
      <c r="C28" s="220">
        <v>0.35</v>
      </c>
      <c r="D28" s="219">
        <v>25</v>
      </c>
      <c r="E28" s="216">
        <v>3.8</v>
      </c>
      <c r="F28" s="530">
        <v>0.14399999999999999</v>
      </c>
      <c r="G28" s="533">
        <v>0</v>
      </c>
      <c r="H28" s="415">
        <f t="shared" si="0"/>
        <v>0.152</v>
      </c>
      <c r="I28" s="533">
        <f t="shared" si="1"/>
        <v>0.14399999999999999</v>
      </c>
      <c r="J28" s="429">
        <f t="shared" si="2"/>
        <v>0.43428571428571427</v>
      </c>
      <c r="K28" s="533">
        <f t="shared" si="3"/>
        <v>0.41142857142857142</v>
      </c>
      <c r="L28" s="429">
        <f t="shared" si="4"/>
        <v>4.9575994781474238E-2</v>
      </c>
      <c r="M28" s="533">
        <f t="shared" si="4"/>
        <v>4.6966731898238752E-2</v>
      </c>
      <c r="N28" s="420">
        <f t="shared" si="5"/>
        <v>9.654272667971299E-2</v>
      </c>
      <c r="O28" s="550"/>
      <c r="P28" s="536"/>
    </row>
    <row r="29" spans="1:16">
      <c r="A29" s="214" t="s">
        <v>360</v>
      </c>
      <c r="B29" s="214" t="s">
        <v>574</v>
      </c>
      <c r="C29" s="220">
        <v>0.35</v>
      </c>
      <c r="D29" s="215">
        <v>25</v>
      </c>
      <c r="E29" s="533">
        <v>10.96</v>
      </c>
      <c r="F29" s="429">
        <v>0.17499999999999999</v>
      </c>
      <c r="G29" s="533">
        <v>0</v>
      </c>
      <c r="H29" s="415">
        <f t="shared" si="0"/>
        <v>0.43840000000000001</v>
      </c>
      <c r="I29" s="533">
        <f t="shared" si="1"/>
        <v>0.17499999999999999</v>
      </c>
      <c r="J29" s="429">
        <f t="shared" si="2"/>
        <v>1.2525714285714287</v>
      </c>
      <c r="K29" s="533">
        <f t="shared" si="3"/>
        <v>0.5</v>
      </c>
      <c r="L29" s="429">
        <f t="shared" si="4"/>
        <v>0.14298760600130464</v>
      </c>
      <c r="M29" s="533">
        <f t="shared" si="4"/>
        <v>5.7077625570776253E-2</v>
      </c>
      <c r="N29" s="420">
        <f t="shared" si="5"/>
        <v>0.20006523157208089</v>
      </c>
      <c r="O29" s="550"/>
      <c r="P29" s="536"/>
    </row>
    <row r="30" spans="1:16">
      <c r="A30" s="214" t="s">
        <v>575</v>
      </c>
      <c r="B30" s="214" t="s">
        <v>312</v>
      </c>
      <c r="C30" s="220">
        <v>0.35</v>
      </c>
      <c r="D30" s="215">
        <v>25</v>
      </c>
      <c r="E30" s="533">
        <v>7.4</v>
      </c>
      <c r="F30" s="429">
        <v>0.2</v>
      </c>
      <c r="G30" s="533">
        <v>0</v>
      </c>
      <c r="H30" s="415">
        <f t="shared" si="0"/>
        <v>0.29600000000000004</v>
      </c>
      <c r="I30" s="533">
        <f t="shared" si="1"/>
        <v>0.2</v>
      </c>
      <c r="J30" s="429">
        <f t="shared" si="2"/>
        <v>0.84571428571428586</v>
      </c>
      <c r="K30" s="533">
        <f t="shared" si="3"/>
        <v>0.57142857142857151</v>
      </c>
      <c r="L30" s="429">
        <f t="shared" si="4"/>
        <v>9.6542726679713003E-2</v>
      </c>
      <c r="M30" s="533">
        <f t="shared" si="4"/>
        <v>6.523157208088716E-2</v>
      </c>
      <c r="N30" s="420">
        <f t="shared" si="5"/>
        <v>0.16177429876060018</v>
      </c>
      <c r="O30" s="550"/>
      <c r="P30" s="536"/>
    </row>
    <row r="31" spans="1:16" ht="13" thickBot="1">
      <c r="A31" s="436" t="s">
        <v>576</v>
      </c>
      <c r="B31" s="436" t="s">
        <v>562</v>
      </c>
      <c r="C31" s="463">
        <v>0.35</v>
      </c>
      <c r="D31" s="437">
        <v>25</v>
      </c>
      <c r="E31" s="439">
        <v>2.57</v>
      </c>
      <c r="F31" s="441">
        <v>0.28999999999999998</v>
      </c>
      <c r="G31" s="439">
        <v>0</v>
      </c>
      <c r="H31" s="440">
        <f t="shared" si="0"/>
        <v>0.10279999999999999</v>
      </c>
      <c r="I31" s="439">
        <f t="shared" si="1"/>
        <v>0.28999999999999998</v>
      </c>
      <c r="J31" s="441">
        <f t="shared" si="2"/>
        <v>0.29371428571428571</v>
      </c>
      <c r="K31" s="439">
        <f t="shared" si="3"/>
        <v>0.82857142857142851</v>
      </c>
      <c r="L31" s="441">
        <f>J31/8760*1000</f>
        <v>3.3529028049575992E-2</v>
      </c>
      <c r="M31" s="439">
        <f>K31/8760*1000</f>
        <v>9.4585779517286361E-2</v>
      </c>
      <c r="N31" s="442">
        <f t="shared" si="5"/>
        <v>0.12811480756686236</v>
      </c>
      <c r="O31" s="548"/>
      <c r="P31" s="536"/>
    </row>
    <row r="32" spans="1:16" ht="23" thickBot="1">
      <c r="A32" s="231" t="s">
        <v>430</v>
      </c>
      <c r="B32" s="231" t="s">
        <v>431</v>
      </c>
      <c r="C32" s="232">
        <v>0.8</v>
      </c>
      <c r="D32" s="233">
        <v>40</v>
      </c>
      <c r="E32" s="234">
        <v>20.48</v>
      </c>
      <c r="F32" s="462">
        <v>0.31</v>
      </c>
      <c r="G32" s="234">
        <v>0.06</v>
      </c>
      <c r="H32" s="413">
        <v>0.51200000000000001</v>
      </c>
      <c r="I32" s="235">
        <v>0.73048000000000002</v>
      </c>
      <c r="J32" s="430">
        <v>0.64</v>
      </c>
      <c r="K32" s="235">
        <v>0.91310000000000002</v>
      </c>
      <c r="L32" s="430">
        <v>7.3059360730593603E-2</v>
      </c>
      <c r="M32" s="235">
        <v>0.10423515981735161</v>
      </c>
      <c r="N32" s="422">
        <v>0.1772945205479452</v>
      </c>
      <c r="O32" s="235">
        <f>N32</f>
        <v>0.1772945205479452</v>
      </c>
      <c r="P32" s="536"/>
    </row>
    <row r="33" spans="1:16" ht="13" thickBot="1">
      <c r="A33" s="231" t="s">
        <v>225</v>
      </c>
      <c r="B33" s="231" t="s">
        <v>432</v>
      </c>
      <c r="C33" s="232">
        <v>0.9</v>
      </c>
      <c r="D33" s="233">
        <v>40</v>
      </c>
      <c r="E33" s="234">
        <v>15.2</v>
      </c>
      <c r="F33" s="462">
        <v>0.7</v>
      </c>
      <c r="G33" s="234">
        <v>0</v>
      </c>
      <c r="H33" s="416">
        <f>E33/D33</f>
        <v>0.38</v>
      </c>
      <c r="I33" s="235">
        <f>F33+G33*8760/1000*C33</f>
        <v>0.7</v>
      </c>
      <c r="J33" s="430">
        <f>H33/C33</f>
        <v>0.42222222222222222</v>
      </c>
      <c r="K33" s="235">
        <f>I33/C33</f>
        <v>0.77777777777777768</v>
      </c>
      <c r="L33" s="430">
        <f t="shared" ref="L33:M35" si="6">J33/8760*1000</f>
        <v>4.8198883815322169E-2</v>
      </c>
      <c r="M33" s="235">
        <f t="shared" si="6"/>
        <v>8.8787417554540837E-2</v>
      </c>
      <c r="N33" s="422">
        <f>SUM(L33:M33)</f>
        <v>0.13698630136986301</v>
      </c>
      <c r="O33" s="235">
        <f>N33</f>
        <v>0.13698630136986301</v>
      </c>
      <c r="P33" s="536"/>
    </row>
    <row r="34" spans="1:16" ht="13" thickBot="1">
      <c r="A34" s="242" t="s">
        <v>142</v>
      </c>
      <c r="B34" s="242" t="s">
        <v>223</v>
      </c>
      <c r="C34" s="243">
        <v>0.8</v>
      </c>
      <c r="D34" s="244">
        <v>40</v>
      </c>
      <c r="E34" s="235">
        <v>8.5</v>
      </c>
      <c r="F34" s="430">
        <v>0.18</v>
      </c>
      <c r="G34" s="235">
        <v>5.8999999999999997E-2</v>
      </c>
      <c r="H34" s="416">
        <f>E34/D34</f>
        <v>0.21249999999999999</v>
      </c>
      <c r="I34" s="235">
        <v>0.59</v>
      </c>
      <c r="J34" s="430">
        <f>H34/C34</f>
        <v>0.265625</v>
      </c>
      <c r="K34" s="235">
        <f>I34/C34</f>
        <v>0.73749999999999993</v>
      </c>
      <c r="L34" s="430">
        <f t="shared" si="6"/>
        <v>3.0322488584474887E-2</v>
      </c>
      <c r="M34" s="235">
        <f t="shared" si="6"/>
        <v>8.4189497716894962E-2</v>
      </c>
      <c r="N34" s="422">
        <f>SUM(L34:M34)</f>
        <v>0.11451198630136986</v>
      </c>
      <c r="O34" s="235">
        <f>N34</f>
        <v>0.11451198630136986</v>
      </c>
      <c r="P34" s="536"/>
    </row>
    <row r="35" spans="1:16" ht="13" thickBot="1">
      <c r="A35" s="242" t="s">
        <v>222</v>
      </c>
      <c r="B35" s="242" t="s">
        <v>312</v>
      </c>
      <c r="C35" s="243">
        <v>0.85</v>
      </c>
      <c r="D35" s="244">
        <v>40</v>
      </c>
      <c r="E35" s="235">
        <v>1.02</v>
      </c>
      <c r="F35" s="430">
        <v>0.1</v>
      </c>
      <c r="G35" s="235">
        <v>0.09</v>
      </c>
      <c r="H35" s="416">
        <f>E35/D35</f>
        <v>2.5500000000000002E-2</v>
      </c>
      <c r="I35" s="235">
        <f>F35+G35*8760/1000*C35</f>
        <v>0.77013999999999994</v>
      </c>
      <c r="J35" s="430">
        <f>H35/C35</f>
        <v>3.0000000000000002E-2</v>
      </c>
      <c r="K35" s="235">
        <f>I35/C35</f>
        <v>0.90604705882352932</v>
      </c>
      <c r="L35" s="430">
        <f t="shared" si="6"/>
        <v>3.4246575342465756E-3</v>
      </c>
      <c r="M35" s="235">
        <f t="shared" si="6"/>
        <v>0.10343002954606499</v>
      </c>
      <c r="N35" s="422">
        <f>SUM(L35:M35)</f>
        <v>0.10685468708031157</v>
      </c>
      <c r="O35" s="235">
        <f>N35</f>
        <v>0.10685468708031157</v>
      </c>
      <c r="P35" s="536"/>
    </row>
    <row r="36" spans="1:16">
      <c r="A36" s="213" t="s">
        <v>426</v>
      </c>
      <c r="B36" s="213" t="s">
        <v>428</v>
      </c>
      <c r="C36" s="245">
        <v>1</v>
      </c>
      <c r="D36" s="222">
        <v>20</v>
      </c>
      <c r="E36" s="557" t="s">
        <v>0</v>
      </c>
      <c r="F36" s="558"/>
      <c r="G36" s="558"/>
      <c r="H36" s="558"/>
      <c r="I36" s="558"/>
      <c r="J36" s="558"/>
      <c r="K36" s="558"/>
      <c r="L36" s="558"/>
      <c r="M36" s="559"/>
      <c r="N36" s="418">
        <v>0.17</v>
      </c>
      <c r="O36" s="560">
        <f>AVERAGE(N36,N37)</f>
        <v>0.38</v>
      </c>
      <c r="P36" s="536"/>
    </row>
    <row r="37" spans="1:16">
      <c r="A37" s="214" t="s">
        <v>427</v>
      </c>
      <c r="B37" s="214" t="s">
        <v>429</v>
      </c>
      <c r="C37" s="221">
        <v>1</v>
      </c>
      <c r="D37" s="215">
        <v>20</v>
      </c>
      <c r="E37" s="551" t="s">
        <v>0</v>
      </c>
      <c r="F37" s="552"/>
      <c r="G37" s="552"/>
      <c r="H37" s="552"/>
      <c r="I37" s="552"/>
      <c r="J37" s="552"/>
      <c r="K37" s="552"/>
      <c r="L37" s="552"/>
      <c r="M37" s="553"/>
      <c r="N37" s="420">
        <v>0.59</v>
      </c>
      <c r="O37" s="561"/>
      <c r="P37" s="536"/>
    </row>
    <row r="38" spans="1:16">
      <c r="A38" s="81" t="s">
        <v>758</v>
      </c>
      <c r="B38" s="81" t="s">
        <v>759</v>
      </c>
      <c r="C38" s="537">
        <v>0.2</v>
      </c>
      <c r="D38" s="81">
        <v>25</v>
      </c>
      <c r="E38" s="417">
        <f>(97031+32490+15112+20185)/B39</f>
        <v>14.698366579021558</v>
      </c>
      <c r="F38" s="417">
        <f>(8989)/B39</f>
        <v>0.80163342097844159</v>
      </c>
      <c r="G38" s="81">
        <v>0</v>
      </c>
      <c r="H38" s="417">
        <f>E38/D38</f>
        <v>0.58793466316086229</v>
      </c>
      <c r="I38" s="417">
        <f>F38</f>
        <v>0.80163342097844159</v>
      </c>
      <c r="J38" s="417">
        <f>H38/C38</f>
        <v>2.9396733158043111</v>
      </c>
      <c r="K38" s="417">
        <f>I38/C38</f>
        <v>4.0081671048922081</v>
      </c>
      <c r="L38" s="417">
        <f>J38/8760*1000</f>
        <v>0.33557914563976154</v>
      </c>
      <c r="M38" s="417">
        <f>K38/8760*1000</f>
        <v>0.4575533224762795</v>
      </c>
      <c r="N38" s="81">
        <f>L38+M38</f>
        <v>0.79313246811604099</v>
      </c>
      <c r="P38" s="536"/>
    </row>
    <row r="39" spans="1:16">
      <c r="B39" s="81">
        <f>173807/15.5</f>
        <v>11213.354838709678</v>
      </c>
      <c r="P39" s="536"/>
    </row>
    <row r="40" spans="1:16" ht="14">
      <c r="A40"/>
      <c r="B40"/>
      <c r="C40"/>
      <c r="D40"/>
      <c r="E40"/>
      <c r="F40"/>
      <c r="G40"/>
      <c r="H40"/>
      <c r="I40"/>
      <c r="J40"/>
      <c r="K40"/>
      <c r="L40"/>
      <c r="M40"/>
      <c r="N40"/>
      <c r="O40"/>
      <c r="P40" s="536"/>
    </row>
    <row r="41" spans="1:16" ht="14">
      <c r="A41"/>
      <c r="B41"/>
      <c r="C41"/>
      <c r="D41"/>
      <c r="E41"/>
      <c r="F41"/>
      <c r="G41"/>
      <c r="H41"/>
      <c r="I41"/>
      <c r="J41"/>
      <c r="K41"/>
      <c r="L41"/>
      <c r="M41"/>
      <c r="N41"/>
      <c r="O41"/>
      <c r="P41" s="536"/>
    </row>
    <row r="42" spans="1:16" ht="14">
      <c r="A42"/>
      <c r="B42"/>
      <c r="C42"/>
      <c r="D42"/>
      <c r="E42"/>
      <c r="F42"/>
      <c r="G42"/>
      <c r="H42"/>
      <c r="I42"/>
      <c r="J42"/>
      <c r="K42"/>
      <c r="L42"/>
      <c r="M42"/>
      <c r="N42"/>
      <c r="O42"/>
      <c r="P42" s="536"/>
    </row>
    <row r="43" spans="1:16" ht="14">
      <c r="A43"/>
      <c r="B43"/>
      <c r="C43"/>
      <c r="D43"/>
      <c r="E43"/>
      <c r="F43"/>
      <c r="G43"/>
      <c r="H43"/>
      <c r="I43"/>
      <c r="J43"/>
      <c r="K43"/>
      <c r="L43"/>
      <c r="M43"/>
      <c r="N43"/>
      <c r="O43"/>
      <c r="P43" s="536"/>
    </row>
    <row r="44" spans="1:16" ht="14">
      <c r="A44"/>
      <c r="B44"/>
      <c r="C44"/>
      <c r="D44"/>
      <c r="E44"/>
      <c r="F44"/>
      <c r="G44"/>
      <c r="H44"/>
      <c r="I44"/>
      <c r="J44"/>
      <c r="K44"/>
      <c r="L44"/>
      <c r="M44"/>
      <c r="N44"/>
      <c r="O44"/>
      <c r="P44" s="536"/>
    </row>
    <row r="45" spans="1:16" ht="14">
      <c r="A45"/>
      <c r="B45"/>
      <c r="C45"/>
      <c r="D45"/>
      <c r="E45"/>
      <c r="F45"/>
      <c r="G45"/>
      <c r="H45"/>
      <c r="I45"/>
      <c r="J45"/>
      <c r="K45"/>
      <c r="L45"/>
      <c r="M45"/>
      <c r="N45"/>
      <c r="O45"/>
      <c r="P45" s="536"/>
    </row>
    <row r="46" spans="1:16">
      <c r="A46" s="536"/>
      <c r="B46" s="536"/>
      <c r="C46" s="536"/>
      <c r="D46" s="536"/>
      <c r="E46" s="536"/>
      <c r="F46" s="536"/>
      <c r="G46" s="536"/>
      <c r="H46" s="536"/>
      <c r="I46" s="536"/>
      <c r="J46" s="536"/>
      <c r="K46" s="536"/>
      <c r="L46" s="536"/>
      <c r="M46" s="536"/>
      <c r="N46" s="536"/>
      <c r="O46" s="536"/>
      <c r="P46" s="536"/>
    </row>
    <row r="47" spans="1:16">
      <c r="A47" s="536"/>
      <c r="B47" s="536"/>
      <c r="C47" s="536"/>
      <c r="D47" s="536"/>
      <c r="E47" s="536"/>
      <c r="F47" s="536"/>
      <c r="G47" s="536"/>
      <c r="H47" s="536"/>
      <c r="I47" s="536"/>
      <c r="J47" s="536"/>
      <c r="K47" s="536"/>
      <c r="L47" s="536"/>
      <c r="M47" s="536"/>
      <c r="N47" s="538"/>
      <c r="O47" s="536"/>
      <c r="P47" s="536"/>
    </row>
    <row r="49" s="81" customFormat="1"/>
    <row r="50" s="81" customFormat="1"/>
    <row r="51" s="81" customFormat="1"/>
    <row r="52" s="81" customFormat="1"/>
    <row r="53" s="81" customFormat="1"/>
    <row r="54" s="81" customFormat="1"/>
    <row r="55" s="81" customFormat="1"/>
    <row r="56" s="81" customFormat="1"/>
    <row r="57" s="81" customFormat="1"/>
    <row r="58" s="81" customFormat="1"/>
    <row r="59" s="81" customFormat="1"/>
    <row r="60" s="81" customFormat="1"/>
    <row r="61" s="81" customFormat="1"/>
    <row r="62" s="81" customFormat="1"/>
    <row r="63" s="81" customFormat="1"/>
    <row r="64" s="81" customFormat="1"/>
    <row r="65" s="81" customFormat="1"/>
    <row r="66" s="81" customFormat="1"/>
    <row r="67" s="81" customFormat="1"/>
    <row r="68" s="81" customFormat="1"/>
    <row r="69" s="81" customFormat="1"/>
    <row r="70" s="81" customFormat="1"/>
    <row r="71" s="81" customFormat="1"/>
  </sheetData>
  <mergeCells count="20">
    <mergeCell ref="A1:P9"/>
    <mergeCell ref="A10:A11"/>
    <mergeCell ref="B10:B11"/>
    <mergeCell ref="C10:C12"/>
    <mergeCell ref="D10:D12"/>
    <mergeCell ref="E10:G11"/>
    <mergeCell ref="E37:M37"/>
    <mergeCell ref="O21:O23"/>
    <mergeCell ref="O24:O26"/>
    <mergeCell ref="O27:O31"/>
    <mergeCell ref="E36:M36"/>
    <mergeCell ref="O36:O37"/>
    <mergeCell ref="H10:O10"/>
    <mergeCell ref="H11:I11"/>
    <mergeCell ref="J11:K11"/>
    <mergeCell ref="L11:O11"/>
    <mergeCell ref="P12:P19"/>
    <mergeCell ref="O13:O14"/>
    <mergeCell ref="O15:O17"/>
    <mergeCell ref="O18:O19"/>
  </mergeCells>
  <pageMargins left="0.75" right="0.75" top="1" bottom="1" header="0.5" footer="0.5"/>
  <pageSetup orientation="portrait" horizontalDpi="4294967293" vertic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71"/>
      <c r="C1" s="571"/>
      <c r="D1" s="571"/>
      <c r="E1" s="571"/>
      <c r="F1" s="571"/>
      <c r="G1" s="571"/>
      <c r="H1" s="571"/>
      <c r="I1" s="571"/>
      <c r="J1" s="571"/>
      <c r="K1" s="571"/>
      <c r="L1" s="571"/>
    </row>
    <row r="2" spans="1:12">
      <c r="B2" s="571"/>
      <c r="C2" s="571"/>
      <c r="D2" s="571"/>
      <c r="E2" s="571"/>
      <c r="F2" s="571"/>
      <c r="G2" s="571"/>
      <c r="H2" s="571"/>
      <c r="I2" s="571"/>
      <c r="J2" s="571"/>
      <c r="K2" s="571"/>
      <c r="L2" s="571"/>
    </row>
    <row r="3" spans="1:12">
      <c r="B3" s="571"/>
      <c r="C3" s="571"/>
      <c r="D3" s="571"/>
      <c r="E3" s="571"/>
      <c r="F3" s="571"/>
      <c r="G3" s="571"/>
      <c r="H3" s="571"/>
      <c r="I3" s="571"/>
      <c r="J3" s="571"/>
      <c r="K3" s="571"/>
      <c r="L3" s="571"/>
    </row>
    <row r="4" spans="1:12">
      <c r="B4" s="571"/>
      <c r="C4" s="571"/>
      <c r="D4" s="571"/>
      <c r="E4" s="571"/>
      <c r="F4" s="571"/>
      <c r="G4" s="571"/>
      <c r="H4" s="571"/>
      <c r="I4" s="571"/>
      <c r="J4" s="571"/>
      <c r="K4" s="571"/>
      <c r="L4" s="571"/>
    </row>
    <row r="5" spans="1:12">
      <c r="B5" s="571"/>
      <c r="C5" s="571"/>
      <c r="D5" s="571"/>
      <c r="E5" s="571"/>
      <c r="F5" s="571"/>
      <c r="G5" s="571"/>
      <c r="H5" s="571"/>
      <c r="I5" s="571"/>
      <c r="J5" s="571"/>
      <c r="K5" s="571"/>
      <c r="L5" s="571"/>
    </row>
    <row r="6" spans="1:12">
      <c r="B6" s="571"/>
      <c r="C6" s="571"/>
      <c r="D6" s="571"/>
      <c r="E6" s="571"/>
      <c r="F6" s="571"/>
      <c r="G6" s="571"/>
      <c r="H6" s="571"/>
      <c r="I6" s="571"/>
      <c r="J6" s="571"/>
      <c r="K6" s="571"/>
      <c r="L6" s="571"/>
    </row>
    <row r="7" spans="1:12">
      <c r="B7" s="571"/>
      <c r="C7" s="571"/>
      <c r="D7" s="571"/>
      <c r="E7" s="571"/>
      <c r="F7" s="571"/>
      <c r="G7" s="571"/>
      <c r="H7" s="571"/>
      <c r="I7" s="571"/>
      <c r="J7" s="571"/>
      <c r="K7" s="571"/>
      <c r="L7" s="571"/>
    </row>
    <row r="8" spans="1:12">
      <c r="B8" s="571"/>
      <c r="C8" s="571"/>
      <c r="D8" s="571"/>
      <c r="E8" s="571"/>
      <c r="F8" s="571"/>
      <c r="G8" s="571"/>
      <c r="H8" s="571"/>
      <c r="I8" s="571"/>
      <c r="J8" s="571"/>
      <c r="K8" s="571"/>
      <c r="L8" s="571"/>
    </row>
    <row r="9" spans="1:12" ht="48" customHeight="1">
      <c r="B9" s="571"/>
      <c r="C9" s="571"/>
      <c r="D9" s="571"/>
      <c r="E9" s="571"/>
      <c r="F9" s="571"/>
      <c r="G9" s="571"/>
      <c r="H9" s="571"/>
      <c r="I9" s="571"/>
      <c r="J9" s="571"/>
      <c r="K9" s="571"/>
      <c r="L9" s="571"/>
    </row>
    <row r="10" spans="1:12" s="144" customFormat="1" ht="15" thickBot="1">
      <c r="A10" s="139" t="s">
        <v>149</v>
      </c>
      <c r="B10" s="140" t="s">
        <v>459</v>
      </c>
      <c r="C10" s="141" t="s">
        <v>144</v>
      </c>
      <c r="D10" s="141" t="s">
        <v>460</v>
      </c>
      <c r="E10" s="141" t="s">
        <v>265</v>
      </c>
      <c r="F10" s="141" t="s">
        <v>460</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552</v>
      </c>
      <c r="I11" s="147" t="s">
        <v>461</v>
      </c>
      <c r="J11" s="145" t="s">
        <v>462</v>
      </c>
    </row>
    <row r="12" spans="1:12" s="145" customFormat="1" ht="28">
      <c r="B12" s="148">
        <f>B11+1</f>
        <v>2</v>
      </c>
      <c r="C12" s="149">
        <v>2009</v>
      </c>
      <c r="D12" s="149" t="s">
        <v>463</v>
      </c>
      <c r="E12" s="149" t="s">
        <v>464</v>
      </c>
      <c r="F12" s="147" t="str">
        <f t="shared" ref="F12:F26" si="0">D12 &amp; " - " &amp; E12</f>
        <v>Julio Friedmann - Lawrence Livermore National Laboratory</v>
      </c>
      <c r="G12" s="149" t="s">
        <v>465</v>
      </c>
      <c r="H12" s="149" t="s">
        <v>466</v>
      </c>
      <c r="I12" s="149" t="s">
        <v>467</v>
      </c>
    </row>
    <row r="13" spans="1:12" s="145" customFormat="1" ht="28">
      <c r="B13" s="148">
        <f>B12+1</f>
        <v>3</v>
      </c>
      <c r="C13" s="149">
        <v>2009</v>
      </c>
      <c r="D13" s="149" t="s">
        <v>468</v>
      </c>
      <c r="E13" s="149" t="s">
        <v>469</v>
      </c>
      <c r="F13" s="147" t="str">
        <f t="shared" si="0"/>
        <v>José Goldemberg  - State of São Paulo, Brazil</v>
      </c>
      <c r="G13" s="149" t="s">
        <v>470</v>
      </c>
      <c r="H13" s="149"/>
      <c r="I13" s="149"/>
    </row>
    <row r="14" spans="1:12" s="145" customFormat="1" ht="42">
      <c r="B14" s="150">
        <f>B13+1</f>
        <v>4</v>
      </c>
      <c r="C14" s="151">
        <v>2009</v>
      </c>
      <c r="D14" s="151" t="s">
        <v>471</v>
      </c>
      <c r="E14" s="151" t="s">
        <v>472</v>
      </c>
      <c r="F14" s="147" t="str">
        <f t="shared" si="0"/>
        <v xml:space="preserve">SkyFuels - National Renewable Energy Laboratory </v>
      </c>
      <c r="G14" s="151" t="s">
        <v>473</v>
      </c>
      <c r="H14" s="151" t="s">
        <v>474</v>
      </c>
      <c r="I14" s="151" t="s">
        <v>475</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476</v>
      </c>
      <c r="J15" s="145" t="s">
        <v>477</v>
      </c>
    </row>
    <row r="16" spans="1:12" s="152" customFormat="1" ht="42">
      <c r="A16" s="149"/>
      <c r="B16" s="148">
        <f>B15+1</f>
        <v>6</v>
      </c>
      <c r="C16" s="149">
        <v>2008</v>
      </c>
      <c r="D16" s="149" t="s">
        <v>478</v>
      </c>
      <c r="E16" s="149" t="s">
        <v>479</v>
      </c>
      <c r="F16" s="147" t="str">
        <f t="shared" si="0"/>
        <v>David Roland-Holst - University of California, Berkeley</v>
      </c>
      <c r="G16" s="149" t="s">
        <v>480</v>
      </c>
      <c r="H16" s="149" t="s">
        <v>481</v>
      </c>
      <c r="I16" s="149" t="s">
        <v>482</v>
      </c>
      <c r="J16" s="145"/>
    </row>
    <row r="17" spans="1:10" s="152" customFormat="1" ht="28">
      <c r="A17" s="149"/>
      <c r="B17" s="148">
        <v>7</v>
      </c>
      <c r="C17" s="149">
        <v>2007</v>
      </c>
      <c r="D17" s="149" t="s">
        <v>496</v>
      </c>
      <c r="E17" s="149" t="s">
        <v>0</v>
      </c>
      <c r="F17" s="147" t="str">
        <f>D17</f>
        <v>Vestas</v>
      </c>
      <c r="G17" s="149" t="s">
        <v>497</v>
      </c>
      <c r="H17" s="149" t="s">
        <v>498</v>
      </c>
      <c r="I17" s="149" t="s">
        <v>499</v>
      </c>
      <c r="J17" s="145"/>
    </row>
    <row r="18" spans="1:10" s="152" customFormat="1" ht="42">
      <c r="A18" s="149"/>
      <c r="B18" s="148">
        <v>8</v>
      </c>
      <c r="C18" s="149">
        <v>2006</v>
      </c>
      <c r="D18" s="149" t="s">
        <v>483</v>
      </c>
      <c r="E18" s="149" t="s">
        <v>484</v>
      </c>
      <c r="F18" s="147" t="str">
        <f t="shared" si="0"/>
        <v>Winfried Hoffman, Sven Teske - European Photovoltaic Industry Association (EPIA) and Greenpeace</v>
      </c>
      <c r="G18" s="149" t="s">
        <v>485</v>
      </c>
      <c r="H18" s="149" t="s">
        <v>486</v>
      </c>
      <c r="I18" s="149" t="s">
        <v>487</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532</v>
      </c>
      <c r="H19" s="149" t="s">
        <v>533</v>
      </c>
      <c r="I19" s="149"/>
      <c r="J19" s="145" t="s">
        <v>488</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489</v>
      </c>
      <c r="I20" s="149" t="s">
        <v>0</v>
      </c>
      <c r="J20" s="145" t="s">
        <v>325</v>
      </c>
    </row>
    <row r="21" spans="1:10" s="152" customFormat="1" ht="70">
      <c r="A21" s="149" t="s">
        <v>490</v>
      </c>
      <c r="B21" s="148">
        <v>11</v>
      </c>
      <c r="C21" s="149">
        <v>2006</v>
      </c>
      <c r="D21" s="149" t="s">
        <v>491</v>
      </c>
      <c r="E21" s="149" t="s">
        <v>492</v>
      </c>
      <c r="F21" s="147" t="str">
        <f t="shared" si="0"/>
        <v>L. Stoddard, J. Abiecunas, R. O'Connell - National Renewable Energy Laboratory</v>
      </c>
      <c r="G21" s="149" t="s">
        <v>493</v>
      </c>
      <c r="H21" s="149" t="s">
        <v>553</v>
      </c>
      <c r="I21" s="149" t="s">
        <v>494</v>
      </c>
      <c r="J21" s="145" t="s">
        <v>495</v>
      </c>
    </row>
    <row r="22" spans="1:10" s="152" customFormat="1" ht="42">
      <c r="A22" s="149" t="s">
        <v>500</v>
      </c>
      <c r="B22" s="148">
        <v>12</v>
      </c>
      <c r="C22" s="149">
        <v>2005</v>
      </c>
      <c r="D22" s="149" t="s">
        <v>501</v>
      </c>
      <c r="E22" s="149" t="s">
        <v>502</v>
      </c>
      <c r="F22" s="147" t="str">
        <f t="shared" si="0"/>
        <v>Doug Arent, John Tschirhart, Dick Watsson - Western Governors' Association: Geothermal Task Force</v>
      </c>
      <c r="G22" s="149" t="s">
        <v>503</v>
      </c>
      <c r="H22" s="149" t="s">
        <v>504</v>
      </c>
      <c r="I22" s="149"/>
      <c r="J22" s="145" t="s">
        <v>505</v>
      </c>
    </row>
    <row r="23" spans="1:10" s="152" customFormat="1" ht="70">
      <c r="A23" s="153"/>
      <c r="B23" s="148">
        <v>13</v>
      </c>
      <c r="C23" s="149">
        <v>2005</v>
      </c>
      <c r="D23" s="149" t="s">
        <v>506</v>
      </c>
      <c r="E23" s="149" t="s">
        <v>507</v>
      </c>
      <c r="F23" s="147" t="str">
        <f t="shared" si="0"/>
        <v>Jose Gil and Hugo Lucas - Institute for Diversification and Saving of Energy (Instituto para la Diversificacion y Ahorro de la Energia, IDAE)</v>
      </c>
      <c r="G23" s="149" t="s">
        <v>508</v>
      </c>
      <c r="H23" s="149" t="s">
        <v>531</v>
      </c>
      <c r="I23" s="149" t="s">
        <v>529</v>
      </c>
      <c r="J23" s="145" t="s">
        <v>530</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509</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510</v>
      </c>
      <c r="H25" s="149" t="s">
        <v>511</v>
      </c>
      <c r="I25" s="149" t="s">
        <v>512</v>
      </c>
      <c r="J25" s="145" t="s">
        <v>513</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514</v>
      </c>
      <c r="I26" s="149" t="s">
        <v>515</v>
      </c>
      <c r="J26" s="145" t="s">
        <v>318</v>
      </c>
    </row>
    <row r="27" spans="1:10" s="152" customFormat="1" ht="112">
      <c r="A27" s="149" t="s">
        <v>314</v>
      </c>
      <c r="B27" s="148">
        <f>B26+1</f>
        <v>17</v>
      </c>
      <c r="C27" s="149">
        <v>2001</v>
      </c>
      <c r="D27" s="149" t="s">
        <v>319</v>
      </c>
      <c r="E27" s="149" t="s">
        <v>320</v>
      </c>
      <c r="F27" s="149" t="s">
        <v>535</v>
      </c>
      <c r="G27" s="149" t="s">
        <v>321</v>
      </c>
      <c r="H27" s="149" t="s">
        <v>516</v>
      </c>
      <c r="I27" s="149" t="s">
        <v>517</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4" zoomScale="125" zoomScaleNormal="125" zoomScalePageLayoutView="125" workbookViewId="0">
      <pane xSplit="1" topLeftCell="B1" activePane="topRight" state="frozen"/>
      <selection activeCell="A33" sqref="A33"/>
      <selection pane="topRight" activeCell="G58" sqref="G58"/>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704</v>
      </c>
    </row>
    <row r="3" spans="1:37">
      <c r="A3" s="272" t="s">
        <v>656</v>
      </c>
    </row>
    <row r="4" spans="1:37">
      <c r="A4" s="272" t="s">
        <v>591</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581</v>
      </c>
      <c r="AB11" s="319" t="s">
        <v>582</v>
      </c>
      <c r="AC11" s="319" t="s">
        <v>583</v>
      </c>
      <c r="AD11" s="319" t="s">
        <v>584</v>
      </c>
      <c r="AE11" s="319" t="s">
        <v>585</v>
      </c>
      <c r="AF11" s="319" t="s">
        <v>586</v>
      </c>
      <c r="AG11" s="319" t="s">
        <v>587</v>
      </c>
      <c r="AH11" s="319" t="s">
        <v>588</v>
      </c>
      <c r="AI11" s="319" t="s">
        <v>589</v>
      </c>
      <c r="AJ11" s="319" t="s">
        <v>590</v>
      </c>
      <c r="AK11" s="319" t="s">
        <v>593</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755</v>
      </c>
    </row>
    <row r="35" spans="1:44" s="251" customFormat="1">
      <c r="A35" s="250" t="s">
        <v>747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719</v>
      </c>
      <c r="G36" s="499">
        <v>466.70600899999999</v>
      </c>
      <c r="H36" s="499">
        <v>394.832787</v>
      </c>
      <c r="I36" s="499">
        <v>454.68913199999997</v>
      </c>
      <c r="J36" s="499">
        <v>454.42544500000002</v>
      </c>
      <c r="K36" s="499">
        <v>444.23985299999998</v>
      </c>
      <c r="L36" s="499">
        <v>440.08721199999997</v>
      </c>
      <c r="M36" s="499">
        <v>447.35079200000001</v>
      </c>
      <c r="N36" s="499">
        <v>452.70209499999999</v>
      </c>
      <c r="O36" s="499">
        <v>456.67362200000002</v>
      </c>
      <c r="P36" s="499">
        <v>458.62900500000001</v>
      </c>
      <c r="Q36" s="499">
        <v>461.96567600000003</v>
      </c>
      <c r="R36" s="499">
        <v>463.53699499999999</v>
      </c>
      <c r="S36" s="499">
        <v>463.25244900000001</v>
      </c>
      <c r="T36" s="499">
        <v>465.26831899999996</v>
      </c>
      <c r="U36" s="499">
        <v>466.23992199999998</v>
      </c>
      <c r="V36" s="499">
        <v>466.077202</v>
      </c>
      <c r="W36" s="499">
        <v>466.37215400000002</v>
      </c>
      <c r="X36" s="499">
        <v>466.26424399999996</v>
      </c>
      <c r="Y36" s="499">
        <v>466.10289</v>
      </c>
      <c r="Z36" s="499">
        <v>463.98463500000003</v>
      </c>
      <c r="AA36" s="499">
        <v>462.46893399999999</v>
      </c>
      <c r="AB36" s="499">
        <v>461.67210399999999</v>
      </c>
      <c r="AC36" s="499">
        <v>461.26215300000001</v>
      </c>
      <c r="AD36" s="499">
        <v>461.032692</v>
      </c>
      <c r="AE36" s="499">
        <v>460.73717499999998</v>
      </c>
      <c r="AF36" s="499">
        <v>460.50507400000004</v>
      </c>
      <c r="AG36" s="499">
        <v>460.05059799999998</v>
      </c>
      <c r="AH36" s="499">
        <v>459.62494700000002</v>
      </c>
      <c r="AI36" s="499">
        <v>459.35051700000002</v>
      </c>
      <c r="AJ36" s="499">
        <v>459.04289999999997</v>
      </c>
      <c r="AK36" s="503">
        <v>0.03</v>
      </c>
      <c r="AL36" s="515" t="s">
        <v>68</v>
      </c>
      <c r="AM36" s="518">
        <v>5.5556017275680158E-2</v>
      </c>
    </row>
    <row r="37" spans="1:44" s="251" customFormat="1">
      <c r="A37" s="501" t="s">
        <v>720</v>
      </c>
      <c r="G37" s="499">
        <v>3.8765020000000003</v>
      </c>
      <c r="H37" s="499">
        <v>2.9012790000000002</v>
      </c>
      <c r="I37" s="499">
        <v>2.014859</v>
      </c>
      <c r="J37" s="499">
        <v>2.0150620000000004</v>
      </c>
      <c r="K37" s="499">
        <v>1.988092</v>
      </c>
      <c r="L37" s="499">
        <v>1.919505</v>
      </c>
      <c r="M37" s="499">
        <v>1.9605079999999999</v>
      </c>
      <c r="N37" s="499">
        <v>1.9991500000000002</v>
      </c>
      <c r="O37" s="499">
        <v>2.0217320000000001</v>
      </c>
      <c r="P37" s="499">
        <v>2.0314860000000001</v>
      </c>
      <c r="Q37" s="499">
        <v>2.0498069999999999</v>
      </c>
      <c r="R37" s="499">
        <v>2.0618590000000001</v>
      </c>
      <c r="S37" s="499">
        <v>2.065544</v>
      </c>
      <c r="T37" s="499">
        <v>2.0542639999999999</v>
      </c>
      <c r="U37" s="499">
        <v>2.0473330000000001</v>
      </c>
      <c r="V37" s="499">
        <v>2.0375070000000002</v>
      </c>
      <c r="W37" s="499">
        <v>2.0314540000000001</v>
      </c>
      <c r="X37" s="499">
        <v>2.0260889999999998</v>
      </c>
      <c r="Y37" s="499">
        <v>2.0263150000000003</v>
      </c>
      <c r="Z37" s="499">
        <v>2.0362960000000001</v>
      </c>
      <c r="AA37" s="499">
        <v>2.0238670000000001</v>
      </c>
      <c r="AB37" s="499">
        <v>2.0177739999999997</v>
      </c>
      <c r="AC37" s="499">
        <v>2.0179869999999998</v>
      </c>
      <c r="AD37" s="499">
        <v>2.0208620000000002</v>
      </c>
      <c r="AE37" s="499">
        <v>2.019288</v>
      </c>
      <c r="AF37" s="499">
        <v>2.0179169999999997</v>
      </c>
      <c r="AG37" s="499">
        <v>2.0172620000000001</v>
      </c>
      <c r="AH37" s="499">
        <v>2.0158770000000001</v>
      </c>
      <c r="AI37" s="499">
        <v>2.0174270000000001</v>
      </c>
      <c r="AJ37" s="499">
        <v>2.0156619999999998</v>
      </c>
      <c r="AK37" s="503">
        <v>-3.7999999999999999E-2</v>
      </c>
      <c r="AL37" s="516" t="s">
        <v>69</v>
      </c>
      <c r="AM37" s="518">
        <v>0.13343078014471674</v>
      </c>
    </row>
    <row r="38" spans="1:44" s="251" customFormat="1">
      <c r="A38" s="501" t="s">
        <v>721</v>
      </c>
      <c r="G38" s="499">
        <v>98.161273999999992</v>
      </c>
      <c r="H38" s="499">
        <v>139.78989000000001</v>
      </c>
      <c r="I38" s="499">
        <v>113.537914</v>
      </c>
      <c r="J38" s="499">
        <v>109.16564200000001</v>
      </c>
      <c r="K38" s="499">
        <v>120.70819400000001</v>
      </c>
      <c r="L38" s="499">
        <v>138.556442</v>
      </c>
      <c r="M38" s="499">
        <v>142.39103699999998</v>
      </c>
      <c r="N38" s="499">
        <v>145.81868</v>
      </c>
      <c r="O38" s="499">
        <v>148.11148800000001</v>
      </c>
      <c r="P38" s="499">
        <v>149.363518</v>
      </c>
      <c r="Q38" s="499">
        <v>146.53295900000001</v>
      </c>
      <c r="R38" s="499">
        <v>148.57765900000001</v>
      </c>
      <c r="S38" s="499">
        <v>154.48199399999999</v>
      </c>
      <c r="T38" s="499">
        <v>153.76928700000002</v>
      </c>
      <c r="U38" s="499">
        <v>153.841148</v>
      </c>
      <c r="V38" s="499">
        <v>162.31950399999999</v>
      </c>
      <c r="W38" s="499">
        <v>165.188816</v>
      </c>
      <c r="X38" s="499">
        <v>164.15516600000001</v>
      </c>
      <c r="Y38" s="499">
        <v>166.37615599999998</v>
      </c>
      <c r="Z38" s="499">
        <v>164.94583900000001</v>
      </c>
      <c r="AA38" s="499">
        <v>174.33541099999999</v>
      </c>
      <c r="AB38" s="499">
        <v>182.836769</v>
      </c>
      <c r="AC38" s="499">
        <v>192.23580899999999</v>
      </c>
      <c r="AD38" s="499">
        <v>199.41075799999999</v>
      </c>
      <c r="AE38" s="499">
        <v>204.90593000000001</v>
      </c>
      <c r="AF38" s="499">
        <v>211.21431000000001</v>
      </c>
      <c r="AG38" s="499">
        <v>216.04297700000001</v>
      </c>
      <c r="AH38" s="499">
        <v>219.38606299999998</v>
      </c>
      <c r="AI38" s="499">
        <v>219.65581499999999</v>
      </c>
      <c r="AJ38" s="499">
        <v>221.488541</v>
      </c>
      <c r="AK38" s="503">
        <v>-4.0000000000000001E-3</v>
      </c>
      <c r="AL38" s="516" t="s">
        <v>76</v>
      </c>
      <c r="AM38" s="518">
        <v>3.9001291645040945E-2</v>
      </c>
    </row>
    <row r="39" spans="1:44" s="251" customFormat="1">
      <c r="A39" s="501" t="s">
        <v>722</v>
      </c>
      <c r="G39" s="499">
        <v>250.515007</v>
      </c>
      <c r="H39" s="499">
        <v>253.48099500000001</v>
      </c>
      <c r="I39" s="499">
        <v>244.28305799999998</v>
      </c>
      <c r="J39" s="499">
        <v>244.729378</v>
      </c>
      <c r="K39" s="499">
        <v>251.80423000000002</v>
      </c>
      <c r="L39" s="499">
        <v>254.32607999999999</v>
      </c>
      <c r="M39" s="499">
        <v>250.32450799999998</v>
      </c>
      <c r="N39" s="499">
        <v>242.270172</v>
      </c>
      <c r="O39" s="499">
        <v>234.157791</v>
      </c>
      <c r="P39" s="499">
        <v>229.315369</v>
      </c>
      <c r="Q39" s="499">
        <v>229.31537600000001</v>
      </c>
      <c r="R39" s="499">
        <v>229.315369</v>
      </c>
      <c r="S39" s="499">
        <v>229.315369</v>
      </c>
      <c r="T39" s="499">
        <v>229.31537600000001</v>
      </c>
      <c r="U39" s="499">
        <v>229.315369</v>
      </c>
      <c r="V39" s="499">
        <v>229.31537600000001</v>
      </c>
      <c r="W39" s="499">
        <v>229.315369</v>
      </c>
      <c r="X39" s="499">
        <v>229.315369</v>
      </c>
      <c r="Y39" s="499">
        <v>229.31537600000001</v>
      </c>
      <c r="Z39" s="499">
        <v>229.31537600000001</v>
      </c>
      <c r="AA39" s="499">
        <v>229.31537600000001</v>
      </c>
      <c r="AB39" s="499">
        <v>229.31537600000001</v>
      </c>
      <c r="AC39" s="499">
        <v>229.315369</v>
      </c>
      <c r="AD39" s="499">
        <v>229.315369</v>
      </c>
      <c r="AE39" s="499">
        <v>229.315369</v>
      </c>
      <c r="AF39" s="499">
        <v>229.315369</v>
      </c>
      <c r="AG39" s="499">
        <v>229.315369</v>
      </c>
      <c r="AH39" s="499">
        <v>229.315369</v>
      </c>
      <c r="AI39" s="499">
        <v>229.315369</v>
      </c>
      <c r="AJ39" s="499">
        <v>229.31537600000001</v>
      </c>
      <c r="AK39" s="503">
        <v>-5.0000000000000001E-3</v>
      </c>
      <c r="AL39" s="516" t="s">
        <v>741</v>
      </c>
      <c r="AM39" s="518">
        <v>7.5593667628652633E-2</v>
      </c>
    </row>
    <row r="40" spans="1:44" s="251" customFormat="1">
      <c r="A40" s="501" t="s">
        <v>723</v>
      </c>
      <c r="G40" s="499">
        <v>1.1216539999999999</v>
      </c>
      <c r="H40" s="499">
        <v>1.1742729999999999</v>
      </c>
      <c r="I40" s="499">
        <v>1.2392019999999999</v>
      </c>
      <c r="J40" s="499">
        <v>1.2401960000000001</v>
      </c>
      <c r="K40" s="499">
        <v>1.242693</v>
      </c>
      <c r="L40" s="499">
        <v>1.247854</v>
      </c>
      <c r="M40" s="499">
        <v>1.2495350000000001</v>
      </c>
      <c r="N40" s="499">
        <v>1.252043</v>
      </c>
      <c r="O40" s="499">
        <v>1.2540789999999999</v>
      </c>
      <c r="P40" s="499">
        <v>1.2553160000000001</v>
      </c>
      <c r="Q40" s="499">
        <v>1.255671</v>
      </c>
      <c r="R40" s="499">
        <v>1.256305</v>
      </c>
      <c r="S40" s="499">
        <v>1.256305</v>
      </c>
      <c r="T40" s="499">
        <v>1.256305</v>
      </c>
      <c r="U40" s="499">
        <v>1.256839</v>
      </c>
      <c r="V40" s="499">
        <v>1.257479</v>
      </c>
      <c r="W40" s="499">
        <v>1.2576700000000001</v>
      </c>
      <c r="X40" s="499">
        <v>1.257825</v>
      </c>
      <c r="Y40" s="499">
        <v>1.258419</v>
      </c>
      <c r="Z40" s="499">
        <v>1.2586060000000001</v>
      </c>
      <c r="AA40" s="499">
        <v>1.2587470000000001</v>
      </c>
      <c r="AB40" s="499">
        <v>1.2594460000000001</v>
      </c>
      <c r="AC40" s="499">
        <v>1.2596080000000001</v>
      </c>
      <c r="AD40" s="499">
        <v>1.260238</v>
      </c>
      <c r="AE40" s="499">
        <v>1.2604759999999999</v>
      </c>
      <c r="AF40" s="499">
        <v>1.26065</v>
      </c>
      <c r="AG40" s="499">
        <v>1.2613179999999999</v>
      </c>
      <c r="AH40" s="499">
        <v>1.261584</v>
      </c>
      <c r="AI40" s="499">
        <v>1.2617670000000001</v>
      </c>
      <c r="AJ40" s="499">
        <v>1.2624420000000001</v>
      </c>
      <c r="AK40" s="503">
        <v>1E-3</v>
      </c>
      <c r="AL40" s="517" t="s">
        <v>225</v>
      </c>
      <c r="AM40" s="518">
        <v>0.06</v>
      </c>
    </row>
    <row r="41" spans="1:44" s="251" customFormat="1">
      <c r="A41" s="501" t="s">
        <v>724</v>
      </c>
      <c r="G41" s="499">
        <v>26.159147999999998</v>
      </c>
      <c r="H41" s="499">
        <v>26.527506000000002</v>
      </c>
      <c r="I41" s="499">
        <v>32.151673000000002</v>
      </c>
      <c r="J41" s="499">
        <v>33.079904999999997</v>
      </c>
      <c r="K41" s="499">
        <v>33.930774999999997</v>
      </c>
      <c r="L41" s="499">
        <v>34.862210000000005</v>
      </c>
      <c r="M41" s="499">
        <v>38.372319000000005</v>
      </c>
      <c r="N41" s="499">
        <v>41.74973</v>
      </c>
      <c r="O41" s="499">
        <v>41.744782999999998</v>
      </c>
      <c r="P41" s="499">
        <v>42.435341000000001</v>
      </c>
      <c r="Q41" s="499">
        <v>42.959477</v>
      </c>
      <c r="R41" s="499">
        <v>43.643675999999999</v>
      </c>
      <c r="S41" s="499">
        <v>46.549590999999999</v>
      </c>
      <c r="T41" s="499">
        <v>46.692823000000004</v>
      </c>
      <c r="U41" s="499">
        <v>48.034289000000001</v>
      </c>
      <c r="V41" s="499">
        <v>48.235068999999996</v>
      </c>
      <c r="W41" s="499">
        <v>48.209007</v>
      </c>
      <c r="X41" s="499">
        <v>48.586047999999998</v>
      </c>
      <c r="Y41" s="499">
        <v>48.785858000000005</v>
      </c>
      <c r="Z41" s="499">
        <v>50.721764999999998</v>
      </c>
      <c r="AA41" s="499">
        <v>52.061912</v>
      </c>
      <c r="AB41" s="499">
        <v>52.588653999999998</v>
      </c>
      <c r="AC41" s="499">
        <v>52.633077999999998</v>
      </c>
      <c r="AD41" s="499">
        <v>52.997431000000006</v>
      </c>
      <c r="AE41" s="499">
        <v>53.151576999999996</v>
      </c>
      <c r="AF41" s="499">
        <v>53.086759999999998</v>
      </c>
      <c r="AG41" s="499">
        <v>53.204861999999999</v>
      </c>
      <c r="AH41" s="499">
        <v>53.295262000000001</v>
      </c>
      <c r="AI41" s="499">
        <v>53.332768000000002</v>
      </c>
      <c r="AJ41" s="499">
        <v>53.496878000000002</v>
      </c>
      <c r="AK41" s="503">
        <v>2.1000000000000001E-2</v>
      </c>
      <c r="AL41" s="517" t="s">
        <v>378</v>
      </c>
      <c r="AM41" s="518">
        <v>0.18409551344576996</v>
      </c>
    </row>
    <row r="42" spans="1:44" s="251" customFormat="1">
      <c r="A42" s="501" t="s">
        <v>725</v>
      </c>
      <c r="G42" s="499">
        <v>0</v>
      </c>
      <c r="H42" s="499">
        <v>0</v>
      </c>
      <c r="I42" s="499">
        <v>0</v>
      </c>
      <c r="J42" s="499">
        <v>0</v>
      </c>
      <c r="K42" s="499">
        <v>8.0227999999999994E-2</v>
      </c>
      <c r="L42" s="499">
        <v>9.2133000000000007E-2</v>
      </c>
      <c r="M42" s="499">
        <v>0.10668800000000001</v>
      </c>
      <c r="N42" s="499">
        <v>0.11908299999999999</v>
      </c>
      <c r="O42" s="499">
        <v>0.12914</v>
      </c>
      <c r="P42" s="499">
        <v>0.14005899999999999</v>
      </c>
      <c r="Q42" s="499">
        <v>0.15401400000000001</v>
      </c>
      <c r="R42" s="499">
        <v>0.170649</v>
      </c>
      <c r="S42" s="499">
        <v>0.18828700000000001</v>
      </c>
      <c r="T42" s="499">
        <v>0.20347299999999999</v>
      </c>
      <c r="U42" s="499">
        <v>0.217555</v>
      </c>
      <c r="V42" s="499">
        <v>0.233436</v>
      </c>
      <c r="W42" s="499">
        <v>0.24860399999999999</v>
      </c>
      <c r="X42" s="499">
        <v>0.26478000000000002</v>
      </c>
      <c r="Y42" s="499">
        <v>0.27862900000000002</v>
      </c>
      <c r="Z42" s="499">
        <v>0.29204999999999998</v>
      </c>
      <c r="AA42" s="499">
        <v>0.30543900000000002</v>
      </c>
      <c r="AB42" s="499">
        <v>0.32067699999999999</v>
      </c>
      <c r="AC42" s="499">
        <v>0.338337</v>
      </c>
      <c r="AD42" s="499">
        <v>0.35491099999999998</v>
      </c>
      <c r="AE42" s="499">
        <v>0.37067499999999998</v>
      </c>
      <c r="AF42" s="499">
        <v>0.38635999999999998</v>
      </c>
      <c r="AG42" s="499">
        <v>0.40147500000000003</v>
      </c>
      <c r="AH42" s="499">
        <v>0.41661700000000002</v>
      </c>
      <c r="AI42" s="499">
        <v>0.43158299999999999</v>
      </c>
      <c r="AJ42" s="499">
        <v>0.44530999999999998</v>
      </c>
      <c r="AK42" s="499" t="s">
        <v>41</v>
      </c>
      <c r="AL42" s="517" t="s">
        <v>742</v>
      </c>
      <c r="AM42" s="518">
        <v>0</v>
      </c>
    </row>
    <row r="43" spans="1:44" s="251" customFormat="1">
      <c r="A43" s="502" t="s">
        <v>726</v>
      </c>
      <c r="G43" s="500">
        <v>846.53961200000003</v>
      </c>
      <c r="H43" s="500">
        <v>818.706726</v>
      </c>
      <c r="I43" s="500">
        <v>847.91586299999994</v>
      </c>
      <c r="J43" s="500">
        <v>844.65560900000003</v>
      </c>
      <c r="K43" s="500">
        <v>853.99410999999998</v>
      </c>
      <c r="L43" s="500">
        <v>871.09140100000002</v>
      </c>
      <c r="M43" s="500">
        <v>881.75540100000001</v>
      </c>
      <c r="N43" s="500">
        <v>885.91094999999996</v>
      </c>
      <c r="O43" s="500">
        <v>884.09268100000008</v>
      </c>
      <c r="P43" s="500">
        <v>883.170075</v>
      </c>
      <c r="Q43" s="500">
        <v>884.23303299999998</v>
      </c>
      <c r="R43" s="500">
        <v>888.56247000000008</v>
      </c>
      <c r="S43" s="500">
        <v>897.10949700000003</v>
      </c>
      <c r="T43" s="500">
        <v>898.559845</v>
      </c>
      <c r="U43" s="500">
        <v>900.95248400000003</v>
      </c>
      <c r="V43" s="500">
        <v>909.47561699999994</v>
      </c>
      <c r="W43" s="500">
        <v>912.62301600000001</v>
      </c>
      <c r="X43" s="500">
        <v>911.869507</v>
      </c>
      <c r="Y43" s="500">
        <v>914.14361600000007</v>
      </c>
      <c r="Z43" s="500">
        <v>912.55459599999995</v>
      </c>
      <c r="AA43" s="500">
        <v>921.76971500000002</v>
      </c>
      <c r="AB43" s="500">
        <v>930.01083399999993</v>
      </c>
      <c r="AC43" s="500">
        <v>939.06237800000008</v>
      </c>
      <c r="AD43" s="500">
        <v>946.39227300000005</v>
      </c>
      <c r="AE43" s="500">
        <v>951.76043700000002</v>
      </c>
      <c r="AF43" s="500">
        <v>957.78640700000005</v>
      </c>
      <c r="AG43" s="500">
        <v>962.29388399999993</v>
      </c>
      <c r="AH43" s="500">
        <v>965.31582600000002</v>
      </c>
      <c r="AI43" s="500">
        <v>965.36529599999994</v>
      </c>
      <c r="AJ43" s="500">
        <v>967.06710799999996</v>
      </c>
      <c r="AK43" s="504">
        <v>1E-3</v>
      </c>
      <c r="AL43" s="517" t="s">
        <v>743</v>
      </c>
      <c r="AM43" s="518">
        <v>0.13998208128927189</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6.6701255227622866E-2</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581</v>
      </c>
      <c r="AB47" s="323" t="s">
        <v>582</v>
      </c>
      <c r="AC47" s="323" t="s">
        <v>583</v>
      </c>
      <c r="AD47" s="323" t="s">
        <v>584</v>
      </c>
      <c r="AE47" s="323" t="s">
        <v>585</v>
      </c>
      <c r="AF47" s="323" t="s">
        <v>586</v>
      </c>
      <c r="AG47" s="323" t="s">
        <v>587</v>
      </c>
      <c r="AH47" s="323" t="s">
        <v>588</v>
      </c>
      <c r="AI47" s="323" t="s">
        <v>589</v>
      </c>
      <c r="AJ47" s="323" t="s">
        <v>590</v>
      </c>
      <c r="AK47" s="323" t="s">
        <v>593</v>
      </c>
    </row>
    <row r="48" spans="1:44" s="255" customFormat="1">
      <c r="A48" s="254" t="s">
        <v>754</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751</v>
      </c>
      <c r="AN48" s="255">
        <v>2006</v>
      </c>
      <c r="AO48" s="255">
        <v>2007</v>
      </c>
      <c r="AP48" s="255">
        <v>2008</v>
      </c>
      <c r="AQ48" s="255">
        <v>2009</v>
      </c>
      <c r="AR48" s="255">
        <v>2010</v>
      </c>
    </row>
    <row r="49" spans="1:44" s="255" customFormat="1">
      <c r="A49" s="254" t="s">
        <v>68</v>
      </c>
      <c r="B49" s="505">
        <f>AN51</f>
        <v>29.408000000000001</v>
      </c>
      <c r="C49" s="505">
        <f t="shared" ref="C49:F49" si="0">AO51</f>
        <v>29.699000000000002</v>
      </c>
      <c r="D49" s="505">
        <f t="shared" si="0"/>
        <v>27.218</v>
      </c>
      <c r="E49" s="505">
        <f t="shared" si="0"/>
        <v>24.161999999999999</v>
      </c>
      <c r="F49" s="505">
        <f t="shared" si="0"/>
        <v>23.667999999999999</v>
      </c>
      <c r="G49" s="484">
        <f t="shared" ref="G49:AJ49" si="1">G36*$AM36</f>
        <v>25.92832709866774</v>
      </c>
      <c r="H49" s="484">
        <f t="shared" si="1"/>
        <v>21.935337135576944</v>
      </c>
      <c r="I49" s="484">
        <f t="shared" si="1"/>
        <v>25.260717272456013</v>
      </c>
      <c r="J49" s="484">
        <f t="shared" si="1"/>
        <v>25.246067872928645</v>
      </c>
      <c r="K49" s="484">
        <f t="shared" si="1"/>
        <v>24.680196947813613</v>
      </c>
      <c r="L49" s="484">
        <f t="shared" si="1"/>
        <v>24.449492752677916</v>
      </c>
      <c r="M49" s="484">
        <f t="shared" si="1"/>
        <v>24.853028328641201</v>
      </c>
      <c r="N49" s="484">
        <f t="shared" si="1"/>
        <v>25.150325410556601</v>
      </c>
      <c r="O49" s="484">
        <f t="shared" si="1"/>
        <v>25.370967633179433</v>
      </c>
      <c r="P49" s="484">
        <f t="shared" si="1"/>
        <v>25.479600924908002</v>
      </c>
      <c r="Q49" s="484">
        <f t="shared" si="1"/>
        <v>25.664973076627266</v>
      </c>
      <c r="R49" s="484">
        <f t="shared" si="1"/>
        <v>25.752269302136867</v>
      </c>
      <c r="S49" s="484">
        <f t="shared" si="1"/>
        <v>25.736461059645141</v>
      </c>
      <c r="T49" s="484">
        <f t="shared" si="1"/>
        <v>25.848454768190663</v>
      </c>
      <c r="U49" s="484">
        <f t="shared" si="1"/>
        <v>25.902433161243767</v>
      </c>
      <c r="V49" s="484">
        <f t="shared" si="1"/>
        <v>25.89339308611267</v>
      </c>
      <c r="W49" s="484">
        <f t="shared" si="1"/>
        <v>25.909779444520169</v>
      </c>
      <c r="X49" s="484">
        <f t="shared" si="1"/>
        <v>25.903784394695947</v>
      </c>
      <c r="Y49" s="484">
        <f t="shared" si="1"/>
        <v>25.89482020908445</v>
      </c>
      <c r="Z49" s="484">
        <f t="shared" si="1"/>
        <v>25.777138397710154</v>
      </c>
      <c r="AA49" s="484">
        <f t="shared" si="1"/>
        <v>25.692932086769385</v>
      </c>
      <c r="AB49" s="484">
        <f t="shared" si="1"/>
        <v>25.648663385523605</v>
      </c>
      <c r="AC49" s="484">
        <f t="shared" si="1"/>
        <v>25.625888140685426</v>
      </c>
      <c r="AD49" s="484">
        <f t="shared" si="1"/>
        <v>25.613140201405329</v>
      </c>
      <c r="AE49" s="484">
        <f t="shared" si="1"/>
        <v>25.59672245384807</v>
      </c>
      <c r="AF49" s="484">
        <f t="shared" si="1"/>
        <v>25.583827846682372</v>
      </c>
      <c r="AG49" s="484">
        <f t="shared" si="1"/>
        <v>25.558578970174988</v>
      </c>
      <c r="AH49" s="484">
        <f t="shared" si="1"/>
        <v>25.534931495865578</v>
      </c>
      <c r="AI49" s="484">
        <f t="shared" si="1"/>
        <v>25.519685258044614</v>
      </c>
      <c r="AJ49" s="484">
        <f t="shared" si="1"/>
        <v>25.502595282678318</v>
      </c>
      <c r="AK49"/>
    </row>
    <row r="50" spans="1:44" s="255" customFormat="1">
      <c r="A50" s="254" t="s">
        <v>69</v>
      </c>
      <c r="B50" s="505">
        <f t="shared" ref="B50:B51" si="2">AN52</f>
        <v>0.58099999999999996</v>
      </c>
      <c r="C50" s="505">
        <f t="shared" ref="C50:C51" si="3">AO52</f>
        <v>0.98499999999999999</v>
      </c>
      <c r="D50" s="505">
        <f t="shared" ref="D50:D51" si="4">AP52</f>
        <v>0.40600000000000003</v>
      </c>
      <c r="E50" s="505">
        <f t="shared" ref="E50:E51" si="5">AQ52</f>
        <v>0.33</v>
      </c>
      <c r="F50" s="505">
        <f t="shared" ref="F50:F51" si="6">AR52</f>
        <v>0.32200000000000001</v>
      </c>
      <c r="G50" s="484">
        <f t="shared" ref="G50:AJ50" si="7">G37*$AM37</f>
        <v>0.51724468609255481</v>
      </c>
      <c r="H50" s="484">
        <f t="shared" si="7"/>
        <v>0.38711992038748366</v>
      </c>
      <c r="I50" s="484">
        <f t="shared" si="7"/>
        <v>0.26884420825160382</v>
      </c>
      <c r="J50" s="484">
        <f t="shared" si="7"/>
        <v>0.26887129469997323</v>
      </c>
      <c r="K50" s="484">
        <f t="shared" si="7"/>
        <v>0.26527266655947018</v>
      </c>
      <c r="L50" s="484">
        <f t="shared" si="7"/>
        <v>0.25612104964168453</v>
      </c>
      <c r="M50" s="484">
        <f t="shared" si="7"/>
        <v>0.26159211191995829</v>
      </c>
      <c r="N50" s="484">
        <f t="shared" si="7"/>
        <v>0.26674814412631048</v>
      </c>
      <c r="O50" s="484">
        <f t="shared" si="7"/>
        <v>0.2697612780035385</v>
      </c>
      <c r="P50" s="484">
        <f t="shared" si="7"/>
        <v>0.27106276183307004</v>
      </c>
      <c r="Q50" s="484">
        <f t="shared" si="7"/>
        <v>0.27350734715610137</v>
      </c>
      <c r="R50" s="484">
        <f t="shared" si="7"/>
        <v>0.2751154549184055</v>
      </c>
      <c r="S50" s="484">
        <f t="shared" si="7"/>
        <v>0.27560714734323877</v>
      </c>
      <c r="T50" s="484">
        <f t="shared" si="7"/>
        <v>0.27410204814320638</v>
      </c>
      <c r="U50" s="484">
        <f t="shared" si="7"/>
        <v>0.27317723940602334</v>
      </c>
      <c r="V50" s="484">
        <f t="shared" si="7"/>
        <v>0.27186614856032137</v>
      </c>
      <c r="W50" s="484">
        <f t="shared" si="7"/>
        <v>0.27105849204810539</v>
      </c>
      <c r="X50" s="484">
        <f t="shared" si="7"/>
        <v>0.27034263591262897</v>
      </c>
      <c r="Y50" s="484">
        <f t="shared" si="7"/>
        <v>0.27037279126894176</v>
      </c>
      <c r="Z50" s="484">
        <f t="shared" si="7"/>
        <v>0.27170456388556613</v>
      </c>
      <c r="AA50" s="484">
        <f t="shared" si="7"/>
        <v>0.27004615271914745</v>
      </c>
      <c r="AB50" s="484">
        <f t="shared" si="7"/>
        <v>0.26923315897572564</v>
      </c>
      <c r="AC50" s="484">
        <f t="shared" si="7"/>
        <v>0.26926157973189646</v>
      </c>
      <c r="AD50" s="484">
        <f t="shared" si="7"/>
        <v>0.26964519322481256</v>
      </c>
      <c r="AE50" s="484">
        <f t="shared" si="7"/>
        <v>0.26943517317686477</v>
      </c>
      <c r="AF50" s="484">
        <f t="shared" si="7"/>
        <v>0.26925223957728633</v>
      </c>
      <c r="AG50" s="484">
        <f t="shared" si="7"/>
        <v>0.26916484241629157</v>
      </c>
      <c r="AH50" s="484">
        <f t="shared" si="7"/>
        <v>0.26898004078579119</v>
      </c>
      <c r="AI50" s="484">
        <f t="shared" si="7"/>
        <v>0.26918685849501545</v>
      </c>
      <c r="AJ50" s="484">
        <f t="shared" si="7"/>
        <v>0.26895135316806001</v>
      </c>
      <c r="AK50"/>
      <c r="AM50" s="255" t="s">
        <v>748</v>
      </c>
      <c r="AN50" s="255">
        <v>32.091000000000001</v>
      </c>
      <c r="AO50" s="255">
        <v>33.302999999999997</v>
      </c>
      <c r="AP50" s="255">
        <v>29.81</v>
      </c>
      <c r="AQ50" s="255">
        <v>26.529</v>
      </c>
      <c r="AR50" s="255">
        <v>27.102</v>
      </c>
    </row>
    <row r="51" spans="1:44" s="255" customFormat="1">
      <c r="A51" s="254" t="s">
        <v>76</v>
      </c>
      <c r="B51" s="505">
        <f t="shared" si="2"/>
        <v>1.77</v>
      </c>
      <c r="C51" s="505">
        <f t="shared" si="3"/>
        <v>2.2410000000000001</v>
      </c>
      <c r="D51" s="505">
        <f t="shared" si="4"/>
        <v>1.8480000000000001</v>
      </c>
      <c r="E51" s="505">
        <f t="shared" si="5"/>
        <v>1.768</v>
      </c>
      <c r="F51" s="505">
        <f t="shared" si="6"/>
        <v>2.8969999999999998</v>
      </c>
      <c r="G51" s="484">
        <f t="shared" ref="G51:AJ51" si="8">G38*$AM38</f>
        <v>3.8284164755227748</v>
      </c>
      <c r="H51" s="484">
        <f t="shared" si="8"/>
        <v>5.4519862689181933</v>
      </c>
      <c r="I51" s="484">
        <f t="shared" si="8"/>
        <v>4.4281252966835769</v>
      </c>
      <c r="J51" s="484">
        <f t="shared" si="8"/>
        <v>4.2576010412601306</v>
      </c>
      <c r="K51" s="484">
        <f t="shared" si="8"/>
        <v>4.7077754781401815</v>
      </c>
      <c r="L51" s="484">
        <f t="shared" si="8"/>
        <v>5.4038802037412008</v>
      </c>
      <c r="M51" s="484">
        <f t="shared" si="8"/>
        <v>5.5534343616768149</v>
      </c>
      <c r="N51" s="484">
        <f t="shared" si="8"/>
        <v>5.6871168659748994</v>
      </c>
      <c r="O51" s="484">
        <f t="shared" si="8"/>
        <v>5.7765393394689823</v>
      </c>
      <c r="P51" s="484">
        <f t="shared" si="8"/>
        <v>5.8253701266473223</v>
      </c>
      <c r="Q51" s="484">
        <f t="shared" si="8"/>
        <v>5.7149746695698278</v>
      </c>
      <c r="R51" s="484">
        <f t="shared" si="8"/>
        <v>5.7947206105964426</v>
      </c>
      <c r="S51" s="484">
        <f t="shared" si="8"/>
        <v>6.0249973019014647</v>
      </c>
      <c r="T51" s="484">
        <f t="shared" si="8"/>
        <v>5.9972008083370039</v>
      </c>
      <c r="U51" s="484">
        <f t="shared" si="8"/>
        <v>6.0000034801559075</v>
      </c>
      <c r="V51" s="484">
        <f t="shared" si="8"/>
        <v>6.33067031518239</v>
      </c>
      <c r="W51" s="484">
        <f t="shared" si="8"/>
        <v>6.4425771893150063</v>
      </c>
      <c r="X51" s="484">
        <f t="shared" si="8"/>
        <v>6.4022635042061093</v>
      </c>
      <c r="Y51" s="484">
        <f t="shared" si="8"/>
        <v>6.4888849829368285</v>
      </c>
      <c r="Z51" s="484">
        <f t="shared" si="8"/>
        <v>6.4331007724749689</v>
      </c>
      <c r="AA51" s="484">
        <f t="shared" si="8"/>
        <v>6.799306208469079</v>
      </c>
      <c r="AB51" s="484">
        <f t="shared" si="8"/>
        <v>7.1308701512059818</v>
      </c>
      <c r="AC51" s="484">
        <f t="shared" si="8"/>
        <v>7.4974448514293863</v>
      </c>
      <c r="AD51" s="484">
        <f t="shared" si="8"/>
        <v>7.7772771299166816</v>
      </c>
      <c r="AE51" s="484">
        <f t="shared" si="8"/>
        <v>7.9915959357283448</v>
      </c>
      <c r="AF51" s="484">
        <f t="shared" si="8"/>
        <v>8.237630903916088</v>
      </c>
      <c r="AG51" s="484">
        <f t="shared" si="8"/>
        <v>8.4259551538398725</v>
      </c>
      <c r="AH51" s="484">
        <f t="shared" si="8"/>
        <v>8.5563398259203254</v>
      </c>
      <c r="AI51" s="484">
        <f t="shared" si="8"/>
        <v>8.5668605023441593</v>
      </c>
      <c r="AJ51" s="484">
        <f t="shared" si="8"/>
        <v>8.6383391835756083</v>
      </c>
      <c r="AK51"/>
      <c r="AM51" s="255" t="s">
        <v>68</v>
      </c>
      <c r="AN51" s="255">
        <v>29.408000000000001</v>
      </c>
      <c r="AO51" s="255">
        <v>29.699000000000002</v>
      </c>
      <c r="AP51" s="255">
        <v>27.218</v>
      </c>
      <c r="AQ51" s="255">
        <v>24.161999999999999</v>
      </c>
      <c r="AR51" s="255">
        <v>23.667999999999999</v>
      </c>
    </row>
    <row r="52" spans="1:44" s="255" customFormat="1">
      <c r="A52" s="254" t="s">
        <v>71</v>
      </c>
      <c r="B52" s="506">
        <f>AN55</f>
        <v>13.83</v>
      </c>
      <c r="C52" s="506">
        <f t="shared" ref="C52:F52" si="9">AO55</f>
        <v>14.353</v>
      </c>
      <c r="D52" s="506">
        <f t="shared" si="9"/>
        <v>14.679</v>
      </c>
      <c r="E52" s="506">
        <f t="shared" si="9"/>
        <v>14.55</v>
      </c>
      <c r="F52" s="506">
        <f t="shared" si="9"/>
        <v>13.994</v>
      </c>
      <c r="G52" s="484">
        <f>G39*$AM40</f>
        <v>15.03090042</v>
      </c>
      <c r="H52" s="484">
        <f t="shared" ref="H52:AJ52" si="10">H39*$AM40</f>
        <v>15.2088597</v>
      </c>
      <c r="I52" s="484">
        <f t="shared" si="10"/>
        <v>14.656983479999999</v>
      </c>
      <c r="J52" s="484">
        <f t="shared" si="10"/>
        <v>14.683762679999999</v>
      </c>
      <c r="K52" s="484">
        <f t="shared" si="10"/>
        <v>15.1082538</v>
      </c>
      <c r="L52" s="484">
        <f t="shared" si="10"/>
        <v>15.2595648</v>
      </c>
      <c r="M52" s="484">
        <f t="shared" si="10"/>
        <v>15.019470479999999</v>
      </c>
      <c r="N52" s="484">
        <f t="shared" si="10"/>
        <v>14.53621032</v>
      </c>
      <c r="O52" s="484">
        <f t="shared" si="10"/>
        <v>14.049467459999999</v>
      </c>
      <c r="P52" s="484">
        <f t="shared" si="10"/>
        <v>13.758922139999999</v>
      </c>
      <c r="Q52" s="484">
        <f t="shared" si="10"/>
        <v>13.75892256</v>
      </c>
      <c r="R52" s="484">
        <f t="shared" si="10"/>
        <v>13.758922139999999</v>
      </c>
      <c r="S52" s="484">
        <f t="shared" si="10"/>
        <v>13.758922139999999</v>
      </c>
      <c r="T52" s="484">
        <f t="shared" si="10"/>
        <v>13.75892256</v>
      </c>
      <c r="U52" s="484">
        <f t="shared" si="10"/>
        <v>13.758922139999999</v>
      </c>
      <c r="V52" s="484">
        <f t="shared" si="10"/>
        <v>13.75892256</v>
      </c>
      <c r="W52" s="484">
        <f t="shared" si="10"/>
        <v>13.758922139999999</v>
      </c>
      <c r="X52" s="484">
        <f t="shared" si="10"/>
        <v>13.758922139999999</v>
      </c>
      <c r="Y52" s="484">
        <f t="shared" si="10"/>
        <v>13.75892256</v>
      </c>
      <c r="Z52" s="484">
        <f t="shared" si="10"/>
        <v>13.75892256</v>
      </c>
      <c r="AA52" s="484">
        <f t="shared" si="10"/>
        <v>13.75892256</v>
      </c>
      <c r="AB52" s="484">
        <f t="shared" si="10"/>
        <v>13.75892256</v>
      </c>
      <c r="AC52" s="484">
        <f t="shared" si="10"/>
        <v>13.758922139999999</v>
      </c>
      <c r="AD52" s="484">
        <f t="shared" si="10"/>
        <v>13.758922139999999</v>
      </c>
      <c r="AE52" s="484">
        <f t="shared" si="10"/>
        <v>13.758922139999999</v>
      </c>
      <c r="AF52" s="484">
        <f t="shared" si="10"/>
        <v>13.758922139999999</v>
      </c>
      <c r="AG52" s="484">
        <f t="shared" si="10"/>
        <v>13.758922139999999</v>
      </c>
      <c r="AH52" s="484">
        <f t="shared" si="10"/>
        <v>13.758922139999999</v>
      </c>
      <c r="AI52" s="484">
        <f t="shared" si="10"/>
        <v>13.758922139999999</v>
      </c>
      <c r="AJ52" s="484">
        <f t="shared" si="10"/>
        <v>13.75892256</v>
      </c>
      <c r="AK52"/>
      <c r="AM52" s="255" t="s">
        <v>69</v>
      </c>
      <c r="AN52" s="255">
        <v>0.58099999999999996</v>
      </c>
      <c r="AO52" s="255">
        <v>0.98499999999999999</v>
      </c>
      <c r="AP52" s="255">
        <v>0.40600000000000003</v>
      </c>
      <c r="AQ52" s="255">
        <v>0.33</v>
      </c>
      <c r="AR52" s="255">
        <v>0.32200000000000001</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745</v>
      </c>
      <c r="AN53" s="255">
        <v>1.77</v>
      </c>
      <c r="AO53" s="255">
        <v>2.2410000000000001</v>
      </c>
      <c r="AP53" s="255">
        <v>1.8480000000000001</v>
      </c>
      <c r="AQ53" s="255">
        <v>1.768</v>
      </c>
      <c r="AR53" s="255">
        <v>2.8969999999999998</v>
      </c>
    </row>
    <row r="54" spans="1:44" s="255" customFormat="1">
      <c r="A54" s="254" t="s">
        <v>627</v>
      </c>
      <c r="B54" s="506">
        <f>AN56</f>
        <v>2.73</v>
      </c>
      <c r="C54" s="506">
        <f t="shared" ref="C54:F54" si="11">AO56</f>
        <v>2.2559999999999998</v>
      </c>
      <c r="D54" s="506">
        <f t="shared" si="11"/>
        <v>2.5870000000000002</v>
      </c>
      <c r="E54" s="506">
        <f t="shared" si="11"/>
        <v>2.44</v>
      </c>
      <c r="F54" s="506">
        <f t="shared" si="11"/>
        <v>2.2410000000000001</v>
      </c>
      <c r="G54" s="484">
        <f>EIA_RE_aeo2014!G79</f>
        <v>3.4570102245338994</v>
      </c>
      <c r="H54" s="484">
        <f>EIA_RE_aeo2014!H79</f>
        <v>2.9248590544497723</v>
      </c>
      <c r="I54" s="484">
        <f>EIA_RE_aeo2014!I79</f>
        <v>3.6759468334391081</v>
      </c>
      <c r="J54" s="484">
        <f>EIA_RE_aeo2014!J79</f>
        <v>3.9013391085010589</v>
      </c>
      <c r="K54" s="484">
        <f>EIA_RE_aeo2014!K79</f>
        <v>4.1208928054405138</v>
      </c>
      <c r="L54" s="484">
        <f>EIA_RE_aeo2014!L79</f>
        <v>4.2973710706102457</v>
      </c>
      <c r="M54" s="484">
        <f>EIA_RE_aeo2014!M79</f>
        <v>4.9815121752475413</v>
      </c>
      <c r="N54" s="484">
        <f>EIA_RE_aeo2014!N79</f>
        <v>5.4998800308257305</v>
      </c>
      <c r="O54" s="484">
        <f>EIA_RE_aeo2014!O79</f>
        <v>5.5075676582705411</v>
      </c>
      <c r="P54" s="484">
        <f>EIA_RE_aeo2014!P79</f>
        <v>5.621503357960437</v>
      </c>
      <c r="Q54" s="484">
        <f>EIA_RE_aeo2014!Q79</f>
        <v>5.7309530255240313</v>
      </c>
      <c r="R54" s="484">
        <f>EIA_RE_aeo2014!R79</f>
        <v>5.8446230619095054</v>
      </c>
      <c r="S54" s="484">
        <f>EIA_RE_aeo2014!S79</f>
        <v>6.3606934545430862</v>
      </c>
      <c r="T54" s="484">
        <f>EIA_RE_aeo2014!T79</f>
        <v>6.3885462565100841</v>
      </c>
      <c r="U54" s="484">
        <f>EIA_RE_aeo2014!U79</f>
        <v>6.5999878084096979</v>
      </c>
      <c r="V54" s="484">
        <f>EIA_RE_aeo2014!V79</f>
        <v>6.6399360311598965</v>
      </c>
      <c r="W54" s="484">
        <f>EIA_RE_aeo2014!W79</f>
        <v>6.6439894001635844</v>
      </c>
      <c r="X54" s="484">
        <f>EIA_RE_aeo2014!X79</f>
        <v>6.7195510863339507</v>
      </c>
      <c r="Y54" s="484">
        <f>EIA_RE_aeo2014!Y79</f>
        <v>6.757695750719698</v>
      </c>
      <c r="Z54" s="484">
        <f>EIA_RE_aeo2014!Z79</f>
        <v>7.0654020062403804</v>
      </c>
      <c r="AA54" s="484">
        <f>EIA_RE_aeo2014!AA79</f>
        <v>7.2978468708499236</v>
      </c>
      <c r="AB54" s="484">
        <f>EIA_RE_aeo2014!AB79</f>
        <v>7.4030682120132223</v>
      </c>
      <c r="AC54" s="484">
        <f>EIA_RE_aeo2014!AC79</f>
        <v>7.4150413044078638</v>
      </c>
      <c r="AD54" s="484">
        <f>EIA_RE_aeo2014!AD79</f>
        <v>7.4931821915627648</v>
      </c>
      <c r="AE54" s="484">
        <f>EIA_RE_aeo2014!AE79</f>
        <v>7.5430748941647376</v>
      </c>
      <c r="AF54" s="484">
        <f>EIA_RE_aeo2014!AF79</f>
        <v>7.5504653221988809</v>
      </c>
      <c r="AG54" s="484">
        <f>EIA_RE_aeo2014!AG79</f>
        <v>7.5674241930646877</v>
      </c>
      <c r="AH54" s="484">
        <f>EIA_RE_aeo2014!AH79</f>
        <v>7.5844148296438325</v>
      </c>
      <c r="AI54" s="484">
        <f>EIA_RE_aeo2014!AI79</f>
        <v>7.5823166283818528</v>
      </c>
      <c r="AJ54" s="484">
        <f>EIA_RE_aeo2014!AJ79</f>
        <v>7.58969361294153</v>
      </c>
      <c r="AK54"/>
      <c r="AM54" s="255" t="s">
        <v>749</v>
      </c>
      <c r="AN54" s="255">
        <v>0.33200000000000002</v>
      </c>
      <c r="AO54" s="255">
        <v>0.378</v>
      </c>
      <c r="AP54" s="255">
        <v>0.33800000000000002</v>
      </c>
      <c r="AQ54" s="255">
        <v>0.26900000000000002</v>
      </c>
      <c r="AR54" s="255">
        <v>0.215</v>
      </c>
    </row>
    <row r="55" spans="1:44" s="255" customFormat="1">
      <c r="A55" s="254" t="s">
        <v>628</v>
      </c>
      <c r="B55" s="506">
        <f>AN58</f>
        <v>0.30499999999999999</v>
      </c>
      <c r="C55" s="506">
        <f t="shared" ref="C55:F55" si="12">AO58</f>
        <v>0.28699999999999998</v>
      </c>
      <c r="D55" s="506">
        <f t="shared" si="12"/>
        <v>0.28599999999999998</v>
      </c>
      <c r="E55" s="506">
        <f t="shared" si="12"/>
        <v>0.25600000000000001</v>
      </c>
      <c r="F55" s="506">
        <f t="shared" si="12"/>
        <v>0.27</v>
      </c>
      <c r="G55" s="484">
        <f>G40*$AM43</f>
        <v>0.15701146140643696</v>
      </c>
      <c r="H55" s="484">
        <f t="shared" ref="H55:AJ55" si="13">H40*$AM43</f>
        <v>0.16437717854179715</v>
      </c>
      <c r="I55" s="484">
        <f t="shared" si="13"/>
        <v>0.1734660750978283</v>
      </c>
      <c r="J55" s="484">
        <f t="shared" si="13"/>
        <v>0.17360521728662986</v>
      </c>
      <c r="K55" s="484">
        <f t="shared" si="13"/>
        <v>0.17395475254360918</v>
      </c>
      <c r="L55" s="484">
        <f t="shared" si="13"/>
        <v>0.17467720006514309</v>
      </c>
      <c r="M55" s="484">
        <f t="shared" si="13"/>
        <v>0.17491250994379037</v>
      </c>
      <c r="N55" s="484">
        <f t="shared" si="13"/>
        <v>0.17526358500366385</v>
      </c>
      <c r="O55" s="484">
        <f t="shared" si="13"/>
        <v>0.17554858852116881</v>
      </c>
      <c r="P55" s="484">
        <f t="shared" si="13"/>
        <v>0.17572174635572366</v>
      </c>
      <c r="Q55" s="484">
        <f t="shared" si="13"/>
        <v>0.17577143999458134</v>
      </c>
      <c r="R55" s="484">
        <f t="shared" si="13"/>
        <v>0.17586018863411873</v>
      </c>
      <c r="S55" s="484">
        <f t="shared" si="13"/>
        <v>0.17586018863411873</v>
      </c>
      <c r="T55" s="484">
        <f t="shared" si="13"/>
        <v>0.17586018863411873</v>
      </c>
      <c r="U55" s="484">
        <f t="shared" si="13"/>
        <v>0.17593493906552721</v>
      </c>
      <c r="V55" s="484">
        <f t="shared" si="13"/>
        <v>0.17602452759755233</v>
      </c>
      <c r="W55" s="484">
        <f t="shared" si="13"/>
        <v>0.1760512641750786</v>
      </c>
      <c r="X55" s="484">
        <f t="shared" si="13"/>
        <v>0.17607296139767842</v>
      </c>
      <c r="Y55" s="484">
        <f t="shared" si="13"/>
        <v>0.17615611075396423</v>
      </c>
      <c r="Z55" s="484">
        <f t="shared" si="13"/>
        <v>0.17618228740316536</v>
      </c>
      <c r="AA55" s="484">
        <f t="shared" si="13"/>
        <v>0.17620202487662714</v>
      </c>
      <c r="AB55" s="484">
        <f t="shared" si="13"/>
        <v>0.17629987235144834</v>
      </c>
      <c r="AC55" s="484">
        <f t="shared" si="13"/>
        <v>0.17632254944861719</v>
      </c>
      <c r="AD55" s="484">
        <f t="shared" si="13"/>
        <v>0.17641073815982944</v>
      </c>
      <c r="AE55" s="484">
        <f t="shared" si="13"/>
        <v>0.17644405389517626</v>
      </c>
      <c r="AF55" s="484">
        <f t="shared" si="13"/>
        <v>0.17646841077732062</v>
      </c>
      <c r="AG55" s="484">
        <f t="shared" si="13"/>
        <v>0.17656191880762184</v>
      </c>
      <c r="AH55" s="484">
        <f t="shared" si="13"/>
        <v>0.17659915404124479</v>
      </c>
      <c r="AI55" s="484">
        <f t="shared" si="13"/>
        <v>0.17662477076212074</v>
      </c>
      <c r="AJ55" s="484">
        <f t="shared" si="13"/>
        <v>0.17671925866699101</v>
      </c>
      <c r="AK55"/>
      <c r="AM55" s="255" t="s">
        <v>225</v>
      </c>
      <c r="AN55" s="255">
        <v>13.83</v>
      </c>
      <c r="AO55" s="255">
        <v>14.353</v>
      </c>
      <c r="AP55" s="255">
        <v>14.679</v>
      </c>
      <c r="AQ55" s="255">
        <v>14.55</v>
      </c>
      <c r="AR55" s="255">
        <v>13.994</v>
      </c>
    </row>
    <row r="56" spans="1:44" s="255" customFormat="1">
      <c r="A56" s="254" t="s">
        <v>82</v>
      </c>
      <c r="B56" s="506">
        <f>AN59</f>
        <v>48.957000000000001</v>
      </c>
      <c r="C56" s="506">
        <f t="shared" ref="C56" si="14">AO59</f>
        <v>50.198</v>
      </c>
      <c r="D56" s="506">
        <f t="shared" ref="D56" si="15">AP59</f>
        <v>47.360999999999997</v>
      </c>
      <c r="E56" s="506">
        <f t="shared" ref="E56" si="16">AQ59</f>
        <v>43.774999999999999</v>
      </c>
      <c r="F56" s="506">
        <f t="shared" ref="F56" si="17">AR59</f>
        <v>43.606999999999999</v>
      </c>
      <c r="G56" s="535">
        <f>G58</f>
        <v>48.918910366223407</v>
      </c>
      <c r="H56" s="535">
        <f t="shared" ref="H56:AJ56" si="18">H58</f>
        <v>46.072539257874197</v>
      </c>
      <c r="I56" s="535">
        <f t="shared" si="18"/>
        <v>48.46408316592813</v>
      </c>
      <c r="J56" s="535">
        <f t="shared" si="18"/>
        <v>48.531247214676434</v>
      </c>
      <c r="K56" s="535">
        <f t="shared" si="18"/>
        <v>49.056346450497379</v>
      </c>
      <c r="L56" s="535">
        <f t="shared" si="18"/>
        <v>49.841107076736186</v>
      </c>
      <c r="M56" s="535">
        <f t="shared" si="18"/>
        <v>50.843949967429303</v>
      </c>
      <c r="N56" s="535">
        <f t="shared" si="18"/>
        <v>51.315544356487202</v>
      </c>
      <c r="O56" s="535">
        <f t="shared" si="18"/>
        <v>51.149851957443659</v>
      </c>
      <c r="P56" s="535">
        <f t="shared" si="18"/>
        <v>51.13218105770455</v>
      </c>
      <c r="Q56" s="535">
        <f t="shared" si="18"/>
        <v>51.319102118871811</v>
      </c>
      <c r="R56" s="535">
        <f t="shared" si="18"/>
        <v>51.601510758195332</v>
      </c>
      <c r="S56" s="535">
        <f t="shared" si="18"/>
        <v>52.332541292067042</v>
      </c>
      <c r="T56" s="535">
        <f t="shared" si="18"/>
        <v>52.443086629815078</v>
      </c>
      <c r="U56" s="535">
        <f t="shared" si="18"/>
        <v>52.710458768280922</v>
      </c>
      <c r="V56" s="535">
        <f t="shared" si="18"/>
        <v>53.070812668612838</v>
      </c>
      <c r="W56" s="535">
        <f t="shared" si="18"/>
        <v>53.202377930221942</v>
      </c>
      <c r="X56" s="535">
        <f t="shared" si="18"/>
        <v>53.230936722546318</v>
      </c>
      <c r="Y56" s="535">
        <f t="shared" si="18"/>
        <v>53.346852404763887</v>
      </c>
      <c r="Z56" s="535">
        <f t="shared" si="18"/>
        <v>53.48245058771424</v>
      </c>
      <c r="AA56" s="535">
        <f t="shared" si="18"/>
        <v>53.995255903684168</v>
      </c>
      <c r="AB56" s="535">
        <f t="shared" si="18"/>
        <v>54.387057340069987</v>
      </c>
      <c r="AC56" s="535">
        <f t="shared" si="18"/>
        <v>54.742880565703196</v>
      </c>
      <c r="AD56" s="535">
        <f t="shared" si="18"/>
        <v>55.088577594269424</v>
      </c>
      <c r="AE56" s="535">
        <f t="shared" si="18"/>
        <v>55.336194650813198</v>
      </c>
      <c r="AF56" s="535">
        <f t="shared" si="18"/>
        <v>55.576566863151946</v>
      </c>
      <c r="AG56" s="535">
        <f t="shared" si="18"/>
        <v>55.756607218303465</v>
      </c>
      <c r="AH56" s="535">
        <f t="shared" si="18"/>
        <v>55.880187486256773</v>
      </c>
      <c r="AI56" s="535">
        <f t="shared" si="18"/>
        <v>55.873596158027759</v>
      </c>
      <c r="AJ56" s="535">
        <f t="shared" si="18"/>
        <v>55.935221251030512</v>
      </c>
      <c r="AK56"/>
      <c r="AM56" s="255" t="s">
        <v>378</v>
      </c>
      <c r="AN56" s="255">
        <v>2.73</v>
      </c>
      <c r="AO56" s="255">
        <v>2.2559999999999998</v>
      </c>
      <c r="AP56" s="255">
        <v>2.5870000000000002</v>
      </c>
      <c r="AQ56" s="255">
        <v>2.44</v>
      </c>
      <c r="AR56" s="255">
        <v>2.2410000000000001</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750</v>
      </c>
      <c r="AN57" s="255">
        <v>0</v>
      </c>
      <c r="AO57" s="255">
        <v>0</v>
      </c>
      <c r="AP57" s="255">
        <v>0</v>
      </c>
      <c r="AQ57" s="255">
        <v>0</v>
      </c>
      <c r="AR57" s="255">
        <v>0</v>
      </c>
    </row>
    <row r="58" spans="1:44" s="255" customFormat="1">
      <c r="A58" s="254" t="s">
        <v>83</v>
      </c>
      <c r="B58" s="483">
        <f>SUM(B49:B52,B54,B55)</f>
        <v>48.623999999999995</v>
      </c>
      <c r="C58" s="483">
        <f t="shared" ref="C58:AJ58" si="19">SUM(C49:C52,C54,C55)</f>
        <v>49.821000000000005</v>
      </c>
      <c r="D58" s="483">
        <f t="shared" si="19"/>
        <v>47.024000000000001</v>
      </c>
      <c r="E58" s="483">
        <f t="shared" si="19"/>
        <v>43.506</v>
      </c>
      <c r="F58" s="483">
        <f t="shared" si="19"/>
        <v>43.392000000000003</v>
      </c>
      <c r="G58" s="483">
        <f t="shared" si="19"/>
        <v>48.918910366223407</v>
      </c>
      <c r="H58" s="483">
        <f t="shared" si="19"/>
        <v>46.072539257874197</v>
      </c>
      <c r="I58" s="483">
        <f t="shared" si="19"/>
        <v>48.46408316592813</v>
      </c>
      <c r="J58" s="483">
        <f t="shared" si="19"/>
        <v>48.531247214676434</v>
      </c>
      <c r="K58" s="483">
        <f t="shared" si="19"/>
        <v>49.056346450497379</v>
      </c>
      <c r="L58" s="483">
        <f t="shared" si="19"/>
        <v>49.841107076736186</v>
      </c>
      <c r="M58" s="483">
        <f t="shared" si="19"/>
        <v>50.843949967429303</v>
      </c>
      <c r="N58" s="483">
        <f t="shared" si="19"/>
        <v>51.315544356487202</v>
      </c>
      <c r="O58" s="483">
        <f t="shared" si="19"/>
        <v>51.149851957443659</v>
      </c>
      <c r="P58" s="483">
        <f t="shared" si="19"/>
        <v>51.13218105770455</v>
      </c>
      <c r="Q58" s="483">
        <f t="shared" si="19"/>
        <v>51.319102118871811</v>
      </c>
      <c r="R58" s="483">
        <f t="shared" si="19"/>
        <v>51.601510758195332</v>
      </c>
      <c r="S58" s="483">
        <f t="shared" si="19"/>
        <v>52.332541292067042</v>
      </c>
      <c r="T58" s="483">
        <f t="shared" si="19"/>
        <v>52.443086629815078</v>
      </c>
      <c r="U58" s="483">
        <f t="shared" si="19"/>
        <v>52.710458768280922</v>
      </c>
      <c r="V58" s="483">
        <f t="shared" si="19"/>
        <v>53.070812668612838</v>
      </c>
      <c r="W58" s="483">
        <f t="shared" si="19"/>
        <v>53.202377930221942</v>
      </c>
      <c r="X58" s="483">
        <f t="shared" si="19"/>
        <v>53.230936722546318</v>
      </c>
      <c r="Y58" s="483">
        <f t="shared" si="19"/>
        <v>53.346852404763887</v>
      </c>
      <c r="Z58" s="483">
        <f t="shared" si="19"/>
        <v>53.48245058771424</v>
      </c>
      <c r="AA58" s="483">
        <f t="shared" si="19"/>
        <v>53.995255903684168</v>
      </c>
      <c r="AB58" s="483">
        <f t="shared" si="19"/>
        <v>54.387057340069987</v>
      </c>
      <c r="AC58" s="483">
        <f t="shared" si="19"/>
        <v>54.742880565703196</v>
      </c>
      <c r="AD58" s="483">
        <f t="shared" si="19"/>
        <v>55.088577594269424</v>
      </c>
      <c r="AE58" s="483">
        <f t="shared" si="19"/>
        <v>55.336194650813198</v>
      </c>
      <c r="AF58" s="483">
        <f t="shared" si="19"/>
        <v>55.576566863151946</v>
      </c>
      <c r="AG58" s="483">
        <f t="shared" si="19"/>
        <v>55.756607218303465</v>
      </c>
      <c r="AH58" s="483">
        <f t="shared" si="19"/>
        <v>55.880187486256773</v>
      </c>
      <c r="AI58" s="483">
        <f t="shared" si="19"/>
        <v>55.873596158027759</v>
      </c>
      <c r="AJ58" s="483">
        <f t="shared" si="19"/>
        <v>55.935221251030512</v>
      </c>
      <c r="AK58" s="490">
        <v>8.9999999999999993E-3</v>
      </c>
      <c r="AM58" s="255" t="s">
        <v>743</v>
      </c>
      <c r="AN58" s="255">
        <v>0.30499999999999999</v>
      </c>
      <c r="AO58" s="255">
        <v>0.28699999999999998</v>
      </c>
      <c r="AP58" s="255">
        <v>0.28599999999999998</v>
      </c>
      <c r="AQ58" s="255">
        <v>0.25600000000000001</v>
      </c>
      <c r="AR58" s="255">
        <v>0.27</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48.957000000000001</v>
      </c>
      <c r="AO59" s="5">
        <v>50.198</v>
      </c>
      <c r="AP59" s="5">
        <v>47.360999999999997</v>
      </c>
      <c r="AQ59" s="5">
        <v>43.774999999999999</v>
      </c>
      <c r="AR59" s="5">
        <v>43.606999999999999</v>
      </c>
    </row>
    <row r="60" spans="1:44" s="274" customFormat="1">
      <c r="A60" s="273" t="s">
        <v>331</v>
      </c>
      <c r="B60" s="367"/>
      <c r="C60" s="367"/>
      <c r="D60" s="367"/>
      <c r="E60" s="367">
        <f>E49/SUM(E49,E51)</f>
        <v>0.93181642884689542</v>
      </c>
      <c r="F60" s="367">
        <f t="shared" ref="F60:AJ60" si="20">F49/SUM(F49,F51)</f>
        <v>0.89094673442499539</v>
      </c>
      <c r="G60" s="324">
        <f t="shared" si="20"/>
        <v>0.87134289523389419</v>
      </c>
      <c r="H60" s="324">
        <f t="shared" si="20"/>
        <v>0.80093029945294514</v>
      </c>
      <c r="I60" s="324">
        <f t="shared" si="20"/>
        <v>0.85084884038940467</v>
      </c>
      <c r="J60" s="324">
        <f t="shared" si="20"/>
        <v>0.8556924884954703</v>
      </c>
      <c r="K60" s="324">
        <f t="shared" si="20"/>
        <v>0.83980604684443827</v>
      </c>
      <c r="L60" s="324">
        <f t="shared" si="20"/>
        <v>0.81898594133299607</v>
      </c>
      <c r="M60" s="324">
        <f t="shared" si="20"/>
        <v>0.81736006525201199</v>
      </c>
      <c r="N60" s="324">
        <f t="shared" si="20"/>
        <v>0.81557754320295828</v>
      </c>
      <c r="O60" s="324">
        <f t="shared" si="20"/>
        <v>0.81454248185764788</v>
      </c>
      <c r="P60" s="324">
        <f t="shared" si="20"/>
        <v>0.8139154923014088</v>
      </c>
      <c r="Q60" s="324">
        <f t="shared" si="20"/>
        <v>0.81787813301051726</v>
      </c>
      <c r="R60" s="324">
        <f t="shared" si="20"/>
        <v>0.81631462695407531</v>
      </c>
      <c r="S60" s="324">
        <f t="shared" si="20"/>
        <v>0.81030476518685646</v>
      </c>
      <c r="T60" s="324">
        <f t="shared" si="20"/>
        <v>0.81167915372552935</v>
      </c>
      <c r="U60" s="324">
        <f t="shared" si="20"/>
        <v>0.81192648236875664</v>
      </c>
      <c r="V60" s="324">
        <f t="shared" si="20"/>
        <v>0.80354214686258452</v>
      </c>
      <c r="W60" s="324">
        <f t="shared" si="20"/>
        <v>0.80086219800825453</v>
      </c>
      <c r="X60" s="324">
        <f t="shared" si="20"/>
        <v>0.80182461425671026</v>
      </c>
      <c r="Y60" s="324">
        <f t="shared" si="20"/>
        <v>0.79962499829897271</v>
      </c>
      <c r="Z60" s="324">
        <f t="shared" si="20"/>
        <v>0.80027777072733874</v>
      </c>
      <c r="AA60" s="324">
        <f t="shared" si="20"/>
        <v>0.7907406025190491</v>
      </c>
      <c r="AB60" s="324">
        <f t="shared" si="20"/>
        <v>0.78245968194709614</v>
      </c>
      <c r="AC60" s="324">
        <f t="shared" si="20"/>
        <v>0.7736506512429111</v>
      </c>
      <c r="AD60" s="324">
        <f t="shared" si="20"/>
        <v>0.76708056527879398</v>
      </c>
      <c r="AE60" s="324">
        <f t="shared" si="20"/>
        <v>0.76207216321349369</v>
      </c>
      <c r="AF60" s="324">
        <f t="shared" si="20"/>
        <v>0.75643774076508974</v>
      </c>
      <c r="AG60" s="324">
        <f t="shared" si="20"/>
        <v>0.75206500924531594</v>
      </c>
      <c r="AH60" s="324">
        <f t="shared" si="20"/>
        <v>0.74901669858077635</v>
      </c>
      <c r="AI60" s="324">
        <f t="shared" si="20"/>
        <v>0.74867325769631021</v>
      </c>
      <c r="AJ60" s="324">
        <f t="shared" si="20"/>
        <v>0.74698000161319433</v>
      </c>
      <c r="AK60" s="324"/>
      <c r="AL60" s="274" t="s">
        <v>0</v>
      </c>
    </row>
    <row r="61" spans="1:44" s="265" customFormat="1">
      <c r="A61" s="262" t="s">
        <v>107</v>
      </c>
      <c r="B61" s="358">
        <f>B54/B58</f>
        <v>5.6145113524185594E-2</v>
      </c>
      <c r="C61" s="358">
        <f t="shared" ref="C61:AJ61" si="21">C54/C58</f>
        <v>4.5282109953633999E-2</v>
      </c>
      <c r="D61" s="358">
        <f t="shared" si="21"/>
        <v>5.5014460700918685E-2</v>
      </c>
      <c r="E61" s="358">
        <f t="shared" si="21"/>
        <v>5.6084218268744539E-2</v>
      </c>
      <c r="F61" s="358">
        <f t="shared" si="21"/>
        <v>5.1645464601769914E-2</v>
      </c>
      <c r="G61" s="309">
        <f t="shared" si="21"/>
        <v>7.0668177166121629E-2</v>
      </c>
      <c r="H61" s="309">
        <f t="shared" si="21"/>
        <v>6.3483782347635381E-2</v>
      </c>
      <c r="I61" s="309">
        <f t="shared" si="21"/>
        <v>7.5848888358284711E-2</v>
      </c>
      <c r="J61" s="309">
        <f t="shared" si="21"/>
        <v>8.0388189721224537E-2</v>
      </c>
      <c r="K61" s="309">
        <f t="shared" si="21"/>
        <v>8.4003255513512301E-2</v>
      </c>
      <c r="L61" s="309">
        <f t="shared" si="21"/>
        <v>8.6221420884450714E-2</v>
      </c>
      <c r="M61" s="309">
        <f t="shared" si="21"/>
        <v>9.7976498254732453E-2</v>
      </c>
      <c r="N61" s="309">
        <f t="shared" si="21"/>
        <v>0.10717766126806072</v>
      </c>
      <c r="O61" s="309">
        <f t="shared" si="21"/>
        <v>0.1076751436710472</v>
      </c>
      <c r="P61" s="309">
        <f t="shared" si="21"/>
        <v>0.10994061355638954</v>
      </c>
      <c r="Q61" s="309">
        <f t="shared" si="21"/>
        <v>0.11167290129607629</v>
      </c>
      <c r="R61" s="309">
        <f t="shared" si="21"/>
        <v>0.11326457260713563</v>
      </c>
      <c r="S61" s="309">
        <f t="shared" si="21"/>
        <v>0.12154375265371047</v>
      </c>
      <c r="T61" s="309">
        <f t="shared" si="21"/>
        <v>0.1218186546037138</v>
      </c>
      <c r="U61" s="309">
        <f t="shared" si="21"/>
        <v>0.12521211089100426</v>
      </c>
      <c r="V61" s="309">
        <f t="shared" si="21"/>
        <v>0.12511464771834727</v>
      </c>
      <c r="W61" s="309">
        <f t="shared" si="21"/>
        <v>0.12488143685753235</v>
      </c>
      <c r="X61" s="309">
        <f t="shared" si="21"/>
        <v>0.12623394401939653</v>
      </c>
      <c r="Y61" s="309">
        <f t="shared" si="21"/>
        <v>0.12667468549871247</v>
      </c>
      <c r="Z61" s="309">
        <f t="shared" si="21"/>
        <v>0.13210692345992489</v>
      </c>
      <c r="AA61" s="309">
        <f t="shared" si="21"/>
        <v>0.13515718647333944</v>
      </c>
      <c r="AB61" s="309">
        <f t="shared" si="21"/>
        <v>0.13611819749179493</v>
      </c>
      <c r="AC61" s="309">
        <f t="shared" si="21"/>
        <v>0.13545215793875195</v>
      </c>
      <c r="AD61" s="309">
        <f t="shared" si="21"/>
        <v>0.13602061477699581</v>
      </c>
      <c r="AE61" s="309">
        <f t="shared" si="21"/>
        <v>0.13631358176621361</v>
      </c>
      <c r="AF61" s="309">
        <f t="shared" si="21"/>
        <v>0.13585699420388175</v>
      </c>
      <c r="AG61" s="309">
        <f t="shared" si="21"/>
        <v>0.1357224653830891</v>
      </c>
      <c r="AH61" s="309">
        <f t="shared" si="21"/>
        <v>0.13572636690793408</v>
      </c>
      <c r="AI61" s="309">
        <f t="shared" si="21"/>
        <v>0.13570482570938738</v>
      </c>
      <c r="AJ61" s="309">
        <f t="shared" si="21"/>
        <v>0.13568720107282498</v>
      </c>
      <c r="AK61" s="309"/>
    </row>
    <row r="62" spans="1:44" s="275" customFormat="1">
      <c r="A62" s="264" t="s">
        <v>108</v>
      </c>
      <c r="B62" s="368">
        <f>(B54-EIA_RE_aeo2014!B73)/B56</f>
        <v>1.2786731213105376E-2</v>
      </c>
      <c r="C62" s="368">
        <f>(C54-EIA_RE_aeo2014!C73)/C56</f>
        <v>1.2032351886529341E-2</v>
      </c>
      <c r="D62" s="368">
        <f>(D54-EIA_RE_aeo2014!D73)/D56</f>
        <v>1.2943138869534011E-2</v>
      </c>
      <c r="E62" s="368">
        <f>(E54-EIA_RE_aeo2014!E73)/E56</f>
        <v>1.2587093089663048E-2</v>
      </c>
      <c r="F62" s="368">
        <f>(F54-EIA_RE_aeo2014!F73)/F56</f>
        <v>1.3163024285091845E-2</v>
      </c>
      <c r="G62" s="325">
        <f>(G54-EIA_RE_aeo2014!G73)/G56</f>
        <v>1.5577457810935608E-2</v>
      </c>
      <c r="H62" s="325">
        <f>(H54-EIA_RE_aeo2014!H73)/H56</f>
        <v>1.7591919267526599E-2</v>
      </c>
      <c r="I62" s="325">
        <f>(I54-EIA_RE_aeo2014!I73)/I56</f>
        <v>1.9835698012150151E-2</v>
      </c>
      <c r="J62" s="325">
        <f>(J54-EIA_RE_aeo2014!J73)/J56</f>
        <v>2.0491328276527991E-2</v>
      </c>
      <c r="K62" s="325">
        <f>(K54-EIA_RE_aeo2014!K73)/K56</f>
        <v>2.1108033750594189E-2</v>
      </c>
      <c r="L62" s="325">
        <f>(L54-EIA_RE_aeo2014!L73)/L56</f>
        <v>2.322093856494931E-2</v>
      </c>
      <c r="M62" s="325">
        <f>(M54-EIA_RE_aeo2014!M73)/M56</f>
        <v>2.9949358245467097E-2</v>
      </c>
      <c r="N62" s="325">
        <f>(N54-EIA_RE_aeo2014!N73)/N56</f>
        <v>3.9775696689248928E-2</v>
      </c>
      <c r="O62" s="325">
        <f>(O54-EIA_RE_aeo2014!O73)/O56</f>
        <v>4.0054840372103766E-2</v>
      </c>
      <c r="P62" s="325">
        <f>(P54-EIA_RE_aeo2014!P73)/P56</f>
        <v>4.2296946552231235E-2</v>
      </c>
      <c r="Q62" s="325">
        <f>(Q54-EIA_RE_aeo2014!Q73)/Q56</f>
        <v>4.3457046650244267E-2</v>
      </c>
      <c r="R62" s="325">
        <f>(R54-EIA_RE_aeo2014!R73)/R56</f>
        <v>4.5422054834735374E-2</v>
      </c>
      <c r="S62" s="325">
        <f>(S54-EIA_RE_aeo2014!S73)/S56</f>
        <v>5.1837214360038221E-2</v>
      </c>
      <c r="T62" s="325">
        <f>(T54-EIA_RE_aeo2014!T73)/T56</f>
        <v>5.2259051460394418E-2</v>
      </c>
      <c r="U62" s="325">
        <f>(U54-EIA_RE_aeo2014!U73)/U56</f>
        <v>5.6005346639203993E-2</v>
      </c>
      <c r="V62" s="325">
        <f>(V54-EIA_RE_aeo2014!V73)/V56</f>
        <v>5.6377801415292444E-2</v>
      </c>
      <c r="W62" s="325">
        <f>(W54-EIA_RE_aeo2014!W73)/W56</f>
        <v>5.6314571324470694E-2</v>
      </c>
      <c r="X62" s="325">
        <f>(X54-EIA_RE_aeo2014!X73)/X56</f>
        <v>5.7260758726150461E-2</v>
      </c>
      <c r="Y62" s="325">
        <f>(Y54-EIA_RE_aeo2014!Y73)/Y56</f>
        <v>5.7851369850395469E-2</v>
      </c>
      <c r="Z62" s="325">
        <f>(Z54-EIA_RE_aeo2014!Z73)/Z56</f>
        <v>6.3171092449317082E-2</v>
      </c>
      <c r="AA62" s="325">
        <f>(AA54-EIA_RE_aeo2014!AK73)/AA56</f>
        <v>0.13515718647333944</v>
      </c>
      <c r="AB62" s="325">
        <f>(AB54-EIA_RE_aeo2014!AL73)/AB56</f>
        <v>0.13611819749179493</v>
      </c>
      <c r="AC62" s="325">
        <f>(AC54-EIA_RE_aeo2014!AM73)/AC56</f>
        <v>0.13545215793875195</v>
      </c>
      <c r="AD62" s="325">
        <f>(AD54-EIA_RE_aeo2014!AN73)/AD56</f>
        <v>9.7827579271594287E-2</v>
      </c>
      <c r="AE62" s="325">
        <f>(AE54-EIA_RE_aeo2014!AO73)/AE56</f>
        <v>0.10645970384011877</v>
      </c>
      <c r="AF62" s="325">
        <f>(AF54-EIA_RE_aeo2014!AP73)/AF56</f>
        <v>0.10033842745144729</v>
      </c>
      <c r="AG62" s="325">
        <f>(AG54-EIA_RE_aeo2014!AQ73)/AG56</f>
        <v>0.10184307253187039</v>
      </c>
      <c r="AH62" s="325">
        <f>(AH54-EIA_RE_aeo2014!AR73)/AH56</f>
        <v>0.10589468460711889</v>
      </c>
      <c r="AI62" s="325">
        <f>(AI54-EIA_RE_aeo2014!AS73)/AI56</f>
        <v>0.13570482570938738</v>
      </c>
      <c r="AJ62" s="325">
        <f>(AJ54-EIA_RE_aeo2014!AT73)/AJ56</f>
        <v>0.13568720107282498</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2.0974515710154655</v>
      </c>
      <c r="H64" s="481">
        <f t="shared" ref="H64:O64" si="22">H63/1000/H58</f>
        <v>3.5457339964625501</v>
      </c>
      <c r="I64" s="481">
        <f t="shared" si="22"/>
        <v>4.6627248223869779</v>
      </c>
      <c r="J64" s="481">
        <f t="shared" si="22"/>
        <v>5.9671199500602148</v>
      </c>
      <c r="K64" s="481">
        <f t="shared" si="22"/>
        <v>7.3093350478481174</v>
      </c>
      <c r="L64" s="481">
        <f t="shared" si="22"/>
        <v>8.5874028817826105</v>
      </c>
      <c r="M64" s="481">
        <f t="shared" si="22"/>
        <v>9.8243585152606396</v>
      </c>
      <c r="N64" s="481">
        <f t="shared" si="22"/>
        <v>11.135292472090148</v>
      </c>
      <c r="O64" s="481">
        <f t="shared" si="22"/>
        <v>12.562738601836507</v>
      </c>
      <c r="P64" s="481">
        <f t="shared" ref="P64" si="23">P63/1000/P58</f>
        <v>13.94042377589124</v>
      </c>
      <c r="Q64" s="481">
        <f t="shared" ref="Q64" si="24">Q63/1000/Q58</f>
        <v>15.314600690041807</v>
      </c>
      <c r="R64" s="481">
        <f t="shared" ref="R64" si="25">R63/1000/R58</f>
        <v>16.694387784667413</v>
      </c>
      <c r="S64" s="481">
        <f t="shared" ref="S64" si="26">S63/1000/S58</f>
        <v>17.960733810044921</v>
      </c>
      <c r="T64" s="481">
        <f t="shared" ref="T64" si="27">T63/1000/T58</f>
        <v>19.423626100430244</v>
      </c>
      <c r="U64" s="481">
        <f t="shared" ref="U64" si="28">U63/1000/U58</f>
        <v>20.804470021230372</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0.69049624099111351</v>
      </c>
      <c r="I65" s="481">
        <f t="shared" si="29"/>
        <v>0.31502386446327024</v>
      </c>
      <c r="J65" s="481">
        <f t="shared" si="29"/>
        <v>0.27974954074289138</v>
      </c>
      <c r="K65" s="481">
        <f t="shared" si="29"/>
        <v>0.22493516286267351</v>
      </c>
      <c r="L65" s="481">
        <f t="shared" si="29"/>
        <v>0.1748541865392747</v>
      </c>
      <c r="M65" s="481">
        <f t="shared" si="29"/>
        <v>0.14404304194253159</v>
      </c>
      <c r="N65" s="481">
        <f t="shared" si="29"/>
        <v>0.13343710480365439</v>
      </c>
      <c r="O65" s="481">
        <f t="shared" si="29"/>
        <v>0.12819116635904765</v>
      </c>
      <c r="P65" s="481">
        <f t="shared" si="29"/>
        <v>0.10966439864102032</v>
      </c>
      <c r="Q65" s="481">
        <f t="shared" si="29"/>
        <v>9.8574974207533597E-2</v>
      </c>
      <c r="R65" s="481">
        <f t="shared" si="29"/>
        <v>9.0096184846843619E-2</v>
      </c>
      <c r="S65" s="481">
        <f t="shared" si="29"/>
        <v>7.5854595071797468E-2</v>
      </c>
      <c r="T65" s="481">
        <f t="shared" si="29"/>
        <v>8.1449472268620191E-2</v>
      </c>
      <c r="U65" s="481">
        <f t="shared" si="29"/>
        <v>7.1090944278913076E-2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0.28442744323790725</v>
      </c>
      <c r="C66" s="369">
        <f t="shared" ref="C66:AJ66" si="30">C52/C58</f>
        <v>0.28809136709419719</v>
      </c>
      <c r="D66" s="369">
        <f t="shared" si="30"/>
        <v>0.31215974821367815</v>
      </c>
      <c r="E66" s="369">
        <f t="shared" si="30"/>
        <v>0.3344366294304234</v>
      </c>
      <c r="F66" s="369">
        <f t="shared" si="30"/>
        <v>0.32250184365781709</v>
      </c>
      <c r="G66" s="326">
        <f t="shared" si="30"/>
        <v>0.30726155401814198</v>
      </c>
      <c r="H66" s="326">
        <f t="shared" si="30"/>
        <v>0.33010682599615288</v>
      </c>
      <c r="I66" s="326">
        <f t="shared" si="30"/>
        <v>0.3024298103364173</v>
      </c>
      <c r="J66" s="326">
        <f t="shared" si="30"/>
        <v>0.30256306035257741</v>
      </c>
      <c r="K66" s="326">
        <f t="shared" si="30"/>
        <v>0.30797755832154555</v>
      </c>
      <c r="L66" s="326">
        <f t="shared" si="30"/>
        <v>0.30616424263020731</v>
      </c>
      <c r="M66" s="326">
        <f t="shared" si="30"/>
        <v>0.29540329753336414</v>
      </c>
      <c r="N66" s="326">
        <f t="shared" si="30"/>
        <v>0.28327109265405975</v>
      </c>
      <c r="O66" s="326">
        <f t="shared" si="30"/>
        <v>0.27467269058156929</v>
      </c>
      <c r="P66" s="326">
        <f t="shared" si="30"/>
        <v>0.26908537549909223</v>
      </c>
      <c r="Q66" s="326">
        <f t="shared" si="30"/>
        <v>0.26810528617842611</v>
      </c>
      <c r="R66" s="326">
        <f t="shared" si="30"/>
        <v>0.26663797121123656</v>
      </c>
      <c r="S66" s="326">
        <f t="shared" si="30"/>
        <v>0.26291331932863116</v>
      </c>
      <c r="T66" s="326">
        <f t="shared" si="30"/>
        <v>0.26235912956690355</v>
      </c>
      <c r="U66" s="326">
        <f t="shared" si="30"/>
        <v>0.26102831319464015</v>
      </c>
      <c r="V66" s="326">
        <f t="shared" si="30"/>
        <v>0.25925592370167921</v>
      </c>
      <c r="W66" s="326">
        <f t="shared" si="30"/>
        <v>0.25861479646728641</v>
      </c>
      <c r="X66" s="326">
        <f t="shared" si="30"/>
        <v>0.25847604771103561</v>
      </c>
      <c r="Y66" s="326">
        <f t="shared" si="30"/>
        <v>0.25791442118469438</v>
      </c>
      <c r="Z66" s="326">
        <f t="shared" si="30"/>
        <v>0.25726051085551122</v>
      </c>
      <c r="AA66" s="326">
        <f t="shared" si="30"/>
        <v>0.25481724884391577</v>
      </c>
      <c r="AB66" s="326">
        <f t="shared" si="30"/>
        <v>0.25298155908617309</v>
      </c>
      <c r="AC66" s="326">
        <f t="shared" si="30"/>
        <v>0.25133719668782029</v>
      </c>
      <c r="AD66" s="326">
        <f t="shared" si="30"/>
        <v>0.24975998184841985</v>
      </c>
      <c r="AE66" s="326">
        <f t="shared" si="30"/>
        <v>0.24864236196259304</v>
      </c>
      <c r="AF66" s="326">
        <f t="shared" si="30"/>
        <v>0.24756696781719276</v>
      </c>
      <c r="AG66" s="326">
        <f t="shared" si="30"/>
        <v>0.24676756399703062</v>
      </c>
      <c r="AH66" s="326">
        <f t="shared" si="30"/>
        <v>0.24622183208286266</v>
      </c>
      <c r="AI66" s="326">
        <f t="shared" si="30"/>
        <v>0.24625087852024996</v>
      </c>
      <c r="AJ66" s="326">
        <f t="shared" si="30"/>
        <v>0.24597958589010704</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592</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592</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630</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629</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72" t="s">
        <v>631</v>
      </c>
      <c r="B109" s="572"/>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row>
    <row r="110" spans="1:38">
      <c r="A110" s="573" t="s">
        <v>632</v>
      </c>
      <c r="B110" s="573"/>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row>
    <row r="111" spans="1:38">
      <c r="A111" s="573" t="s">
        <v>633</v>
      </c>
      <c r="B111" s="573"/>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row>
    <row r="112" spans="1:38">
      <c r="A112" s="573" t="s">
        <v>634</v>
      </c>
      <c r="B112" s="573"/>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row>
    <row r="113" spans="1:32">
      <c r="A113" s="573" t="s">
        <v>635</v>
      </c>
      <c r="B113" s="573"/>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row>
    <row r="114" spans="1:32">
      <c r="A114" s="573" t="s">
        <v>636</v>
      </c>
      <c r="B114" s="573"/>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row>
    <row r="115" spans="1:32">
      <c r="A115" s="573" t="s">
        <v>637</v>
      </c>
      <c r="B115" s="573"/>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row>
    <row r="116" spans="1:32">
      <c r="A116" s="573" t="s">
        <v>638</v>
      </c>
      <c r="B116" s="573"/>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row>
    <row r="117" spans="1:32">
      <c r="A117" s="573" t="s">
        <v>639</v>
      </c>
      <c r="B117" s="573"/>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row>
    <row r="118" spans="1:32">
      <c r="A118" s="573" t="s">
        <v>640</v>
      </c>
      <c r="B118" s="573"/>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row>
    <row r="119" spans="1:32">
      <c r="A119" s="573" t="s">
        <v>641</v>
      </c>
      <c r="B119" s="573"/>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row>
    <row r="120" spans="1:32">
      <c r="A120" s="573" t="s">
        <v>642</v>
      </c>
      <c r="B120" s="573"/>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row>
    <row r="121" spans="1:32">
      <c r="A121" s="573" t="s">
        <v>643</v>
      </c>
      <c r="B121" s="573"/>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row>
    <row r="122" spans="1:32">
      <c r="A122" s="573" t="s">
        <v>644</v>
      </c>
      <c r="B122" s="573"/>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row>
    <row r="123" spans="1:32">
      <c r="A123" s="573" t="s">
        <v>645</v>
      </c>
      <c r="B123" s="573"/>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row>
    <row r="124" spans="1:32">
      <c r="A124" s="573" t="s">
        <v>646</v>
      </c>
      <c r="B124" s="573"/>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row>
    <row r="125" spans="1:32">
      <c r="A125" s="573" t="s">
        <v>639</v>
      </c>
      <c r="B125" s="573"/>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row>
    <row r="126" spans="1:32">
      <c r="A126" s="573" t="s">
        <v>647</v>
      </c>
      <c r="B126" s="573"/>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row>
    <row r="127" spans="1:32">
      <c r="A127" s="573" t="s">
        <v>648</v>
      </c>
      <c r="B127" s="573"/>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row>
    <row r="128" spans="1:32">
      <c r="A128" s="573" t="s">
        <v>649</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row>
    <row r="129" spans="1:32">
      <c r="A129" s="573" t="s">
        <v>619</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row>
    <row r="130" spans="1:32">
      <c r="A130" s="573" t="s">
        <v>620</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row>
    <row r="131" spans="1:32">
      <c r="A131" s="573" t="s">
        <v>621</v>
      </c>
      <c r="B131" s="573"/>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row>
    <row r="132" spans="1:32">
      <c r="A132" s="573" t="s">
        <v>650</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row>
    <row r="133" spans="1:32">
      <c r="A133" s="573" t="s">
        <v>651</v>
      </c>
      <c r="B133" s="573"/>
      <c r="C133" s="573"/>
      <c r="D133" s="573"/>
      <c r="E133" s="573"/>
      <c r="F133" s="573"/>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row>
    <row r="134" spans="1:32">
      <c r="A134" s="573" t="s">
        <v>652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row>
    <row r="135" spans="1:32">
      <c r="A135" s="573" t="s">
        <v>653</v>
      </c>
      <c r="B135" s="573"/>
      <c r="C135" s="573"/>
      <c r="D135" s="573"/>
      <c r="E135" s="573"/>
      <c r="F135" s="573"/>
      <c r="G135" s="573"/>
      <c r="H135" s="573"/>
      <c r="I135" s="573"/>
      <c r="J135" s="573"/>
      <c r="K135" s="573"/>
      <c r="L135" s="573"/>
      <c r="M135" s="573"/>
      <c r="N135" s="573"/>
      <c r="O135" s="573"/>
      <c r="P135" s="573"/>
      <c r="Q135" s="573"/>
      <c r="R135" s="573"/>
      <c r="S135" s="573"/>
      <c r="T135" s="573"/>
      <c r="U135" s="573"/>
      <c r="V135" s="573"/>
      <c r="W135" s="573"/>
      <c r="X135" s="573"/>
      <c r="Y135" s="573"/>
      <c r="Z135" s="573"/>
      <c r="AA135" s="573"/>
      <c r="AB135" s="573"/>
      <c r="AC135" s="573"/>
      <c r="AD135" s="573"/>
      <c r="AE135" s="573"/>
      <c r="AF135" s="573"/>
    </row>
    <row r="136" spans="1:32">
      <c r="A136" s="573" t="s">
        <v>654</v>
      </c>
      <c r="B136" s="573"/>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row>
    <row r="137" spans="1:32">
      <c r="A137" s="573" t="s">
        <v>655</v>
      </c>
      <c r="B137" s="573"/>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5" zoomScale="125" zoomScaleNormal="125" zoomScalePageLayoutView="125" workbookViewId="0">
      <selection activeCell="D54" sqref="D54:AJ54"/>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704</v>
      </c>
    </row>
    <row r="3" spans="1:37">
      <c r="A3" s="272" t="s">
        <v>656</v>
      </c>
    </row>
    <row r="4" spans="1:37">
      <c r="A4" s="272" t="s">
        <v>657</v>
      </c>
    </row>
    <row r="6" spans="1:37">
      <c r="A6" s="6" t="s">
        <v>5</v>
      </c>
    </row>
    <row r="7" spans="1:37">
      <c r="A7" s="6" t="s">
        <v>6</v>
      </c>
    </row>
    <row r="8" spans="1:37">
      <c r="A8" s="78" t="s">
        <v>281</v>
      </c>
    </row>
    <row r="10" spans="1:37">
      <c r="AK10" s="300" t="s">
        <v>714</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581</v>
      </c>
      <c r="AB11" s="300" t="s">
        <v>582</v>
      </c>
      <c r="AC11" s="300" t="s">
        <v>583</v>
      </c>
      <c r="AD11" s="300" t="s">
        <v>584</v>
      </c>
      <c r="AE11" s="300" t="s">
        <v>585</v>
      </c>
      <c r="AF11" s="300" t="s">
        <v>586</v>
      </c>
      <c r="AG11" s="300" t="s">
        <v>587</v>
      </c>
      <c r="AH11" s="300" t="s">
        <v>588</v>
      </c>
      <c r="AI11" s="300" t="s">
        <v>589</v>
      </c>
      <c r="AJ11" s="300" t="s">
        <v>590</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658</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659</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660</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1.0000000000000001E-5</v>
      </c>
      <c r="H33" s="499">
        <v>1.0000000000000001E-5</v>
      </c>
      <c r="I33" s="499">
        <v>1.0000000000000001E-5</v>
      </c>
      <c r="J33" s="499">
        <v>1.0000000000000001E-5</v>
      </c>
      <c r="K33" s="499">
        <v>1.0000000000000001E-5</v>
      </c>
      <c r="L33" s="499">
        <v>1.0000000000000001E-5</v>
      </c>
      <c r="M33" s="499">
        <v>1.0000000000000001E-5</v>
      </c>
      <c r="N33" s="499">
        <v>1.0000000000000001E-5</v>
      </c>
      <c r="O33" s="499">
        <v>1.0000000000000001E-5</v>
      </c>
      <c r="P33" s="499">
        <v>1.0000000000000001E-5</v>
      </c>
      <c r="Q33" s="499">
        <v>1.0000000000000001E-5</v>
      </c>
      <c r="R33" s="499">
        <v>1.0000000000000001E-5</v>
      </c>
      <c r="S33" s="499">
        <v>1.0000000000000001E-5</v>
      </c>
      <c r="T33" s="499">
        <v>1.0000000000000001E-5</v>
      </c>
      <c r="U33" s="499">
        <v>1.0000000000000001E-5</v>
      </c>
      <c r="V33" s="499">
        <v>1.0000000000000001E-5</v>
      </c>
      <c r="W33" s="499">
        <v>1.0000000000000001E-5</v>
      </c>
      <c r="X33" s="499">
        <v>1.0000000000000001E-5</v>
      </c>
      <c r="Y33" s="499">
        <v>1.0000000000000001E-5</v>
      </c>
      <c r="Z33" s="499">
        <v>1.0000000000000001E-5</v>
      </c>
      <c r="AA33" s="499">
        <v>1.0000000000000001E-5</v>
      </c>
      <c r="AB33" s="499">
        <v>1.0000000000000001E-5</v>
      </c>
      <c r="AC33" s="499">
        <v>1.0000000000000001E-5</v>
      </c>
      <c r="AD33" s="499">
        <v>1.0000000000000001E-5</v>
      </c>
      <c r="AE33" s="499">
        <v>1.0000000000000001E-5</v>
      </c>
      <c r="AF33" s="499">
        <v>1.0000000000000001E-5</v>
      </c>
      <c r="AG33" s="499">
        <v>1.0000000000000001E-5</v>
      </c>
      <c r="AH33" s="499">
        <v>1.0000000000000001E-5</v>
      </c>
      <c r="AI33" s="499">
        <v>1.0000000000000001E-5</v>
      </c>
      <c r="AJ33" s="499">
        <v>1.0000000000000001E-5</v>
      </c>
      <c r="AK33"/>
    </row>
    <row r="34" spans="1:39" s="18" customFormat="1">
      <c r="A34" s="17" t="s">
        <v>661</v>
      </c>
      <c r="B34"/>
      <c r="C34"/>
      <c r="D34"/>
      <c r="E34"/>
      <c r="F34"/>
      <c r="G34" s="524">
        <v>1.0000000000000001E-5</v>
      </c>
      <c r="H34" s="524">
        <v>1.0000000000000001E-5</v>
      </c>
      <c r="I34" s="524">
        <v>1.0000000000000001E-5</v>
      </c>
      <c r="J34" s="524">
        <v>1.0000000000000001E-5</v>
      </c>
      <c r="K34" s="524">
        <v>1.0000000000000001E-5</v>
      </c>
      <c r="L34" s="524">
        <v>1.0000000000000001E-5</v>
      </c>
      <c r="M34" s="524">
        <v>1.0000000000000001E-5</v>
      </c>
      <c r="N34" s="524">
        <v>1.0000000000000001E-5</v>
      </c>
      <c r="O34" s="524">
        <v>1.0000000000000001E-5</v>
      </c>
      <c r="P34" s="524">
        <v>1.0000000000000001E-5</v>
      </c>
      <c r="Q34" s="524">
        <v>1.0000000000000001E-5</v>
      </c>
      <c r="R34" s="524">
        <v>1.0000000000000001E-5</v>
      </c>
      <c r="S34" s="524">
        <v>1.0000000000000001E-5</v>
      </c>
      <c r="T34" s="524">
        <v>1.0000000000000001E-5</v>
      </c>
      <c r="U34" s="524">
        <v>1.0000000000000001E-5</v>
      </c>
      <c r="V34" s="524">
        <v>1.0000000000000001E-5</v>
      </c>
      <c r="W34" s="524">
        <v>1.0000000000000001E-5</v>
      </c>
      <c r="X34" s="524">
        <v>1.0000000000000001E-5</v>
      </c>
      <c r="Y34" s="524">
        <v>1.0000000000000001E-5</v>
      </c>
      <c r="Z34" s="524">
        <v>1.0000000000000001E-5</v>
      </c>
      <c r="AA34" s="524">
        <v>1.0000000000000001E-5</v>
      </c>
      <c r="AB34" s="524">
        <v>1.0000000000000001E-5</v>
      </c>
      <c r="AC34" s="524">
        <v>1.0000000000000001E-5</v>
      </c>
      <c r="AD34" s="524">
        <v>1.0000000000000001E-5</v>
      </c>
      <c r="AE34" s="524">
        <v>1.0000000000000001E-5</v>
      </c>
      <c r="AF34" s="524">
        <v>1.0000000000000001E-5</v>
      </c>
      <c r="AG34" s="524">
        <v>1.0000000000000001E-5</v>
      </c>
      <c r="AH34" s="524">
        <v>1.0000000000000001E-5</v>
      </c>
      <c r="AI34" s="524">
        <v>1.0000000000000001E-5</v>
      </c>
      <c r="AJ34" s="524">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662</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663</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661</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663</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661</v>
      </c>
      <c r="B54"/>
      <c r="C54"/>
      <c r="D54">
        <f>D57*EIA_electricity_aeo2014!D58</f>
        <v>2.3512000000000003E-3</v>
      </c>
      <c r="E54">
        <f>E57*EIA_electricity_aeo2014!E58</f>
        <v>4.3506000000000005E-3</v>
      </c>
      <c r="F54">
        <f>F57*EIA_electricity_aeo2014!F58</f>
        <v>1.0848000000000002E-2</v>
      </c>
      <c r="G54">
        <f>G57*EIA_electricity_aeo2014!G58</f>
        <v>2.4459455183111704E-2</v>
      </c>
      <c r="H54">
        <f>H57*EIA_electricity_aeo2014!H58</f>
        <v>4.6072539257874197E-2</v>
      </c>
      <c r="I54">
        <f>I57*EIA_electricity_aeo2014!I58</f>
        <v>0.12116020791482032</v>
      </c>
      <c r="J54">
        <f>J57*EIA_electricity_aeo2014!J58</f>
        <v>0.16985936525136752</v>
      </c>
      <c r="K54">
        <f>K57*EIA_electricity_aeo2014!K58</f>
        <v>0.24528173225248689</v>
      </c>
      <c r="L54">
        <f>L57*EIA_electricity_aeo2014!L58</f>
        <v>0.34888774953715329</v>
      </c>
      <c r="M54">
        <f>M57*EIA_electricity_aeo2014!M58</f>
        <v>0.48301752469057835</v>
      </c>
      <c r="N54">
        <f>N57*EIA_electricity_aeo2014!N58</f>
        <v>0.71841762099082085</v>
      </c>
      <c r="O54">
        <f>O57*EIA_electricity_aeo2014!O58</f>
        <v>0.8951224092552641</v>
      </c>
      <c r="P54">
        <f>P57*EIA_electricity_aeo2014!P58</f>
        <v>1.022643621154091</v>
      </c>
      <c r="Q54">
        <f>Q57*EIA_electricity_aeo2014!Q58</f>
        <v>1.0263820423774361</v>
      </c>
      <c r="R54">
        <f>R57*EIA_electricity_aeo2014!R58</f>
        <v>1.0320302151639067</v>
      </c>
      <c r="S54">
        <f>S57*EIA_electricity_aeo2014!S58</f>
        <v>1.1429427018187484</v>
      </c>
      <c r="T54">
        <f>T57*EIA_electricity_aeo2014!T58</f>
        <v>1.2356902287150258</v>
      </c>
      <c r="U54">
        <f>U57*EIA_electricity_aeo2014!U58</f>
        <v>1.332783949955995</v>
      </c>
      <c r="V54">
        <f>V57*EIA_electricity_aeo2014!V58</f>
        <v>1.4333099731475769</v>
      </c>
      <c r="W54">
        <f>W57*EIA_electricity_aeo2014!W58</f>
        <v>1.5285043179352722</v>
      </c>
      <c r="X54">
        <f>X57*EIA_electricity_aeo2014!X58</f>
        <v>1.6210151005433413</v>
      </c>
      <c r="Y54">
        <f>Y57*EIA_electricity_aeo2014!Y58</f>
        <v>1.7164349761232816</v>
      </c>
      <c r="Z54">
        <f>Z57*EIA_electricity_aeo2014!Z58</f>
        <v>1.8129213687970507</v>
      </c>
      <c r="AA54">
        <f>AA57*EIA_electricity_aeo2014!AA58</f>
        <v>1.9233110152892412</v>
      </c>
      <c r="AB54">
        <f>AB57*EIA_electricity_aeo2014!AB58</f>
        <v>2.0309486887215784</v>
      </c>
      <c r="AC54">
        <f>AC57*EIA_electricity_aeo2014!AC58</f>
        <v>2.1385306292991904</v>
      </c>
      <c r="AD54">
        <f>AD57*EIA_electricity_aeo2014!AD58</f>
        <v>2.246925358626263</v>
      </c>
      <c r="AE54">
        <f>AE57*EIA_electricity_aeo2014!AE58</f>
        <v>2.3523416346060717</v>
      </c>
      <c r="AF54">
        <f>AF57*EIA_electricity_aeo2014!AF58</f>
        <v>2.458290493774375</v>
      </c>
      <c r="AG54">
        <f>AG57*EIA_electricity_aeo2014!AG58</f>
        <v>2.5622948847171463</v>
      </c>
      <c r="AH54">
        <f>AH57*EIA_electricity_aeo2014!AH58</f>
        <v>2.6642276388760218</v>
      </c>
      <c r="AI54">
        <f>AI57*EIA_electricity_aeo2014!AI58</f>
        <v>2.7601556502065652</v>
      </c>
      <c r="AJ54">
        <f>AJ57*EIA_electricity_aeo2014!AJ58</f>
        <v>2.8595483484058053</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757</v>
      </c>
      <c r="B57"/>
      <c r="C57"/>
      <c r="D57" s="525">
        <v>5.0000000000000002E-5</v>
      </c>
      <c r="E57" s="526">
        <v>1E-4</v>
      </c>
      <c r="F57" s="526">
        <v>2.5000000000000001E-4</v>
      </c>
      <c r="G57" s="526">
        <v>5.0000000000000001E-4</v>
      </c>
      <c r="H57" s="526">
        <v>1E-3</v>
      </c>
      <c r="I57" s="526">
        <v>2.5000000000000001E-3</v>
      </c>
      <c r="J57" s="526">
        <v>3.5000000000000001E-3</v>
      </c>
      <c r="K57" s="526">
        <v>5.0000000000000001E-3</v>
      </c>
      <c r="L57" s="526">
        <v>7.0000000000000001E-3</v>
      </c>
      <c r="M57" s="526">
        <v>9.4999999999999998E-3</v>
      </c>
      <c r="N57" s="526">
        <v>1.4E-2</v>
      </c>
      <c r="O57" s="526">
        <v>1.7500000000000002E-2</v>
      </c>
      <c r="P57" s="526">
        <v>0.02</v>
      </c>
      <c r="Q57" s="526">
        <v>0.02</v>
      </c>
      <c r="R57" s="526">
        <v>0.02</v>
      </c>
      <c r="S57" s="527">
        <v>2.1840000000000082E-2</v>
      </c>
      <c r="T57" s="527">
        <v>2.3562500000000153E-2</v>
      </c>
      <c r="U57" s="527">
        <v>2.5285000000000224E-2</v>
      </c>
      <c r="V57" s="527">
        <v>2.7007500000000295E-2</v>
      </c>
      <c r="W57" s="527">
        <v>2.8729999999999922E-2</v>
      </c>
      <c r="X57" s="527">
        <v>3.0452499999999993E-2</v>
      </c>
      <c r="Y57" s="527">
        <v>3.2175000000000065E-2</v>
      </c>
      <c r="Z57" s="527">
        <v>3.3897500000000136E-2</v>
      </c>
      <c r="AA57" s="527">
        <v>3.5620000000000207E-2</v>
      </c>
      <c r="AB57" s="527">
        <v>3.7342500000000278E-2</v>
      </c>
      <c r="AC57" s="527">
        <v>3.9064999999999905E-2</v>
      </c>
      <c r="AD57" s="527">
        <v>4.0787499999999977E-2</v>
      </c>
      <c r="AE57" s="527">
        <v>4.2510000000000048E-2</v>
      </c>
      <c r="AF57" s="527">
        <v>4.4232500000000119E-2</v>
      </c>
      <c r="AG57" s="527">
        <v>4.595500000000019E-2</v>
      </c>
      <c r="AH57" s="527">
        <v>4.7677500000000261E-2</v>
      </c>
      <c r="AI57" s="527">
        <v>4.9399999999999888E-2</v>
      </c>
      <c r="AJ57" s="527">
        <v>5.112249999999996E-2</v>
      </c>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744</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740</v>
      </c>
      <c r="AM59" s="18" t="s">
        <v>756</v>
      </c>
    </row>
    <row r="60" spans="1:39">
      <c r="A60" s="501" t="s">
        <v>733</v>
      </c>
      <c r="G60" s="499">
        <v>9.8215380000000003</v>
      </c>
      <c r="H60" s="499">
        <v>7.7055229999999995</v>
      </c>
      <c r="I60" s="499">
        <v>9.8931500000000003</v>
      </c>
      <c r="J60" s="499">
        <v>10.593752</v>
      </c>
      <c r="K60" s="499">
        <v>11.244422</v>
      </c>
      <c r="L60" s="499">
        <v>11.44342</v>
      </c>
      <c r="M60" s="499">
        <v>12.605084999999999</v>
      </c>
      <c r="N60" s="499">
        <v>12.605084999999999</v>
      </c>
      <c r="O60" s="499">
        <v>12.605084999999999</v>
      </c>
      <c r="P60" s="499">
        <v>12.605084000000002</v>
      </c>
      <c r="Q60" s="499">
        <v>12.758178000000001</v>
      </c>
      <c r="R60" s="499">
        <v>12.758178000000001</v>
      </c>
      <c r="S60" s="499">
        <v>13.294426999999999</v>
      </c>
      <c r="T60" s="499">
        <v>13.294426999999999</v>
      </c>
      <c r="U60" s="499">
        <v>13.294426999999999</v>
      </c>
      <c r="V60" s="499">
        <v>13.294426999999999</v>
      </c>
      <c r="W60" s="499">
        <v>13.294426999999999</v>
      </c>
      <c r="X60" s="499">
        <v>13.380386999999999</v>
      </c>
      <c r="Y60" s="499">
        <v>13.380386999999999</v>
      </c>
      <c r="Z60" s="499">
        <v>13.436328</v>
      </c>
      <c r="AA60" s="499">
        <v>13.601866000000001</v>
      </c>
      <c r="AB60" s="499">
        <v>13.746514999999999</v>
      </c>
      <c r="AC60" s="499">
        <v>13.746514999999999</v>
      </c>
      <c r="AD60" s="499">
        <v>13.944156</v>
      </c>
      <c r="AE60" s="499">
        <v>14.119804999999999</v>
      </c>
      <c r="AF60" s="499">
        <v>14.191604000000002</v>
      </c>
      <c r="AG60" s="499">
        <v>14.191604000000002</v>
      </c>
      <c r="AH60" s="499">
        <v>14.191604000000002</v>
      </c>
      <c r="AI60" s="499">
        <v>14.191604000000002</v>
      </c>
      <c r="AJ60" s="499">
        <v>14.191604000000002</v>
      </c>
      <c r="AK60" s="503">
        <v>4.0000000000000001E-3</v>
      </c>
      <c r="AL60" s="508" t="s">
        <v>727</v>
      </c>
      <c r="AM60" s="29">
        <v>9.9999999999999995E-8</v>
      </c>
    </row>
    <row r="61" spans="1:39">
      <c r="A61" s="501" t="s">
        <v>734</v>
      </c>
      <c r="G61" s="499">
        <v>1E-4</v>
      </c>
      <c r="H61" s="499">
        <v>1E-4</v>
      </c>
      <c r="I61" s="499">
        <v>1E-4</v>
      </c>
      <c r="J61" s="499">
        <v>1E-4</v>
      </c>
      <c r="K61" s="499">
        <v>1E-4</v>
      </c>
      <c r="L61" s="499">
        <v>1E-4</v>
      </c>
      <c r="M61" s="499">
        <v>1E-4</v>
      </c>
      <c r="N61" s="499">
        <v>1E-4</v>
      </c>
      <c r="O61" s="499">
        <v>1E-4</v>
      </c>
      <c r="P61" s="499">
        <v>1E-4</v>
      </c>
      <c r="Q61" s="499">
        <v>1E-4</v>
      </c>
      <c r="R61" s="499">
        <v>1E-4</v>
      </c>
      <c r="S61" s="499">
        <v>1E-4</v>
      </c>
      <c r="T61" s="499">
        <v>1E-4</v>
      </c>
      <c r="U61" s="499">
        <v>1E-4</v>
      </c>
      <c r="V61" s="499">
        <v>1E-4</v>
      </c>
      <c r="W61" s="499">
        <v>1E-4</v>
      </c>
      <c r="X61" s="499">
        <v>1E-4</v>
      </c>
      <c r="Y61" s="499">
        <v>1E-4</v>
      </c>
      <c r="Z61" s="499">
        <v>1E-4</v>
      </c>
      <c r="AA61" s="499">
        <v>1E-4</v>
      </c>
      <c r="AB61" s="499">
        <v>1E-4</v>
      </c>
      <c r="AC61" s="499">
        <v>1E-4</v>
      </c>
      <c r="AD61" s="499">
        <v>1E-4</v>
      </c>
      <c r="AE61" s="499">
        <v>1E-4</v>
      </c>
      <c r="AF61" s="499">
        <v>1E-4</v>
      </c>
      <c r="AG61" s="499">
        <v>1E-4</v>
      </c>
      <c r="AH61" s="499">
        <v>1E-4</v>
      </c>
      <c r="AI61" s="499">
        <v>1E-4</v>
      </c>
      <c r="AJ61" s="499">
        <v>1E-4</v>
      </c>
      <c r="AK61" s="499" t="s">
        <v>41</v>
      </c>
      <c r="AL61" s="508" t="s">
        <v>728</v>
      </c>
      <c r="AM61" s="29">
        <v>0.27439469889004287</v>
      </c>
    </row>
    <row r="62" spans="1:39">
      <c r="A62" s="501" t="s">
        <v>735</v>
      </c>
      <c r="G62" s="499">
        <v>4.420585</v>
      </c>
      <c r="H62" s="499">
        <v>4.8728860000000003</v>
      </c>
      <c r="I62" s="499">
        <v>5.9408130000000003</v>
      </c>
      <c r="J62" s="499">
        <v>5.964995</v>
      </c>
      <c r="K62" s="499">
        <v>5.9276689999999999</v>
      </c>
      <c r="L62" s="499">
        <v>5.9280160000000004</v>
      </c>
      <c r="M62" s="499">
        <v>5.9282140000000005</v>
      </c>
      <c r="N62" s="499">
        <v>5.928134</v>
      </c>
      <c r="O62" s="499">
        <v>5.9278469999999999</v>
      </c>
      <c r="P62" s="499">
        <v>5.9270630000000004</v>
      </c>
      <c r="Q62" s="499">
        <v>5.9266079999999999</v>
      </c>
      <c r="R62" s="499">
        <v>5.9261970000000002</v>
      </c>
      <c r="S62" s="499">
        <v>5.9257340000000003</v>
      </c>
      <c r="T62" s="499">
        <v>5.9914560000000003</v>
      </c>
      <c r="U62" s="499">
        <v>5.9911790000000007</v>
      </c>
      <c r="V62" s="499">
        <v>5.9907900000000005</v>
      </c>
      <c r="W62" s="499">
        <v>5.9903769999999996</v>
      </c>
      <c r="X62" s="499">
        <v>5.9899379999999995</v>
      </c>
      <c r="Y62" s="499">
        <v>5.989026</v>
      </c>
      <c r="Z62" s="499">
        <v>5.9879519999999999</v>
      </c>
      <c r="AA62" s="499">
        <v>5.9869700000000003</v>
      </c>
      <c r="AB62" s="499">
        <v>5.9859590000000003</v>
      </c>
      <c r="AC62" s="499">
        <v>5.9849180000000004</v>
      </c>
      <c r="AD62" s="499">
        <v>6.1133790000000001</v>
      </c>
      <c r="AE62" s="499">
        <v>6.1128049999999998</v>
      </c>
      <c r="AF62" s="499">
        <v>6.1121630000000007</v>
      </c>
      <c r="AG62" s="499">
        <v>6.1114839999999999</v>
      </c>
      <c r="AH62" s="499">
        <v>6.1108529999999996</v>
      </c>
      <c r="AI62" s="499">
        <v>6.1102360000000004</v>
      </c>
      <c r="AJ62" s="499">
        <v>6.1096870000000001</v>
      </c>
      <c r="AK62" s="503">
        <v>4.0000000000000001E-3</v>
      </c>
      <c r="AL62" s="508" t="s">
        <v>729</v>
      </c>
      <c r="AM62" s="29">
        <v>0</v>
      </c>
    </row>
    <row r="63" spans="1:39">
      <c r="A63" s="501" t="s">
        <v>736</v>
      </c>
      <c r="G63" s="499">
        <v>1.399089</v>
      </c>
      <c r="H63" s="499">
        <v>1.3473730000000002</v>
      </c>
      <c r="I63" s="499">
        <v>1.4659610000000001</v>
      </c>
      <c r="J63" s="499">
        <v>1.6648689999999999</v>
      </c>
      <c r="K63" s="499">
        <v>1.9661019999999998</v>
      </c>
      <c r="L63" s="499">
        <v>2.7700170000000002</v>
      </c>
      <c r="M63" s="499">
        <v>5.180968</v>
      </c>
      <c r="N63" s="499">
        <v>8.601642</v>
      </c>
      <c r="O63" s="499">
        <v>8.6526069999999997</v>
      </c>
      <c r="P63" s="499">
        <v>9.4050900000000013</v>
      </c>
      <c r="Q63" s="499">
        <v>9.8504959999999997</v>
      </c>
      <c r="R63" s="499">
        <v>10.600919000000001</v>
      </c>
      <c r="S63" s="499">
        <v>13.035772</v>
      </c>
      <c r="T63" s="499">
        <v>13.165647999999999</v>
      </c>
      <c r="U63" s="499">
        <v>14.561133000000002</v>
      </c>
      <c r="V63" s="499">
        <v>14.825056999999999</v>
      </c>
      <c r="W63" s="499">
        <v>14.852137000000001</v>
      </c>
      <c r="X63" s="499">
        <v>15.195461999999999</v>
      </c>
      <c r="Y63" s="499">
        <v>15.447913</v>
      </c>
      <c r="Z63" s="499">
        <v>17.377988999999999</v>
      </c>
      <c r="AA63" s="499">
        <v>18.612911</v>
      </c>
      <c r="AB63" s="499">
        <v>19.046157000000001</v>
      </c>
      <c r="AC63" s="499">
        <v>19.126007999999999</v>
      </c>
      <c r="AD63" s="499">
        <v>19.178376</v>
      </c>
      <c r="AE63" s="499">
        <v>19.190023</v>
      </c>
      <c r="AF63" s="499">
        <v>19.109304999999999</v>
      </c>
      <c r="AG63" s="499">
        <v>19.221747000000001</v>
      </c>
      <c r="AH63" s="499">
        <v>19.334365000000002</v>
      </c>
      <c r="AI63" s="499">
        <v>19.320990000000002</v>
      </c>
      <c r="AJ63" s="499">
        <v>19.370069999999998</v>
      </c>
      <c r="AK63" s="503">
        <v>1.7999999999999999E-2</v>
      </c>
      <c r="AL63" s="508" t="s">
        <v>143</v>
      </c>
      <c r="AM63" s="29">
        <v>3.4740316136876845E-5</v>
      </c>
    </row>
    <row r="64" spans="1:39">
      <c r="A64" s="501" t="s">
        <v>737</v>
      </c>
      <c r="G64" s="499">
        <v>0.874865</v>
      </c>
      <c r="H64" s="499">
        <v>1.7395580000000002</v>
      </c>
      <c r="I64" s="499">
        <v>2.505557</v>
      </c>
      <c r="J64" s="499">
        <v>3.2208000000000001</v>
      </c>
      <c r="K64" s="499">
        <v>3.9420599999999997</v>
      </c>
      <c r="L64" s="499">
        <v>4.6265770000000002</v>
      </c>
      <c r="M64" s="499">
        <v>4.6541629999999996</v>
      </c>
      <c r="N64" s="499">
        <v>4.699179</v>
      </c>
      <c r="O64" s="499">
        <v>4.7753269999999999</v>
      </c>
      <c r="P64" s="499">
        <v>4.896191</v>
      </c>
      <c r="Q64" s="499">
        <v>5.0366669999999996</v>
      </c>
      <c r="R64" s="499">
        <v>5.1880280000000001</v>
      </c>
      <c r="S64" s="499">
        <v>5.3521670000000006</v>
      </c>
      <c r="T64" s="499">
        <v>5.536835</v>
      </c>
      <c r="U64" s="499">
        <v>5.7506490000000001</v>
      </c>
      <c r="V64" s="499">
        <v>5.9746129999999997</v>
      </c>
      <c r="W64" s="499">
        <v>6.2148059999999994</v>
      </c>
      <c r="X64" s="499">
        <v>6.4645420000000007</v>
      </c>
      <c r="Y64" s="499">
        <v>6.726013</v>
      </c>
      <c r="Z64" s="499">
        <v>7.0083009999999994</v>
      </c>
      <c r="AA64" s="499">
        <v>7.2977869999999996</v>
      </c>
      <c r="AB64" s="499">
        <v>7.5884020000000003</v>
      </c>
      <c r="AC64" s="499">
        <v>7.8846759999999998</v>
      </c>
      <c r="AD64" s="499">
        <v>8.2081979999999994</v>
      </c>
      <c r="AE64" s="499">
        <v>8.5440940000000012</v>
      </c>
      <c r="AF64" s="499">
        <v>8.8906949999999991</v>
      </c>
      <c r="AG64" s="499">
        <v>9.2457689999999992</v>
      </c>
      <c r="AH64" s="499">
        <v>9.6072590000000009</v>
      </c>
      <c r="AI64" s="499">
        <v>9.9771289999999997</v>
      </c>
      <c r="AJ64" s="499">
        <v>10.360859000000001</v>
      </c>
      <c r="AK64" s="503">
        <v>7.0000000000000007E-2</v>
      </c>
      <c r="AL64" s="508" t="s">
        <v>730</v>
      </c>
      <c r="AM64" s="29">
        <v>0.15154261334696958</v>
      </c>
    </row>
    <row r="65" spans="1:44">
      <c r="A65" s="501" t="s">
        <v>738</v>
      </c>
      <c r="G65" s="499">
        <v>12.539147</v>
      </c>
      <c r="H65" s="499">
        <v>14.796927999999999</v>
      </c>
      <c r="I65" s="499">
        <v>17.007448</v>
      </c>
      <c r="J65" s="499">
        <v>17.048107999999999</v>
      </c>
      <c r="K65" s="499">
        <v>17.166049999999998</v>
      </c>
      <c r="L65" s="499">
        <v>17.273971</v>
      </c>
      <c r="M65" s="499">
        <v>17.2727</v>
      </c>
      <c r="N65" s="499">
        <v>17.270510999999999</v>
      </c>
      <c r="O65" s="499">
        <v>17.268740999999999</v>
      </c>
      <c r="P65" s="499">
        <v>17.274557000000001</v>
      </c>
      <c r="Q65" s="499">
        <v>17.276361999999999</v>
      </c>
      <c r="R65" s="499">
        <v>17.278380000000002</v>
      </c>
      <c r="S65" s="499">
        <v>17.280798000000001</v>
      </c>
      <c r="T65" s="499">
        <v>17.291643000000001</v>
      </c>
      <c r="U65" s="499">
        <v>17.307338000000001</v>
      </c>
      <c r="V65" s="499">
        <v>17.331841000000001</v>
      </c>
      <c r="W65" s="499">
        <v>17.358896999999999</v>
      </c>
      <c r="X65" s="499">
        <v>17.385591999999999</v>
      </c>
      <c r="Y65" s="499">
        <v>17.413271000000002</v>
      </c>
      <c r="Z65" s="499">
        <v>17.445</v>
      </c>
      <c r="AA65" s="499">
        <v>17.470669999999998</v>
      </c>
      <c r="AB65" s="499">
        <v>17.496019</v>
      </c>
      <c r="AC65" s="499">
        <v>17.544440000000002</v>
      </c>
      <c r="AD65" s="499">
        <v>17.623866</v>
      </c>
      <c r="AE65" s="499">
        <v>17.678328</v>
      </c>
      <c r="AF65" s="499">
        <v>17.712706000000001</v>
      </c>
      <c r="AG65" s="499">
        <v>17.814340999999999</v>
      </c>
      <c r="AH65" s="499">
        <v>17.890840000000001</v>
      </c>
      <c r="AI65" s="499">
        <v>18.045925999999998</v>
      </c>
      <c r="AJ65" s="499">
        <v>18.262554999999999</v>
      </c>
      <c r="AK65" s="503">
        <v>7.2999999999999995E-2</v>
      </c>
      <c r="AL65" s="508" t="s">
        <v>731</v>
      </c>
      <c r="AM65" s="29">
        <v>0.12432179113871147</v>
      </c>
    </row>
    <row r="66" spans="1:44">
      <c r="A66" s="502" t="s">
        <v>739</v>
      </c>
      <c r="G66" s="500">
        <v>29.055223999999999</v>
      </c>
      <c r="H66" s="500">
        <v>30.462267000000001</v>
      </c>
      <c r="I66" s="500">
        <v>36.812928999999997</v>
      </c>
      <c r="J66" s="500">
        <v>38.492525000000001</v>
      </c>
      <c r="K66" s="500">
        <v>40.246302</v>
      </c>
      <c r="L66" s="500">
        <v>42.042001999999997</v>
      </c>
      <c r="M66" s="500">
        <v>45.641128999999999</v>
      </c>
      <c r="N66" s="500">
        <v>49.104549000000006</v>
      </c>
      <c r="O66" s="500">
        <v>49.229607000000001</v>
      </c>
      <c r="P66" s="500">
        <v>50.107984000000002</v>
      </c>
      <c r="Q66" s="500">
        <v>50.848313000000005</v>
      </c>
      <c r="R66" s="500">
        <v>51.751705000000001</v>
      </c>
      <c r="S66" s="500">
        <v>54.888897</v>
      </c>
      <c r="T66" s="500">
        <v>55.280011999999999</v>
      </c>
      <c r="U66" s="500">
        <v>56.904719999999998</v>
      </c>
      <c r="V66" s="500">
        <v>57.416725</v>
      </c>
      <c r="W66" s="500">
        <v>57.710644000000002</v>
      </c>
      <c r="X66" s="500">
        <v>58.415923000000006</v>
      </c>
      <c r="Y66" s="500">
        <v>58.956609999999998</v>
      </c>
      <c r="Z66" s="500">
        <v>61.255569000000001</v>
      </c>
      <c r="AA66" s="500">
        <v>62.970205</v>
      </c>
      <c r="AB66" s="500">
        <v>63.863051999999996</v>
      </c>
      <c r="AC66" s="500">
        <v>64.28655599999999</v>
      </c>
      <c r="AD66" s="500">
        <v>65.067972999999995</v>
      </c>
      <c r="AE66" s="500">
        <v>65.645055999999997</v>
      </c>
      <c r="AF66" s="500">
        <v>66.016472000000007</v>
      </c>
      <c r="AG66" s="500">
        <v>66.584946000000002</v>
      </c>
      <c r="AH66" s="500">
        <v>67.134925999999993</v>
      </c>
      <c r="AI66" s="500">
        <v>67.645887000000002</v>
      </c>
      <c r="AJ66" s="500">
        <v>68.294772999999992</v>
      </c>
      <c r="AK66" s="504">
        <v>2.1999999999999999E-2</v>
      </c>
      <c r="AL66" s="508" t="s">
        <v>732</v>
      </c>
      <c r="AM66" s="29">
        <v>0</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0.18409551344576996</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581</v>
      </c>
      <c r="AB70" s="319" t="s">
        <v>582</v>
      </c>
      <c r="AC70" s="319" t="s">
        <v>583</v>
      </c>
      <c r="AD70" s="319" t="s">
        <v>584</v>
      </c>
      <c r="AE70" s="319" t="s">
        <v>585</v>
      </c>
      <c r="AF70" s="319" t="s">
        <v>586</v>
      </c>
      <c r="AG70" s="319" t="s">
        <v>587</v>
      </c>
      <c r="AH70" s="319" t="s">
        <v>588</v>
      </c>
      <c r="AI70" s="319" t="s">
        <v>589</v>
      </c>
      <c r="AJ70" s="319" t="s">
        <v>590</v>
      </c>
      <c r="AK70" s="319" t="s">
        <v>593</v>
      </c>
      <c r="AM70" s="90" t="s">
        <v>751</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727</v>
      </c>
      <c r="AN72" s="18">
        <v>0</v>
      </c>
      <c r="AO72" s="18">
        <v>0</v>
      </c>
      <c r="AP72" s="18">
        <v>0</v>
      </c>
      <c r="AQ72" s="18">
        <v>0</v>
      </c>
      <c r="AR72" s="18">
        <v>0</v>
      </c>
    </row>
    <row r="73" spans="1:44" s="18" customFormat="1">
      <c r="A73" s="17" t="s">
        <v>49</v>
      </c>
      <c r="B73" s="491">
        <f>AN73</f>
        <v>2.1040000000000001</v>
      </c>
      <c r="C73" s="491">
        <f t="shared" ref="C73:F73" si="0">AO73</f>
        <v>1.6519999999999999</v>
      </c>
      <c r="D73" s="491">
        <f t="shared" si="0"/>
        <v>1.974</v>
      </c>
      <c r="E73" s="491">
        <f t="shared" si="0"/>
        <v>1.889</v>
      </c>
      <c r="F73" s="491">
        <f t="shared" si="0"/>
        <v>1.667</v>
      </c>
      <c r="G73" s="484">
        <f t="shared" ref="G73:AJ73" si="1">G60*$AM61</f>
        <v>2.6949779621471137</v>
      </c>
      <c r="H73" s="484">
        <f t="shared" si="1"/>
        <v>2.1143546633752996</v>
      </c>
      <c r="I73" s="484">
        <f t="shared" si="1"/>
        <v>2.7146279153240278</v>
      </c>
      <c r="J73" s="484">
        <f t="shared" si="1"/>
        <v>2.9068693901557894</v>
      </c>
      <c r="K73" s="484">
        <f t="shared" si="1"/>
        <v>3.0854097888825738</v>
      </c>
      <c r="L73" s="484">
        <f t="shared" si="1"/>
        <v>3.1400137851722945</v>
      </c>
      <c r="M73" s="484">
        <f t="shared" si="1"/>
        <v>3.4587685030583959</v>
      </c>
      <c r="N73" s="484">
        <f t="shared" si="1"/>
        <v>3.4587685030583959</v>
      </c>
      <c r="O73" s="484">
        <f t="shared" si="1"/>
        <v>3.4587685030583959</v>
      </c>
      <c r="P73" s="484">
        <f t="shared" si="1"/>
        <v>3.4587682286636974</v>
      </c>
      <c r="Q73" s="484">
        <f t="shared" si="1"/>
        <v>3.5007764106955697</v>
      </c>
      <c r="R73" s="484">
        <f t="shared" si="1"/>
        <v>3.5007764106955697</v>
      </c>
      <c r="S73" s="484">
        <f t="shared" si="1"/>
        <v>3.6479202935806554</v>
      </c>
      <c r="T73" s="484">
        <f t="shared" si="1"/>
        <v>3.6479202935806554</v>
      </c>
      <c r="U73" s="484">
        <f t="shared" si="1"/>
        <v>3.6479202935806554</v>
      </c>
      <c r="V73" s="484">
        <f t="shared" si="1"/>
        <v>3.6479202935806554</v>
      </c>
      <c r="W73" s="484">
        <f t="shared" si="1"/>
        <v>3.6479202935806554</v>
      </c>
      <c r="X73" s="484">
        <f t="shared" si="1"/>
        <v>3.6715072618972435</v>
      </c>
      <c r="Y73" s="484">
        <f t="shared" si="1"/>
        <v>3.6715072618972435</v>
      </c>
      <c r="Z73" s="484">
        <f t="shared" si="1"/>
        <v>3.6868571757478517</v>
      </c>
      <c r="AA73" s="484">
        <f t="shared" si="1"/>
        <v>3.7322799254127119</v>
      </c>
      <c r="AB73" s="484">
        <f t="shared" si="1"/>
        <v>3.7719708442124573</v>
      </c>
      <c r="AC73" s="484">
        <f t="shared" si="1"/>
        <v>3.7719708442124573</v>
      </c>
      <c r="AD73" s="484">
        <f t="shared" si="1"/>
        <v>3.8262024868957845</v>
      </c>
      <c r="AE73" s="484">
        <f t="shared" si="1"/>
        <v>3.8743996413611215</v>
      </c>
      <c r="AF73" s="484">
        <f t="shared" si="1"/>
        <v>3.8941009063467282</v>
      </c>
      <c r="AG73" s="484">
        <f t="shared" si="1"/>
        <v>3.8941009063467282</v>
      </c>
      <c r="AH73" s="484">
        <f t="shared" si="1"/>
        <v>3.8941009063467282</v>
      </c>
      <c r="AI73" s="484">
        <f t="shared" si="1"/>
        <v>3.8941009063467282</v>
      </c>
      <c r="AJ73" s="484">
        <f t="shared" si="1"/>
        <v>3.8941009063467282</v>
      </c>
      <c r="AK73" s="485"/>
      <c r="AM73" s="18" t="s">
        <v>728</v>
      </c>
      <c r="AN73" s="18">
        <v>2.1040000000000001</v>
      </c>
      <c r="AO73" s="18">
        <v>1.6519999999999999</v>
      </c>
      <c r="AP73" s="18">
        <v>1.974</v>
      </c>
      <c r="AQ73" s="18">
        <v>1.889</v>
      </c>
      <c r="AR73" s="18">
        <v>1.667</v>
      </c>
    </row>
    <row r="74" spans="1:44" s="18" customFormat="1">
      <c r="A74" s="17" t="s">
        <v>50</v>
      </c>
      <c r="B74" s="491">
        <f>AN72</f>
        <v>0</v>
      </c>
      <c r="C74" s="491">
        <f t="shared" ref="C74:F74" si="2">AO72</f>
        <v>0</v>
      </c>
      <c r="D74" s="491">
        <f t="shared" si="2"/>
        <v>0</v>
      </c>
      <c r="E74" s="491">
        <f t="shared" si="2"/>
        <v>0</v>
      </c>
      <c r="F74" s="491">
        <f t="shared" si="2"/>
        <v>0</v>
      </c>
      <c r="G74" s="484">
        <f t="shared" ref="G74:AJ74" si="3">G61*$AM60</f>
        <v>9.9999999999999994E-12</v>
      </c>
      <c r="H74" s="484">
        <f t="shared" si="3"/>
        <v>9.9999999999999994E-12</v>
      </c>
      <c r="I74" s="484">
        <f t="shared" si="3"/>
        <v>9.9999999999999994E-12</v>
      </c>
      <c r="J74" s="484">
        <f t="shared" si="3"/>
        <v>9.9999999999999994E-12</v>
      </c>
      <c r="K74" s="484">
        <f t="shared" si="3"/>
        <v>9.9999999999999994E-12</v>
      </c>
      <c r="L74" s="484">
        <f t="shared" si="3"/>
        <v>9.9999999999999994E-12</v>
      </c>
      <c r="M74" s="484">
        <f t="shared" si="3"/>
        <v>9.9999999999999994E-12</v>
      </c>
      <c r="N74" s="484">
        <f t="shared" si="3"/>
        <v>9.9999999999999994E-12</v>
      </c>
      <c r="O74" s="484">
        <f t="shared" si="3"/>
        <v>9.9999999999999994E-12</v>
      </c>
      <c r="P74" s="484">
        <f t="shared" si="3"/>
        <v>9.9999999999999994E-12</v>
      </c>
      <c r="Q74" s="484">
        <f t="shared" si="3"/>
        <v>9.9999999999999994E-12</v>
      </c>
      <c r="R74" s="484">
        <f t="shared" si="3"/>
        <v>9.9999999999999994E-12</v>
      </c>
      <c r="S74" s="484">
        <f t="shared" si="3"/>
        <v>9.9999999999999994E-12</v>
      </c>
      <c r="T74" s="484">
        <f t="shared" si="3"/>
        <v>9.9999999999999994E-12</v>
      </c>
      <c r="U74" s="484">
        <f t="shared" si="3"/>
        <v>9.9999999999999994E-12</v>
      </c>
      <c r="V74" s="484">
        <f t="shared" si="3"/>
        <v>9.9999999999999994E-12</v>
      </c>
      <c r="W74" s="484">
        <f t="shared" si="3"/>
        <v>9.9999999999999994E-12</v>
      </c>
      <c r="X74" s="484">
        <f t="shared" si="3"/>
        <v>9.9999999999999994E-12</v>
      </c>
      <c r="Y74" s="484">
        <f t="shared" si="3"/>
        <v>9.9999999999999994E-12</v>
      </c>
      <c r="Z74" s="484">
        <f t="shared" si="3"/>
        <v>9.9999999999999994E-12</v>
      </c>
      <c r="AA74" s="484">
        <f t="shared" si="3"/>
        <v>9.9999999999999994E-12</v>
      </c>
      <c r="AB74" s="484">
        <f t="shared" si="3"/>
        <v>9.9999999999999994E-12</v>
      </c>
      <c r="AC74" s="484">
        <f t="shared" si="3"/>
        <v>9.9999999999999994E-12</v>
      </c>
      <c r="AD74" s="484">
        <f t="shared" si="3"/>
        <v>9.9999999999999994E-12</v>
      </c>
      <c r="AE74" s="484">
        <f t="shared" si="3"/>
        <v>9.9999999999999994E-12</v>
      </c>
      <c r="AF74" s="484">
        <f t="shared" si="3"/>
        <v>9.9999999999999994E-12</v>
      </c>
      <c r="AG74" s="484">
        <f t="shared" si="3"/>
        <v>9.9999999999999994E-12</v>
      </c>
      <c r="AH74" s="484">
        <f t="shared" si="3"/>
        <v>9.9999999999999994E-12</v>
      </c>
      <c r="AI74" s="484">
        <f t="shared" si="3"/>
        <v>9.9999999999999994E-12</v>
      </c>
      <c r="AJ74" s="484">
        <f t="shared" si="3"/>
        <v>9.9999999999999994E-12</v>
      </c>
      <c r="AK74" s="485"/>
      <c r="AM74" s="18" t="s">
        <v>729</v>
      </c>
      <c r="AN74" s="18">
        <v>0</v>
      </c>
      <c r="AO74" s="18">
        <v>0</v>
      </c>
      <c r="AP74" s="18">
        <v>0</v>
      </c>
      <c r="AQ74" s="18">
        <v>0</v>
      </c>
      <c r="AR74" s="18">
        <v>0</v>
      </c>
    </row>
    <row r="75" spans="1:44" s="18" customFormat="1">
      <c r="A75" s="17" t="s">
        <v>51</v>
      </c>
      <c r="B75" s="491">
        <f>AN77</f>
        <v>0.40799999999999997</v>
      </c>
      <c r="C75" s="491">
        <f t="shared" ref="C75:F75" si="4">AO77</f>
        <v>0.4</v>
      </c>
      <c r="D75" s="491">
        <f t="shared" si="4"/>
        <v>0.41499999999999998</v>
      </c>
      <c r="E75" s="491">
        <f t="shared" si="4"/>
        <v>0.376</v>
      </c>
      <c r="F75" s="491">
        <f t="shared" si="4"/>
        <v>0.40699999999999997</v>
      </c>
      <c r="G75" s="484">
        <f t="shared" ref="G75:AJ75" si="5">G62*$AM65</f>
        <v>0.54957504508092081</v>
      </c>
      <c r="H75" s="484">
        <f t="shared" si="5"/>
        <v>0.60580591553475127</v>
      </c>
      <c r="I75" s="484">
        <f t="shared" si="5"/>
        <v>0.73857251298014193</v>
      </c>
      <c r="J75" s="484">
        <f t="shared" si="5"/>
        <v>0.74157886253345828</v>
      </c>
      <c r="K75" s="484">
        <f t="shared" si="5"/>
        <v>0.73693842735741466</v>
      </c>
      <c r="L75" s="484">
        <f t="shared" si="5"/>
        <v>0.73698156701893991</v>
      </c>
      <c r="M75" s="484">
        <f t="shared" si="5"/>
        <v>0.73700618273358531</v>
      </c>
      <c r="N75" s="484">
        <f t="shared" si="5"/>
        <v>0.73699623699029415</v>
      </c>
      <c r="O75" s="484">
        <f t="shared" si="5"/>
        <v>0.73696055663623738</v>
      </c>
      <c r="P75" s="484">
        <f t="shared" si="5"/>
        <v>0.73686308835198466</v>
      </c>
      <c r="Q75" s="484">
        <f t="shared" si="5"/>
        <v>0.73680652193701657</v>
      </c>
      <c r="R75" s="484">
        <f t="shared" si="5"/>
        <v>0.7367554256808585</v>
      </c>
      <c r="S75" s="484">
        <f t="shared" si="5"/>
        <v>0.73669786469156129</v>
      </c>
      <c r="T75" s="484">
        <f t="shared" si="5"/>
        <v>0.74486854144877979</v>
      </c>
      <c r="U75" s="484">
        <f t="shared" si="5"/>
        <v>0.7448341043126343</v>
      </c>
      <c r="V75" s="484">
        <f t="shared" si="5"/>
        <v>0.74478574313588142</v>
      </c>
      <c r="W75" s="484">
        <f t="shared" si="5"/>
        <v>0.74473439823614096</v>
      </c>
      <c r="X75" s="484">
        <f t="shared" si="5"/>
        <v>0.7446798209698311</v>
      </c>
      <c r="Y75" s="484">
        <f t="shared" si="5"/>
        <v>0.74456643949631263</v>
      </c>
      <c r="Z75" s="484">
        <f t="shared" si="5"/>
        <v>0.74443291789262966</v>
      </c>
      <c r="AA75" s="484">
        <f t="shared" si="5"/>
        <v>0.74431083389373143</v>
      </c>
      <c r="AB75" s="484">
        <f t="shared" si="5"/>
        <v>0.7441851445628902</v>
      </c>
      <c r="AC75" s="484">
        <f t="shared" si="5"/>
        <v>0.7440557255783149</v>
      </c>
      <c r="AD75" s="484">
        <f t="shared" si="5"/>
        <v>0.76002622718978485</v>
      </c>
      <c r="AE75" s="484">
        <f t="shared" si="5"/>
        <v>0.75995486648167121</v>
      </c>
      <c r="AF75" s="484">
        <f t="shared" si="5"/>
        <v>0.75987505189176019</v>
      </c>
      <c r="AG75" s="484">
        <f t="shared" si="5"/>
        <v>0.75979063739557695</v>
      </c>
      <c r="AH75" s="484">
        <f t="shared" si="5"/>
        <v>0.75971219034536841</v>
      </c>
      <c r="AI75" s="484">
        <f t="shared" si="5"/>
        <v>0.75963548380023593</v>
      </c>
      <c r="AJ75" s="484">
        <f t="shared" si="5"/>
        <v>0.75956723113690072</v>
      </c>
      <c r="AK75" s="485"/>
      <c r="AM75" s="18" t="s">
        <v>143</v>
      </c>
      <c r="AN75" s="18">
        <v>0</v>
      </c>
      <c r="AO75" s="18">
        <v>0</v>
      </c>
      <c r="AP75" s="18">
        <v>0</v>
      </c>
      <c r="AQ75" s="18">
        <v>0</v>
      </c>
      <c r="AR75" s="18">
        <v>1E-3</v>
      </c>
    </row>
    <row r="76" spans="1:44" s="18" customFormat="1">
      <c r="A76" s="17" t="s">
        <v>56</v>
      </c>
      <c r="B76" s="492">
        <f>AN76</f>
        <v>0.218</v>
      </c>
      <c r="C76" s="492">
        <f t="shared" ref="C76:F76" si="6">AO76</f>
        <v>0.20300000000000001</v>
      </c>
      <c r="D76" s="492">
        <f t="shared" si="6"/>
        <v>0.19800000000000001</v>
      </c>
      <c r="E76" s="492">
        <f t="shared" si="6"/>
        <v>0.17499999999999999</v>
      </c>
      <c r="F76" s="492">
        <f t="shared" si="6"/>
        <v>0.16500000000000001</v>
      </c>
      <c r="G76" s="492">
        <f>G63*$AM$64</f>
        <v>0.21202160336499834</v>
      </c>
      <c r="H76" s="492">
        <f>H63*$AM$64</f>
        <v>0.20418442557314648</v>
      </c>
      <c r="I76" s="492">
        <f t="shared" ref="I76:AJ76" si="7">I63*$AM$64</f>
        <v>0.22215556100473688</v>
      </c>
      <c r="J76" s="492">
        <f t="shared" si="7"/>
        <v>0.25229859914035591</v>
      </c>
      <c r="K76" s="492">
        <f t="shared" si="7"/>
        <v>0.29794823518670355</v>
      </c>
      <c r="L76" s="492">
        <f t="shared" si="7"/>
        <v>0.41977561519553269</v>
      </c>
      <c r="M76" s="492">
        <f t="shared" si="7"/>
        <v>0.78513743038702233</v>
      </c>
      <c r="N76" s="492">
        <f t="shared" si="7"/>
        <v>1.3035153077550541</v>
      </c>
      <c r="O76" s="492">
        <f t="shared" si="7"/>
        <v>1.3112386770442823</v>
      </c>
      <c r="P76" s="492">
        <f t="shared" si="7"/>
        <v>1.4252719173634503</v>
      </c>
      <c r="Q76" s="492">
        <f t="shared" si="7"/>
        <v>1.4927699066038704</v>
      </c>
      <c r="R76" s="492">
        <f t="shared" si="7"/>
        <v>1.6064909691395437</v>
      </c>
      <c r="S76" s="492">
        <f t="shared" si="7"/>
        <v>1.9754749558752525</v>
      </c>
      <c r="T76" s="492">
        <f t="shared" si="7"/>
        <v>1.9951567043263032</v>
      </c>
      <c r="U76" s="492">
        <f t="shared" si="7"/>
        <v>2.2066321481127997</v>
      </c>
      <c r="V76" s="492">
        <f t="shared" si="7"/>
        <v>2.2466278807977846</v>
      </c>
      <c r="W76" s="492">
        <f t="shared" si="7"/>
        <v>2.2507316547672209</v>
      </c>
      <c r="X76" s="492">
        <f t="shared" si="7"/>
        <v>2.302760022494569</v>
      </c>
      <c r="Y76" s="492">
        <f t="shared" si="7"/>
        <v>2.3410171067766248</v>
      </c>
      <c r="Z76" s="492">
        <f t="shared" si="7"/>
        <v>2.6335058677748906</v>
      </c>
      <c r="AA76" s="492">
        <f t="shared" si="7"/>
        <v>2.820649174934557</v>
      </c>
      <c r="AB76" s="492">
        <f t="shared" si="7"/>
        <v>2.8863044059966785</v>
      </c>
      <c r="AC76" s="492">
        <f t="shared" si="7"/>
        <v>2.8984052352150469</v>
      </c>
      <c r="AD76" s="492">
        <f t="shared" si="7"/>
        <v>2.9063412187908013</v>
      </c>
      <c r="AE76" s="492">
        <f t="shared" si="7"/>
        <v>2.9081062356084533</v>
      </c>
      <c r="AF76" s="492">
        <f t="shared" si="7"/>
        <v>2.8958740189443124</v>
      </c>
      <c r="AG76" s="492">
        <f t="shared" si="7"/>
        <v>2.9129137734742727</v>
      </c>
      <c r="AH76" s="492">
        <f t="shared" si="7"/>
        <v>2.9299801995041816</v>
      </c>
      <c r="AI76" s="492">
        <f t="shared" si="7"/>
        <v>2.9279533170506662</v>
      </c>
      <c r="AJ76" s="492">
        <f t="shared" si="7"/>
        <v>2.935391028513735</v>
      </c>
      <c r="AK76" s="485"/>
      <c r="AM76" s="18" t="s">
        <v>746</v>
      </c>
      <c r="AN76" s="18">
        <v>0.218</v>
      </c>
      <c r="AO76" s="18">
        <v>0.20300000000000001</v>
      </c>
      <c r="AP76" s="18">
        <v>0.19800000000000001</v>
      </c>
      <c r="AQ76" s="18">
        <v>0.17499999999999999</v>
      </c>
      <c r="AR76" s="18">
        <v>0.16500000000000001</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752</v>
      </c>
      <c r="AN77" s="18">
        <v>0.40799999999999997</v>
      </c>
      <c r="AO77" s="18">
        <v>0.4</v>
      </c>
      <c r="AP77" s="18">
        <v>0.41499999999999998</v>
      </c>
      <c r="AQ77" s="18">
        <v>0.376</v>
      </c>
      <c r="AR77" s="18">
        <v>0.40699999999999997</v>
      </c>
    </row>
    <row r="78" spans="1:44" s="18" customFormat="1">
      <c r="A78" s="17" t="s">
        <v>53</v>
      </c>
      <c r="B78" s="491">
        <f>AN75</f>
        <v>0</v>
      </c>
      <c r="C78" s="491">
        <f t="shared" ref="C78:F78" si="10">AO75</f>
        <v>0</v>
      </c>
      <c r="D78" s="491">
        <f t="shared" si="10"/>
        <v>0</v>
      </c>
      <c r="E78" s="491">
        <f t="shared" si="10"/>
        <v>0</v>
      </c>
      <c r="F78" s="491">
        <f t="shared" si="10"/>
        <v>1E-3</v>
      </c>
      <c r="G78" s="484">
        <f t="shared" ref="G78:AJ78" si="11">G65*$AM63</f>
        <v>4.3561393086677088E-4</v>
      </c>
      <c r="H78" s="484">
        <f t="shared" si="11"/>
        <v>5.1404995657460483E-4</v>
      </c>
      <c r="I78" s="484">
        <f t="shared" si="11"/>
        <v>5.9084412020149382E-4</v>
      </c>
      <c r="J78" s="484">
        <f t="shared" si="11"/>
        <v>5.9225666145561922E-4</v>
      </c>
      <c r="K78" s="484">
        <f t="shared" si="11"/>
        <v>5.9635400382143471E-4</v>
      </c>
      <c r="L78" s="484">
        <f t="shared" si="11"/>
        <v>6.0010321347924269E-4</v>
      </c>
      <c r="M78" s="484">
        <f t="shared" si="11"/>
        <v>6.0005905853743272E-4</v>
      </c>
      <c r="N78" s="484">
        <f t="shared" si="11"/>
        <v>5.9998301198540898E-4</v>
      </c>
      <c r="O78" s="484">
        <f t="shared" si="11"/>
        <v>5.9992152162584669E-4</v>
      </c>
      <c r="P78" s="484">
        <f t="shared" si="11"/>
        <v>6.0012357130449887E-4</v>
      </c>
      <c r="Q78" s="484">
        <f t="shared" si="11"/>
        <v>6.0018627757512592E-4</v>
      </c>
      <c r="R78" s="484">
        <f t="shared" si="11"/>
        <v>6.0025638353309024E-4</v>
      </c>
      <c r="S78" s="484">
        <f t="shared" si="11"/>
        <v>6.0034038561750916E-4</v>
      </c>
      <c r="T78" s="484">
        <f t="shared" si="11"/>
        <v>6.0071714434601351E-4</v>
      </c>
      <c r="U78" s="484">
        <f t="shared" si="11"/>
        <v>6.0126239360778187E-4</v>
      </c>
      <c r="V78" s="484">
        <f t="shared" si="11"/>
        <v>6.0211363557408375E-4</v>
      </c>
      <c r="W78" s="484">
        <f t="shared" si="11"/>
        <v>6.0305356956748301E-4</v>
      </c>
      <c r="X78" s="484">
        <f t="shared" si="11"/>
        <v>6.039809623067569E-4</v>
      </c>
      <c r="Y78" s="484">
        <f t="shared" si="11"/>
        <v>6.0494253951710961E-4</v>
      </c>
      <c r="Z78" s="484">
        <f t="shared" si="11"/>
        <v>6.0604481500781658E-4</v>
      </c>
      <c r="AA78" s="484">
        <f t="shared" si="11"/>
        <v>6.0693659892305013E-4</v>
      </c>
      <c r="AB78" s="484">
        <f t="shared" si="11"/>
        <v>6.0781723119680386E-4</v>
      </c>
      <c r="AC78" s="484">
        <f t="shared" si="11"/>
        <v>6.0949939204446764E-4</v>
      </c>
      <c r="AD78" s="484">
        <f t="shared" si="11"/>
        <v>6.1225867639395513E-4</v>
      </c>
      <c r="AE78" s="484">
        <f t="shared" si="11"/>
        <v>6.1415070349140179E-4</v>
      </c>
      <c r="AF78" s="484">
        <f t="shared" si="11"/>
        <v>6.1534500607955537E-4</v>
      </c>
      <c r="AG78" s="484">
        <f t="shared" si="11"/>
        <v>6.1887583811012672E-4</v>
      </c>
      <c r="AH78" s="484">
        <f t="shared" si="11"/>
        <v>6.2153343755428172E-4</v>
      </c>
      <c r="AI78" s="484">
        <f t="shared" si="11"/>
        <v>6.2692117422268533E-4</v>
      </c>
      <c r="AJ78" s="484">
        <f t="shared" si="11"/>
        <v>6.3444693416710087E-4</v>
      </c>
      <c r="AK78" s="485"/>
      <c r="AM78" s="18" t="s">
        <v>753</v>
      </c>
      <c r="AN78" s="18">
        <v>0</v>
      </c>
      <c r="AO78" s="18">
        <v>0</v>
      </c>
      <c r="AP78" s="18">
        <v>0</v>
      </c>
      <c r="AQ78" s="18">
        <v>0</v>
      </c>
      <c r="AR78" s="18">
        <v>0</v>
      </c>
    </row>
    <row r="79" spans="1:44" s="18" customFormat="1">
      <c r="A79" s="17" t="s">
        <v>54</v>
      </c>
      <c r="B79" s="493">
        <f>AN79</f>
        <v>2.73</v>
      </c>
      <c r="C79" s="493">
        <f t="shared" ref="C79:F79" si="12">AO79</f>
        <v>2.2559999999999998</v>
      </c>
      <c r="D79" s="493">
        <f t="shared" si="12"/>
        <v>2.5870000000000002</v>
      </c>
      <c r="E79" s="493">
        <f t="shared" si="12"/>
        <v>2.44</v>
      </c>
      <c r="F79" s="493">
        <f t="shared" si="12"/>
        <v>2.2410000000000001</v>
      </c>
      <c r="G79" s="486">
        <f>SUM(G73:G78)</f>
        <v>3.4570102245338994</v>
      </c>
      <c r="H79" s="486">
        <f t="shared" ref="H79:AJ79" si="13">SUM(H73:H78)</f>
        <v>2.9248590544497723</v>
      </c>
      <c r="I79" s="486">
        <f t="shared" si="13"/>
        <v>3.6759468334391081</v>
      </c>
      <c r="J79" s="486">
        <f t="shared" si="13"/>
        <v>3.9013391085010589</v>
      </c>
      <c r="K79" s="486">
        <f t="shared" si="13"/>
        <v>4.1208928054405138</v>
      </c>
      <c r="L79" s="486">
        <f t="shared" si="13"/>
        <v>4.2973710706102457</v>
      </c>
      <c r="M79" s="486">
        <f t="shared" si="13"/>
        <v>4.9815121752475413</v>
      </c>
      <c r="N79" s="486">
        <f t="shared" si="13"/>
        <v>5.4998800308257305</v>
      </c>
      <c r="O79" s="486">
        <f t="shared" si="13"/>
        <v>5.5075676582705411</v>
      </c>
      <c r="P79" s="486">
        <f t="shared" si="13"/>
        <v>5.621503357960437</v>
      </c>
      <c r="Q79" s="486">
        <f t="shared" si="13"/>
        <v>5.7309530255240313</v>
      </c>
      <c r="R79" s="486">
        <f t="shared" si="13"/>
        <v>5.8446230619095054</v>
      </c>
      <c r="S79" s="486">
        <f t="shared" si="13"/>
        <v>6.3606934545430862</v>
      </c>
      <c r="T79" s="486">
        <f t="shared" si="13"/>
        <v>6.3885462565100841</v>
      </c>
      <c r="U79" s="486">
        <f t="shared" si="13"/>
        <v>6.5999878084096979</v>
      </c>
      <c r="V79" s="486">
        <f t="shared" si="13"/>
        <v>6.6399360311598965</v>
      </c>
      <c r="W79" s="486">
        <f t="shared" si="13"/>
        <v>6.6439894001635844</v>
      </c>
      <c r="X79" s="486">
        <f t="shared" si="13"/>
        <v>6.7195510863339507</v>
      </c>
      <c r="Y79" s="486">
        <f t="shared" si="13"/>
        <v>6.757695750719698</v>
      </c>
      <c r="Z79" s="486">
        <f t="shared" si="13"/>
        <v>7.0654020062403804</v>
      </c>
      <c r="AA79" s="486">
        <f t="shared" si="13"/>
        <v>7.2978468708499236</v>
      </c>
      <c r="AB79" s="486">
        <f t="shared" si="13"/>
        <v>7.4030682120132223</v>
      </c>
      <c r="AC79" s="486">
        <f t="shared" si="13"/>
        <v>7.4150413044078638</v>
      </c>
      <c r="AD79" s="486">
        <f t="shared" si="13"/>
        <v>7.4931821915627648</v>
      </c>
      <c r="AE79" s="486">
        <f t="shared" si="13"/>
        <v>7.5430748941647376</v>
      </c>
      <c r="AF79" s="486">
        <f t="shared" si="13"/>
        <v>7.5504653221988809</v>
      </c>
      <c r="AG79" s="486">
        <f t="shared" si="13"/>
        <v>7.5674241930646877</v>
      </c>
      <c r="AH79" s="486">
        <f t="shared" si="13"/>
        <v>7.5844148296438325</v>
      </c>
      <c r="AI79" s="486">
        <f t="shared" si="13"/>
        <v>7.5823166283818528</v>
      </c>
      <c r="AJ79" s="486">
        <f t="shared" si="13"/>
        <v>7.58969361294153</v>
      </c>
      <c r="AK79" s="487"/>
      <c r="AM79" s="18" t="s">
        <v>58</v>
      </c>
      <c r="AN79" s="18">
        <v>2.73</v>
      </c>
      <c r="AO79" s="18">
        <v>2.2559999999999998</v>
      </c>
      <c r="AP79" s="18">
        <v>2.5870000000000002</v>
      </c>
      <c r="AQ79" s="18">
        <v>2.44</v>
      </c>
      <c r="AR79" s="18">
        <v>2.2410000000000001</v>
      </c>
    </row>
    <row r="80" spans="1:44" s="255" customFormat="1">
      <c r="A80" s="254" t="s">
        <v>57</v>
      </c>
      <c r="B80" s="474">
        <f>B79*1000</f>
        <v>2730</v>
      </c>
      <c r="C80" s="474">
        <f t="shared" ref="C80:AJ80" si="14">C79*1000</f>
        <v>2256</v>
      </c>
      <c r="D80" s="474">
        <f t="shared" si="14"/>
        <v>2587</v>
      </c>
      <c r="E80" s="474">
        <f t="shared" si="14"/>
        <v>2440</v>
      </c>
      <c r="F80" s="474">
        <f t="shared" si="14"/>
        <v>2241</v>
      </c>
      <c r="G80" s="276">
        <f t="shared" si="14"/>
        <v>3457.0102245338994</v>
      </c>
      <c r="H80" s="276">
        <f t="shared" si="14"/>
        <v>2924.8590544497724</v>
      </c>
      <c r="I80" s="276">
        <f t="shared" si="14"/>
        <v>3675.9468334391081</v>
      </c>
      <c r="J80" s="276">
        <f t="shared" si="14"/>
        <v>3901.3391085010589</v>
      </c>
      <c r="K80" s="276">
        <f t="shared" si="14"/>
        <v>4120.8928054405142</v>
      </c>
      <c r="L80" s="276">
        <f t="shared" si="14"/>
        <v>4297.3710706102456</v>
      </c>
      <c r="M80" s="276">
        <f t="shared" si="14"/>
        <v>4981.5121752475416</v>
      </c>
      <c r="N80" s="276">
        <f t="shared" si="14"/>
        <v>5499.8800308257305</v>
      </c>
      <c r="O80" s="276">
        <f t="shared" si="14"/>
        <v>5507.567658270541</v>
      </c>
      <c r="P80" s="276">
        <f t="shared" si="14"/>
        <v>5621.5033579604369</v>
      </c>
      <c r="Q80" s="276">
        <f t="shared" si="14"/>
        <v>5730.9530255240315</v>
      </c>
      <c r="R80" s="276">
        <f t="shared" si="14"/>
        <v>5844.6230619095059</v>
      </c>
      <c r="S80" s="276">
        <f t="shared" si="14"/>
        <v>6360.6934545430859</v>
      </c>
      <c r="T80" s="276">
        <f t="shared" si="14"/>
        <v>6388.5462565100843</v>
      </c>
      <c r="U80" s="276">
        <f t="shared" si="14"/>
        <v>6599.9878084096981</v>
      </c>
      <c r="V80" s="276">
        <f t="shared" si="14"/>
        <v>6639.9360311598966</v>
      </c>
      <c r="W80" s="276">
        <f t="shared" si="14"/>
        <v>6643.9894001635848</v>
      </c>
      <c r="X80" s="276">
        <f t="shared" si="14"/>
        <v>6719.5510863339505</v>
      </c>
      <c r="Y80" s="276">
        <f t="shared" si="14"/>
        <v>6757.6957507196976</v>
      </c>
      <c r="Z80" s="276">
        <f t="shared" si="14"/>
        <v>7065.4020062403806</v>
      </c>
      <c r="AA80" s="276">
        <f t="shared" si="14"/>
        <v>7297.846870849924</v>
      </c>
      <c r="AB80" s="276">
        <f t="shared" si="14"/>
        <v>7403.0682120132224</v>
      </c>
      <c r="AC80" s="276">
        <f t="shared" si="14"/>
        <v>7415.0413044078641</v>
      </c>
      <c r="AD80" s="276">
        <f t="shared" si="14"/>
        <v>7493.1821915627652</v>
      </c>
      <c r="AE80" s="276">
        <f t="shared" si="14"/>
        <v>7543.074894164738</v>
      </c>
      <c r="AF80" s="276">
        <f t="shared" si="14"/>
        <v>7550.465322198881</v>
      </c>
      <c r="AG80" s="276">
        <f t="shared" si="14"/>
        <v>7567.4241930646876</v>
      </c>
      <c r="AH80" s="276">
        <f t="shared" si="14"/>
        <v>7584.4148296438325</v>
      </c>
      <c r="AI80" s="276">
        <f t="shared" si="14"/>
        <v>7582.3166283818528</v>
      </c>
      <c r="AJ80" s="276">
        <f t="shared" si="14"/>
        <v>7589.6936129415299</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1.3122803972470504E-11</v>
      </c>
      <c r="H81" s="260">
        <f t="shared" si="15"/>
        <v>1.2337996080123841E-11</v>
      </c>
      <c r="I81" s="260">
        <f t="shared" si="15"/>
        <v>1.0402375123967851E-11</v>
      </c>
      <c r="J81" s="260">
        <f t="shared" si="15"/>
        <v>1.0055610357487126E-11</v>
      </c>
      <c r="K81" s="260">
        <f t="shared" si="15"/>
        <v>9.6573288408351762E-12</v>
      </c>
      <c r="L81" s="260">
        <f t="shared" si="15"/>
        <v>8.6403741747008844E-12</v>
      </c>
      <c r="M81" s="260">
        <f t="shared" si="15"/>
        <v>6.5670934528486198E-12</v>
      </c>
      <c r="N81" s="260">
        <f t="shared" si="15"/>
        <v>4.899291324339578E-12</v>
      </c>
      <c r="O81" s="260">
        <f t="shared" si="15"/>
        <v>4.8809079086937321E-12</v>
      </c>
      <c r="P81" s="260">
        <f t="shared" si="15"/>
        <v>4.6237747121866545E-12</v>
      </c>
      <c r="Q81" s="260">
        <f t="shared" si="15"/>
        <v>4.4839498062664271E-12</v>
      </c>
      <c r="R81" s="260">
        <f t="shared" ref="R81:AJ82" si="16">R74/SUM(R$74:R$78)</f>
        <v>4.2664907257566339E-12</v>
      </c>
      <c r="S81" s="260">
        <f t="shared" si="16"/>
        <v>3.6862647212464398E-12</v>
      </c>
      <c r="T81" s="260">
        <f t="shared" si="16"/>
        <v>3.6488014545812352E-12</v>
      </c>
      <c r="U81" s="260">
        <f t="shared" si="16"/>
        <v>3.387456401239899E-12</v>
      </c>
      <c r="V81" s="260">
        <f t="shared" si="16"/>
        <v>3.3422284095640257E-12</v>
      </c>
      <c r="W81" s="260">
        <f t="shared" si="16"/>
        <v>3.3377067231286861E-12</v>
      </c>
      <c r="X81" s="260">
        <f t="shared" si="16"/>
        <v>3.2807927234602822E-12</v>
      </c>
      <c r="Y81" s="260">
        <f t="shared" si="16"/>
        <v>3.2402427901659154E-12</v>
      </c>
      <c r="Z81" s="260">
        <f t="shared" si="16"/>
        <v>2.9598541685007589E-12</v>
      </c>
      <c r="AA81" s="260">
        <f t="shared" si="16"/>
        <v>2.8046030695894828E-12</v>
      </c>
      <c r="AB81" s="260">
        <f t="shared" si="16"/>
        <v>2.7539883916846509E-12</v>
      </c>
      <c r="AC81" s="260">
        <f t="shared" si="16"/>
        <v>2.7449373019987158E-12</v>
      </c>
      <c r="AD81" s="260">
        <f t="shared" si="16"/>
        <v>2.7270399089673059E-12</v>
      </c>
      <c r="AE81" s="260">
        <f t="shared" si="16"/>
        <v>2.7257795555379179E-12</v>
      </c>
      <c r="AF81" s="260">
        <f t="shared" si="16"/>
        <v>2.7349571494146048E-12</v>
      </c>
      <c r="AG81" s="260">
        <f t="shared" si="16"/>
        <v>2.7223304946118142E-12</v>
      </c>
      <c r="AH81" s="260">
        <f t="shared" si="16"/>
        <v>2.7097965668637526E-12</v>
      </c>
      <c r="AI81" s="260">
        <f t="shared" si="16"/>
        <v>2.711338152010829E-12</v>
      </c>
      <c r="AJ81" s="260">
        <f t="shared" si="16"/>
        <v>2.7059258944187628E-12</v>
      </c>
      <c r="AK81" s="322"/>
    </row>
    <row r="82" spans="1:37" s="256" customFormat="1">
      <c r="A82" s="257" t="s">
        <v>340</v>
      </c>
      <c r="B82" s="260">
        <f t="shared" si="15"/>
        <v>0.65175718849840247</v>
      </c>
      <c r="C82" s="260">
        <f t="shared" ref="C82:AA82" si="17">C75/SUM(C$74:C$78)</f>
        <v>0.66334991708126045</v>
      </c>
      <c r="D82" s="260">
        <f t="shared" si="17"/>
        <v>0.67699836867862961</v>
      </c>
      <c r="E82" s="260">
        <f t="shared" si="17"/>
        <v>0.68239564428312172</v>
      </c>
      <c r="F82" s="260">
        <f t="shared" si="17"/>
        <v>0.71029668411867364</v>
      </c>
      <c r="G82" s="260">
        <f t="shared" si="17"/>
        <v>0.7211965584758564</v>
      </c>
      <c r="H82" s="260">
        <f t="shared" si="17"/>
        <v>0.74744310111835965</v>
      </c>
      <c r="I82" s="260">
        <f t="shared" si="17"/>
        <v>0.76829083362710515</v>
      </c>
      <c r="J82" s="260">
        <f t="shared" si="17"/>
        <v>0.74570280909849651</v>
      </c>
      <c r="K82" s="260">
        <f t="shared" si="17"/>
        <v>0.71168567284384798</v>
      </c>
      <c r="L82" s="260">
        <f t="shared" si="17"/>
        <v>0.63677964989010372</v>
      </c>
      <c r="M82" s="260">
        <f t="shared" si="17"/>
        <v>0.4839988477338682</v>
      </c>
      <c r="N82" s="260">
        <f t="shared" si="17"/>
        <v>0.36107592699574637</v>
      </c>
      <c r="O82" s="260">
        <f t="shared" si="17"/>
        <v>0.35970366092811468</v>
      </c>
      <c r="P82" s="261">
        <f t="shared" si="17"/>
        <v>0.34070889142656674</v>
      </c>
      <c r="Q82" s="260">
        <f t="shared" si="17"/>
        <v>0.3303803461295326</v>
      </c>
      <c r="R82" s="260">
        <f t="shared" si="17"/>
        <v>0.3143360190818264</v>
      </c>
      <c r="S82" s="260">
        <f t="shared" si="17"/>
        <v>0.27156633488300858</v>
      </c>
      <c r="T82" s="260">
        <f t="shared" si="17"/>
        <v>0.27178774175101111</v>
      </c>
      <c r="U82" s="260">
        <f t="shared" si="17"/>
        <v>0.25230930545156199</v>
      </c>
      <c r="V82" s="260">
        <f t="shared" si="17"/>
        <v>0.24892440697469981</v>
      </c>
      <c r="W82" s="260">
        <f t="shared" si="17"/>
        <v>0.24857050079379642</v>
      </c>
      <c r="X82" s="260">
        <f t="shared" si="17"/>
        <v>0.24431401379455278</v>
      </c>
      <c r="Y82" s="260">
        <f t="shared" si="17"/>
        <v>0.24125760373774333</v>
      </c>
      <c r="Z82" s="260">
        <f t="shared" si="17"/>
        <v>0.22034128751936832</v>
      </c>
      <c r="AA82" s="260">
        <f t="shared" si="17"/>
        <v>0.2087496449467067</v>
      </c>
      <c r="AB82" s="260">
        <f t="shared" si="16"/>
        <v>0.20494772493903635</v>
      </c>
      <c r="AC82" s="260">
        <f t="shared" si="16"/>
        <v>0.20423863159056369</v>
      </c>
      <c r="AD82" s="260">
        <f t="shared" si="16"/>
        <v>0.20726218534083959</v>
      </c>
      <c r="AE82" s="260">
        <f t="shared" si="16"/>
        <v>0.20714694381872875</v>
      </c>
      <c r="AF82" s="260">
        <f t="shared" si="16"/>
        <v>0.20782257058331635</v>
      </c>
      <c r="AG82" s="260">
        <f t="shared" si="16"/>
        <v>0.20684012217025269</v>
      </c>
      <c r="AH82" s="260">
        <f t="shared" si="16"/>
        <v>0.20586654852024214</v>
      </c>
      <c r="AI82" s="260">
        <f t="shared" si="16"/>
        <v>0.20596286688487836</v>
      </c>
      <c r="AJ82" s="260">
        <f t="shared" si="16"/>
        <v>0.20553326392853014</v>
      </c>
      <c r="AK82" s="322"/>
    </row>
    <row r="83" spans="1:37" s="256" customFormat="1">
      <c r="A83" s="257" t="s">
        <v>336</v>
      </c>
      <c r="B83" s="260">
        <f>B76/SUM(B$74:B$78)</f>
        <v>0.34824281150159742</v>
      </c>
      <c r="C83" s="260">
        <f t="shared" ref="C83:AJ83" si="18">C76/SUM(C$74:C$78)</f>
        <v>0.33665008291873966</v>
      </c>
      <c r="D83" s="260">
        <f t="shared" si="18"/>
        <v>0.32300163132137033</v>
      </c>
      <c r="E83" s="260">
        <f t="shared" si="18"/>
        <v>0.31760435571687839</v>
      </c>
      <c r="F83" s="260">
        <f t="shared" si="18"/>
        <v>0.2879581151832461</v>
      </c>
      <c r="G83" s="260">
        <f t="shared" si="18"/>
        <v>0.27823179388877661</v>
      </c>
      <c r="H83" s="260">
        <f t="shared" si="18"/>
        <v>0.25192266423438198</v>
      </c>
      <c r="I83" s="260">
        <f t="shared" si="18"/>
        <v>0.23109454814467975</v>
      </c>
      <c r="J83" s="260">
        <f t="shared" si="18"/>
        <v>0.25370164066952555</v>
      </c>
      <c r="K83" s="260">
        <f t="shared" si="18"/>
        <v>0.28773840847444948</v>
      </c>
      <c r="L83" s="260">
        <f t="shared" si="18"/>
        <v>0.36270183847046572</v>
      </c>
      <c r="M83" s="260">
        <f t="shared" si="18"/>
        <v>0.51560708786810039</v>
      </c>
      <c r="N83" s="260">
        <f t="shared" si="18"/>
        <v>0.63863012384281714</v>
      </c>
      <c r="O83" s="260">
        <f t="shared" si="18"/>
        <v>0.64000352289705453</v>
      </c>
      <c r="P83" s="261">
        <f t="shared" si="18"/>
        <v>0.65901362494949089</v>
      </c>
      <c r="Q83" s="260">
        <f t="shared" si="18"/>
        <v>0.66935053335167782</v>
      </c>
      <c r="R83" s="260">
        <f t="shared" si="18"/>
        <v>0.68540788208456505</v>
      </c>
      <c r="S83" s="260">
        <f t="shared" si="18"/>
        <v>0.72821236375488108</v>
      </c>
      <c r="T83" s="260">
        <f t="shared" si="18"/>
        <v>0.72799306848633194</v>
      </c>
      <c r="U83" s="260">
        <f t="shared" si="18"/>
        <v>0.74748701953064534</v>
      </c>
      <c r="V83" s="260">
        <f t="shared" si="18"/>
        <v>0.75087435289209781</v>
      </c>
      <c r="W83" s="260">
        <f t="shared" si="18"/>
        <v>0.75122821760751068</v>
      </c>
      <c r="X83" s="260">
        <f t="shared" si="18"/>
        <v>0.75548783256754182</v>
      </c>
      <c r="Y83" s="260">
        <f t="shared" si="18"/>
        <v>0.75854638018880294</v>
      </c>
      <c r="Z83" s="260">
        <f t="shared" si="18"/>
        <v>0.77947933205047182</v>
      </c>
      <c r="AA83" s="260">
        <f t="shared" si="18"/>
        <v>0.79108013342565009</v>
      </c>
      <c r="AB83" s="260">
        <f t="shared" si="18"/>
        <v>0.7948848828983115</v>
      </c>
      <c r="AC83" s="260">
        <f t="shared" si="18"/>
        <v>0.79559406464501448</v>
      </c>
      <c r="AD83" s="260">
        <f t="shared" si="18"/>
        <v>0.79257084927191968</v>
      </c>
      <c r="AE83" s="260">
        <f t="shared" si="18"/>
        <v>0.79268565223538578</v>
      </c>
      <c r="AF83" s="260">
        <f t="shared" si="18"/>
        <v>0.79200913519157523</v>
      </c>
      <c r="AG83" s="260">
        <f t="shared" si="18"/>
        <v>0.79299139937037844</v>
      </c>
      <c r="AH83" s="260">
        <f t="shared" si="18"/>
        <v>0.79396502855952056</v>
      </c>
      <c r="AI83" s="260">
        <f t="shared" si="18"/>
        <v>0.79386715358261306</v>
      </c>
      <c r="AJ83" s="260">
        <f t="shared" si="18"/>
        <v>0.79429505942998413</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v>
      </c>
      <c r="C85" s="260">
        <f t="shared" ref="C85:AJ85" si="20">C78/SUM(C$74:C$78)</f>
        <v>0</v>
      </c>
      <c r="D85" s="260">
        <f t="shared" si="20"/>
        <v>0</v>
      </c>
      <c r="E85" s="260">
        <f t="shared" si="20"/>
        <v>0</v>
      </c>
      <c r="F85" s="260">
        <f t="shared" si="20"/>
        <v>1.7452006980802795E-3</v>
      </c>
      <c r="G85" s="260">
        <f t="shared" si="20"/>
        <v>5.7164762224419529E-4</v>
      </c>
      <c r="H85" s="260">
        <f t="shared" si="20"/>
        <v>6.3423463492053055E-4</v>
      </c>
      <c r="I85" s="260">
        <f t="shared" si="20"/>
        <v>6.1461821781266909E-4</v>
      </c>
      <c r="J85" s="260">
        <f t="shared" si="20"/>
        <v>5.9555022192238707E-4</v>
      </c>
      <c r="K85" s="260">
        <f t="shared" si="20"/>
        <v>5.7591867204522733E-4</v>
      </c>
      <c r="L85" s="260">
        <f t="shared" si="20"/>
        <v>5.1851163079010606E-4</v>
      </c>
      <c r="M85" s="260">
        <f t="shared" si="20"/>
        <v>3.9406439146436815E-4</v>
      </c>
      <c r="N85" s="260">
        <f t="shared" si="20"/>
        <v>2.9394915653712436E-4</v>
      </c>
      <c r="O85" s="260">
        <f t="shared" si="20"/>
        <v>2.9281616994991731E-4</v>
      </c>
      <c r="P85" s="261">
        <f t="shared" si="20"/>
        <v>2.7748361931848866E-4</v>
      </c>
      <c r="Q85" s="260">
        <f t="shared" si="20"/>
        <v>2.6912051430567544E-4</v>
      </c>
      <c r="R85" s="260">
        <f t="shared" si="20"/>
        <v>2.5609882934201467E-4</v>
      </c>
      <c r="S85" s="260">
        <f t="shared" si="20"/>
        <v>2.2130135842413076E-4</v>
      </c>
      <c r="T85" s="260">
        <f t="shared" si="20"/>
        <v>2.1918975900816199E-4</v>
      </c>
      <c r="U85" s="260">
        <f t="shared" si="20"/>
        <v>2.0367501440515047E-4</v>
      </c>
      <c r="V85" s="260">
        <f t="shared" si="20"/>
        <v>2.0124012986015834E-4</v>
      </c>
      <c r="W85" s="260">
        <f t="shared" si="20"/>
        <v>2.0128159535521409E-4</v>
      </c>
      <c r="X85" s="260">
        <f t="shared" si="20"/>
        <v>1.9815363462445472E-4</v>
      </c>
      <c r="Y85" s="260">
        <f t="shared" si="20"/>
        <v>1.9601607021349737E-4</v>
      </c>
      <c r="Z85" s="260">
        <f t="shared" si="20"/>
        <v>1.7938042719991572E-4</v>
      </c>
      <c r="AA85" s="260">
        <f t="shared" si="20"/>
        <v>1.7022162483857871E-4</v>
      </c>
      <c r="AB85" s="260">
        <f t="shared" si="20"/>
        <v>1.6739215989819035E-4</v>
      </c>
      <c r="AC85" s="260">
        <f t="shared" si="20"/>
        <v>1.6730376167683987E-4</v>
      </c>
      <c r="AD85" s="260">
        <f t="shared" si="20"/>
        <v>1.6696538451378148E-4</v>
      </c>
      <c r="AE85" s="260">
        <f t="shared" si="20"/>
        <v>1.6740394315960927E-4</v>
      </c>
      <c r="AF85" s="260">
        <f t="shared" si="20"/>
        <v>1.6829422237338537E-4</v>
      </c>
      <c r="AG85" s="260">
        <f t="shared" si="20"/>
        <v>1.6847845664656424E-4</v>
      </c>
      <c r="AH85" s="260">
        <f t="shared" si="20"/>
        <v>1.6842291752756192E-4</v>
      </c>
      <c r="AI85" s="260">
        <f t="shared" si="20"/>
        <v>1.6997952979733947E-4</v>
      </c>
      <c r="AJ85" s="260">
        <f t="shared" si="20"/>
        <v>1.7167663877973546E-4</v>
      </c>
      <c r="AK85" s="322"/>
    </row>
    <row r="86" spans="1:37" s="256" customFormat="1">
      <c r="A86" s="256" t="s">
        <v>341</v>
      </c>
      <c r="B86" s="260">
        <f>SUM(B81:B85)</f>
        <v>0.99999999999999989</v>
      </c>
      <c r="C86" s="260">
        <f t="shared" ref="C86:AJ86" si="21">SUM(C81:C85)</f>
        <v>1</v>
      </c>
      <c r="D86" s="260">
        <f t="shared" si="21"/>
        <v>1</v>
      </c>
      <c r="E86" s="260">
        <f t="shared" si="21"/>
        <v>1</v>
      </c>
      <c r="F86" s="260">
        <f t="shared" si="21"/>
        <v>1</v>
      </c>
      <c r="G86" s="260">
        <f t="shared" si="21"/>
        <v>1</v>
      </c>
      <c r="H86" s="260">
        <f t="shared" si="21"/>
        <v>1.0000000000000002</v>
      </c>
      <c r="I86" s="260">
        <f t="shared" si="21"/>
        <v>1</v>
      </c>
      <c r="J86" s="260">
        <f t="shared" si="21"/>
        <v>1</v>
      </c>
      <c r="K86" s="260">
        <f t="shared" si="21"/>
        <v>0.99999999999999989</v>
      </c>
      <c r="L86" s="260">
        <f t="shared" si="21"/>
        <v>0.99999999999999989</v>
      </c>
      <c r="M86" s="260">
        <f t="shared" si="21"/>
        <v>1</v>
      </c>
      <c r="N86" s="260">
        <f t="shared" si="21"/>
        <v>0.99999999999999989</v>
      </c>
      <c r="O86" s="260">
        <f t="shared" si="21"/>
        <v>1.0000000000000002</v>
      </c>
      <c r="P86" s="260">
        <f t="shared" si="21"/>
        <v>0.99999999999999989</v>
      </c>
      <c r="Q86" s="260">
        <f t="shared" si="21"/>
        <v>1</v>
      </c>
      <c r="R86" s="260">
        <f t="shared" si="21"/>
        <v>0.99999999999999989</v>
      </c>
      <c r="S86" s="260">
        <f t="shared" si="21"/>
        <v>1</v>
      </c>
      <c r="T86" s="260">
        <f t="shared" si="21"/>
        <v>1</v>
      </c>
      <c r="U86" s="260">
        <f t="shared" si="21"/>
        <v>0.99999999999999989</v>
      </c>
      <c r="V86" s="260">
        <f t="shared" si="21"/>
        <v>1</v>
      </c>
      <c r="W86" s="260">
        <f t="shared" si="21"/>
        <v>1</v>
      </c>
      <c r="X86" s="260">
        <f t="shared" si="21"/>
        <v>0.99999999999999989</v>
      </c>
      <c r="Y86" s="260">
        <f t="shared" si="21"/>
        <v>1</v>
      </c>
      <c r="Z86" s="260">
        <f t="shared" si="21"/>
        <v>0.99999999999999989</v>
      </c>
      <c r="AA86" s="260">
        <f t="shared" si="21"/>
        <v>1</v>
      </c>
      <c r="AB86" s="260">
        <f t="shared" si="21"/>
        <v>1</v>
      </c>
      <c r="AC86" s="260">
        <f t="shared" si="21"/>
        <v>0.99999999999999989</v>
      </c>
      <c r="AD86" s="260">
        <f t="shared" si="21"/>
        <v>1.0000000000000002</v>
      </c>
      <c r="AE86" s="260">
        <f t="shared" si="21"/>
        <v>1</v>
      </c>
      <c r="AF86" s="260">
        <f t="shared" si="21"/>
        <v>0.99999999999999989</v>
      </c>
      <c r="AG86" s="260">
        <f t="shared" si="21"/>
        <v>1</v>
      </c>
      <c r="AH86" s="260">
        <f t="shared" si="21"/>
        <v>1</v>
      </c>
      <c r="AI86" s="260">
        <f t="shared" si="21"/>
        <v>1</v>
      </c>
      <c r="AJ86" s="260">
        <f t="shared" si="21"/>
        <v>0.99999999999999989</v>
      </c>
      <c r="AK86" s="322"/>
    </row>
    <row r="87" spans="1:37">
      <c r="A87" s="572" t="s">
        <v>631</v>
      </c>
      <c r="B87" s="572"/>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row>
    <row r="88" spans="1:37">
      <c r="A88" s="573" t="s">
        <v>664</v>
      </c>
      <c r="B88" s="573"/>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row>
    <row r="89" spans="1:37">
      <c r="A89" s="573" t="s">
        <v>665</v>
      </c>
      <c r="B89" s="573"/>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row>
    <row r="90" spans="1:37">
      <c r="A90" s="573" t="s">
        <v>666</v>
      </c>
      <c r="B90" s="573"/>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row>
    <row r="91" spans="1:37">
      <c r="A91" s="573" t="s">
        <v>667</v>
      </c>
      <c r="B91" s="573"/>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row>
    <row r="92" spans="1:37">
      <c r="A92" s="573" t="s">
        <v>668</v>
      </c>
      <c r="B92" s="573"/>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row>
    <row r="93" spans="1:37">
      <c r="A93" s="573" t="s">
        <v>669</v>
      </c>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row>
    <row r="94" spans="1:37">
      <c r="A94" s="573" t="s">
        <v>670</v>
      </c>
      <c r="B94" s="573"/>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row>
    <row r="95" spans="1:37">
      <c r="A95" s="573" t="s">
        <v>671</v>
      </c>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row>
    <row r="96" spans="1:37">
      <c r="A96" s="573" t="s">
        <v>672</v>
      </c>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row>
    <row r="97" spans="1:32">
      <c r="A97" s="573" t="s">
        <v>673</v>
      </c>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row>
    <row r="98" spans="1:32">
      <c r="A98" s="573" t="s">
        <v>674</v>
      </c>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row>
    <row r="99" spans="1:32">
      <c r="A99" s="573" t="s">
        <v>675</v>
      </c>
      <c r="B99" s="573"/>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row>
    <row r="100" spans="1:32">
      <c r="A100" s="573" t="s">
        <v>676</v>
      </c>
      <c r="B100" s="573"/>
      <c r="C100" s="573"/>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row>
    <row r="101" spans="1:32">
      <c r="A101" s="573" t="s">
        <v>677</v>
      </c>
      <c r="B101" s="573"/>
      <c r="C101" s="573"/>
      <c r="D101" s="573"/>
      <c r="E101" s="573"/>
      <c r="F101" s="573"/>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row>
    <row r="102" spans="1:32">
      <c r="A102" s="573" t="s">
        <v>678</v>
      </c>
      <c r="B102" s="573"/>
      <c r="C102" s="573"/>
      <c r="D102" s="573"/>
      <c r="E102" s="573"/>
      <c r="F102" s="573"/>
      <c r="G102" s="573"/>
      <c r="H102" s="573"/>
      <c r="I102" s="573"/>
      <c r="J102" s="573"/>
      <c r="K102" s="573"/>
      <c r="L102" s="573"/>
      <c r="M102" s="573"/>
      <c r="N102" s="573"/>
      <c r="O102" s="573"/>
      <c r="P102" s="573"/>
      <c r="Q102" s="573"/>
      <c r="R102" s="573"/>
      <c r="S102" s="573"/>
      <c r="T102" s="573"/>
      <c r="U102" s="573"/>
      <c r="V102" s="573"/>
      <c r="W102" s="573"/>
      <c r="X102" s="573"/>
      <c r="Y102" s="573"/>
      <c r="Z102" s="573"/>
      <c r="AA102" s="573"/>
      <c r="AB102" s="573"/>
      <c r="AC102" s="573"/>
      <c r="AD102" s="573"/>
      <c r="AE102" s="573"/>
      <c r="AF102" s="573"/>
    </row>
    <row r="103" spans="1:32">
      <c r="A103" s="573" t="s">
        <v>679</v>
      </c>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row>
    <row r="104" spans="1:32">
      <c r="A104" s="573" t="s">
        <v>680</v>
      </c>
      <c r="B104" s="573"/>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row>
    <row r="105" spans="1:32">
      <c r="A105" s="573" t="s">
        <v>681</v>
      </c>
      <c r="B105" s="573"/>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row>
    <row r="106" spans="1:32">
      <c r="A106" s="573" t="s">
        <v>682</v>
      </c>
      <c r="B106" s="573"/>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row>
    <row r="107" spans="1:32">
      <c r="A107" s="573" t="s">
        <v>683</v>
      </c>
      <c r="B107" s="573"/>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row>
    <row r="108" spans="1:32">
      <c r="A108" s="573" t="s">
        <v>635</v>
      </c>
      <c r="B108" s="573"/>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row>
    <row r="109" spans="1:32">
      <c r="A109" s="573" t="s">
        <v>684</v>
      </c>
      <c r="B109" s="573"/>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row>
    <row r="110" spans="1:32">
      <c r="A110" s="573" t="s">
        <v>685</v>
      </c>
      <c r="B110" s="573"/>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row>
    <row r="111" spans="1:32">
      <c r="A111" s="573" t="s">
        <v>642</v>
      </c>
      <c r="B111" s="573"/>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row>
    <row r="112" spans="1:32">
      <c r="A112" s="573" t="s">
        <v>643</v>
      </c>
      <c r="B112" s="573"/>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row>
    <row r="113" spans="1:32">
      <c r="A113" s="573" t="s">
        <v>644</v>
      </c>
      <c r="B113" s="573"/>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row>
    <row r="114" spans="1:32">
      <c r="A114" s="573" t="s">
        <v>686</v>
      </c>
      <c r="B114" s="573"/>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row>
    <row r="115" spans="1:32">
      <c r="A115" s="573" t="s">
        <v>687</v>
      </c>
      <c r="B115" s="573"/>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row>
    <row r="116" spans="1:32">
      <c r="A116" s="573" t="s">
        <v>619</v>
      </c>
      <c r="B116" s="573"/>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row>
    <row r="117" spans="1:32">
      <c r="A117" s="573" t="s">
        <v>620</v>
      </c>
      <c r="B117" s="573"/>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row>
    <row r="118" spans="1:32">
      <c r="A118" s="573" t="s">
        <v>621</v>
      </c>
      <c r="B118" s="573"/>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row>
    <row r="119" spans="1:32">
      <c r="A119" s="573" t="s">
        <v>688</v>
      </c>
      <c r="B119" s="573"/>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row>
    <row r="120" spans="1:32">
      <c r="A120" s="573" t="s">
        <v>689</v>
      </c>
      <c r="B120" s="573"/>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row>
    <row r="121" spans="1:32">
      <c r="A121" s="573" t="s">
        <v>623</v>
      </c>
      <c r="B121" s="573"/>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row>
    <row r="122" spans="1:32">
      <c r="A122" s="573" t="s">
        <v>626</v>
      </c>
      <c r="B122" s="573"/>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2015-02-23T18:17:26Z</dcterms:modified>
</cp:coreProperties>
</file>