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H108" i="15"/>
  <c r="H113" i="15"/>
  <c r="H118" i="15"/>
  <c r="H135" i="15"/>
  <c r="H140" i="15"/>
  <c r="H145" i="15"/>
  <c r="H179" i="15"/>
  <c r="H47" i="9"/>
  <c r="H52" i="9"/>
  <c r="H55" i="9"/>
  <c r="H65" i="9"/>
  <c r="H70" i="9"/>
  <c r="H73" i="9"/>
  <c r="H176" i="15"/>
  <c r="H182" i="15"/>
  <c r="H185" i="15"/>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G58" i="11"/>
  <c r="G54" i="8"/>
  <c r="H58" i="11"/>
  <c r="H54" i="8"/>
  <c r="I58" i="11"/>
  <c r="I54" i="8"/>
  <c r="J58" i="11"/>
  <c r="J54" i="8"/>
  <c r="K58" i="11"/>
  <c r="K54" i="8"/>
  <c r="L58" i="11"/>
  <c r="L54" i="8"/>
  <c r="M58" i="11"/>
  <c r="M54" i="8"/>
  <c r="N58" i="11"/>
  <c r="N54" i="8"/>
  <c r="O58" i="11"/>
  <c r="O54" i="8"/>
  <c r="P58" i="11"/>
  <c r="P54" i="8"/>
  <c r="Q58" i="11"/>
  <c r="Q54" i="8"/>
  <c r="R58" i="11"/>
  <c r="R54" i="8"/>
  <c r="S58" i="11"/>
  <c r="S54" i="8"/>
  <c r="T58" i="11"/>
  <c r="T54" i="8"/>
  <c r="U58" i="11"/>
  <c r="U54" i="8"/>
  <c r="V58" i="11"/>
  <c r="V54" i="8"/>
  <c r="W58" i="11"/>
  <c r="W54" i="8"/>
  <c r="X58" i="11"/>
  <c r="X54" i="8"/>
  <c r="Y58" i="11"/>
  <c r="Y54" i="8"/>
  <c r="Z58" i="11"/>
  <c r="Z54" i="8"/>
  <c r="AA58" i="11"/>
  <c r="AA54" i="8"/>
  <c r="AB58" i="11"/>
  <c r="AB54" i="8"/>
  <c r="AC58" i="11"/>
  <c r="AC54" i="8"/>
  <c r="AD58" i="11"/>
  <c r="AD54" i="8"/>
  <c r="AE58" i="11"/>
  <c r="AE54" i="8"/>
  <c r="AF58" i="11"/>
  <c r="AF54" i="8"/>
  <c r="AG58" i="11"/>
  <c r="AG54" i="8"/>
  <c r="AH58" i="11"/>
  <c r="AH54" i="8"/>
  <c r="AI58" i="11"/>
  <c r="AI54" i="8"/>
  <c r="AJ58" i="11"/>
  <c r="AJ54" i="8"/>
  <c r="F54" i="8"/>
  <c r="AH13" i="9"/>
  <c r="AH13" i="15"/>
  <c r="AH14" i="15"/>
  <c r="D30" i="5"/>
  <c r="C30" i="5"/>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G56" i="11"/>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G54" i="11"/>
  <c r="P74" i="8"/>
  <c r="N11" i="9"/>
  <c r="N13" i="9"/>
  <c r="N18" i="9"/>
  <c r="N13" i="15"/>
  <c r="N14" i="15"/>
  <c r="D11" i="5"/>
  <c r="D17"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D35" i="5"/>
  <c r="C35" i="5"/>
  <c r="X13" i="15"/>
  <c r="X14" i="15"/>
  <c r="D29" i="5"/>
  <c r="C29" i="5"/>
  <c r="D28" i="5"/>
  <c r="C28" i="5"/>
  <c r="F35" i="5"/>
  <c r="H35" i="5"/>
  <c r="AH26" i="15"/>
  <c r="AH31" i="15"/>
  <c r="D36" i="5"/>
  <c r="C36" i="5"/>
  <c r="F36" i="5"/>
  <c r="H36" i="5"/>
  <c r="AH18" i="15"/>
  <c r="AH32" i="15"/>
  <c r="AH43" i="15"/>
  <c r="F34" i="5"/>
  <c r="H34" i="5"/>
  <c r="AH24" i="15"/>
  <c r="AH30" i="15"/>
  <c r="AH46" i="15"/>
  <c r="AH47" i="15"/>
  <c r="AH48" i="15"/>
  <c r="AH49" i="15"/>
  <c r="AH93" i="15"/>
  <c r="X34" i="15"/>
  <c r="X35" i="15"/>
  <c r="X37" i="15"/>
  <c r="X38" i="15"/>
  <c r="X39" i="15"/>
  <c r="X40" i="15"/>
  <c r="X42" i="15"/>
  <c r="X26" i="15"/>
  <c r="X31" i="15"/>
  <c r="X18" i="15"/>
  <c r="X32" i="15"/>
  <c r="X43" i="15"/>
  <c r="X24" i="15"/>
  <c r="X30" i="15"/>
  <c r="X46" i="15"/>
  <c r="X47" i="15"/>
  <c r="X48" i="15"/>
  <c r="X49" i="15"/>
  <c r="X93" i="15"/>
  <c r="AH78" i="15"/>
  <c r="AH94" i="15"/>
  <c r="X94" i="15"/>
  <c r="AH79" i="15"/>
  <c r="AH87" i="15"/>
  <c r="X87" i="15"/>
  <c r="AH72" i="15"/>
  <c r="C24" i="5"/>
  <c r="E17" i="5"/>
  <c r="N20" i="15"/>
  <c r="N16" i="15"/>
  <c r="N19" i="15"/>
  <c r="N21" i="15"/>
  <c r="N34" i="15"/>
  <c r="E19" i="5"/>
  <c r="N35" i="15"/>
  <c r="E20" i="5"/>
  <c r="N37" i="15"/>
  <c r="E21" i="5"/>
  <c r="N38" i="15"/>
  <c r="E22" i="5"/>
  <c r="N39" i="15"/>
  <c r="E18" i="5"/>
  <c r="N40" i="15"/>
  <c r="E23" i="5"/>
  <c r="N42" i="15"/>
  <c r="N26" i="15"/>
  <c r="N31" i="15"/>
  <c r="N18" i="15"/>
  <c r="N32" i="15"/>
  <c r="N43" i="15"/>
  <c r="N30" i="15"/>
  <c r="N46" i="15"/>
  <c r="N47" i="15"/>
  <c r="N48" i="15"/>
  <c r="N49" i="15"/>
  <c r="N93" i="15"/>
  <c r="X78" i="15"/>
  <c r="N94" i="15"/>
  <c r="X79" i="15"/>
  <c r="N87" i="15"/>
  <c r="X72" i="15"/>
  <c r="J74" i="8"/>
  <c r="H11" i="9"/>
  <c r="H35" i="15"/>
  <c r="H13" i="9"/>
  <c r="H38" i="15"/>
  <c r="H43" i="15"/>
  <c r="H14" i="15"/>
  <c r="H30" i="15"/>
  <c r="H46" i="15"/>
  <c r="H47" i="15"/>
  <c r="H48" i="15"/>
  <c r="H49" i="15"/>
  <c r="H93" i="15"/>
  <c r="N78" i="15"/>
  <c r="H94" i="15"/>
  <c r="N79" i="15"/>
  <c r="H87" i="15"/>
  <c r="N72" i="15"/>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6" i="8"/>
  <c r="D76" i="8"/>
  <c r="E76" i="8"/>
  <c r="F76" i="8"/>
  <c r="B76" i="8"/>
  <c r="C75" i="8"/>
  <c r="D75" i="8"/>
  <c r="E75" i="8"/>
  <c r="F75" i="8"/>
  <c r="B75" i="8"/>
  <c r="C74" i="8"/>
  <c r="D74" i="8"/>
  <c r="E74" i="8"/>
  <c r="F74" i="8"/>
  <c r="B74" i="8"/>
  <c r="C73" i="8"/>
  <c r="D73" i="8"/>
  <c r="E73" i="8"/>
  <c r="F73" i="8"/>
  <c r="B73" i="8"/>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G52" i="11"/>
  <c r="H49" i="11"/>
  <c r="H50" i="11"/>
  <c r="H51" i="11"/>
  <c r="I49" i="11"/>
  <c r="I50" i="11"/>
  <c r="I51" i="11"/>
  <c r="J49" i="11"/>
  <c r="J50" i="11"/>
  <c r="J51" i="11"/>
  <c r="K49" i="11"/>
  <c r="K50" i="11"/>
  <c r="K51" i="11"/>
  <c r="L49" i="11"/>
  <c r="L50" i="11"/>
  <c r="L51" i="11"/>
  <c r="M49" i="11"/>
  <c r="M50" i="11"/>
  <c r="M51" i="11"/>
  <c r="N49" i="11"/>
  <c r="N50" i="11"/>
  <c r="N51" i="11"/>
  <c r="O49" i="11"/>
  <c r="O50" i="11"/>
  <c r="O51" i="11"/>
  <c r="P49" i="11"/>
  <c r="P50" i="11"/>
  <c r="P51" i="11"/>
  <c r="Q49" i="11"/>
  <c r="Q50" i="11"/>
  <c r="Q51" i="11"/>
  <c r="R49" i="11"/>
  <c r="R50" i="11"/>
  <c r="R51" i="11"/>
  <c r="S49" i="11"/>
  <c r="S50" i="11"/>
  <c r="S51" i="11"/>
  <c r="T49" i="11"/>
  <c r="T50" i="11"/>
  <c r="T51" i="11"/>
  <c r="U49" i="11"/>
  <c r="U50" i="11"/>
  <c r="U51" i="11"/>
  <c r="V49" i="11"/>
  <c r="V50" i="11"/>
  <c r="V51" i="11"/>
  <c r="W49" i="11"/>
  <c r="W50" i="11"/>
  <c r="W51" i="11"/>
  <c r="X49" i="11"/>
  <c r="X50" i="11"/>
  <c r="X51" i="11"/>
  <c r="Y49" i="11"/>
  <c r="Y50" i="11"/>
  <c r="Y51" i="11"/>
  <c r="Z49" i="11"/>
  <c r="Z50" i="11"/>
  <c r="Z51" i="11"/>
  <c r="AA49" i="11"/>
  <c r="AA50" i="11"/>
  <c r="AA51" i="11"/>
  <c r="AB49" i="11"/>
  <c r="AB50" i="11"/>
  <c r="AB51" i="11"/>
  <c r="AC49" i="11"/>
  <c r="AC50" i="11"/>
  <c r="AC51" i="11"/>
  <c r="AD49" i="11"/>
  <c r="AD50" i="11"/>
  <c r="AD51" i="11"/>
  <c r="AE49" i="11"/>
  <c r="AE50" i="11"/>
  <c r="AE51" i="11"/>
  <c r="AF49" i="11"/>
  <c r="AF50" i="11"/>
  <c r="AF51" i="11"/>
  <c r="AG49" i="11"/>
  <c r="AG50" i="11"/>
  <c r="AG51" i="11"/>
  <c r="AH49" i="11"/>
  <c r="AH50" i="11"/>
  <c r="AH51" i="11"/>
  <c r="AI49" i="11"/>
  <c r="AI50" i="11"/>
  <c r="AI51" i="11"/>
  <c r="AJ49" i="11"/>
  <c r="AJ50" i="11"/>
  <c r="AJ51" i="11"/>
  <c r="AH16" i="15"/>
  <c r="Z13" i="15"/>
  <c r="Z14" i="15"/>
  <c r="P76" i="8"/>
  <c r="N10" i="9"/>
  <c r="N8" i="9"/>
  <c r="P73" i="8"/>
  <c r="N7" i="9"/>
  <c r="P75" i="8"/>
  <c r="N12" i="9"/>
  <c r="P78" i="8"/>
  <c r="N16" i="9"/>
  <c r="N14" i="9"/>
  <c r="X8" i="9"/>
  <c r="Z73" i="8"/>
  <c r="X7" i="9"/>
  <c r="Z60" i="11"/>
  <c r="X58" i="15"/>
  <c r="AJ60" i="11"/>
  <c r="AH86" i="15"/>
  <c r="X86" i="15"/>
  <c r="AH71" i="15"/>
  <c r="Y58" i="15"/>
  <c r="Z58" i="15"/>
  <c r="AB76" i="8"/>
  <c r="Z10" i="9"/>
  <c r="Z34" i="15"/>
  <c r="Y26" i="15"/>
  <c r="Z26" i="15"/>
  <c r="Z31" i="15"/>
  <c r="Y18" i="15"/>
  <c r="Z18" i="15"/>
  <c r="Z32" i="15"/>
  <c r="X59" i="15"/>
  <c r="Y59" i="15"/>
  <c r="Z59" i="15"/>
  <c r="AB74" i="8"/>
  <c r="Z11" i="9"/>
  <c r="Z35" i="15"/>
  <c r="X61" i="15"/>
  <c r="AH89" i="15"/>
  <c r="X89" i="15"/>
  <c r="AH74" i="15"/>
  <c r="Y61" i="15"/>
  <c r="Z61" i="15"/>
  <c r="AB75" i="8"/>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AB78" i="8"/>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C76" i="8"/>
  <c r="AA10" i="9"/>
  <c r="AA34" i="15"/>
  <c r="AA26" i="15"/>
  <c r="AA31" i="15"/>
  <c r="AA18" i="15"/>
  <c r="AA32" i="15"/>
  <c r="AA59" i="15"/>
  <c r="AC74" i="8"/>
  <c r="AA11" i="9"/>
  <c r="AA35" i="15"/>
  <c r="AA61" i="15"/>
  <c r="AC75" i="8"/>
  <c r="AA12" i="9"/>
  <c r="AA37" i="15"/>
  <c r="AA62" i="15"/>
  <c r="AA13" i="9"/>
  <c r="AA38" i="15"/>
  <c r="AA63" i="15"/>
  <c r="AA14" i="9"/>
  <c r="AA39" i="15"/>
  <c r="AA64" i="15"/>
  <c r="AA40" i="15"/>
  <c r="AA66" i="15"/>
  <c r="AC78" i="8"/>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D76" i="8"/>
  <c r="AB10" i="9"/>
  <c r="AB34" i="15"/>
  <c r="AB26" i="15"/>
  <c r="AB31" i="15"/>
  <c r="AB18" i="15"/>
  <c r="AB32" i="15"/>
  <c r="AB59" i="15"/>
  <c r="AD74" i="8"/>
  <c r="AB11" i="9"/>
  <c r="AB35" i="15"/>
  <c r="AB61" i="15"/>
  <c r="AD75" i="8"/>
  <c r="AB12" i="9"/>
  <c r="AB37" i="15"/>
  <c r="AB62" i="15"/>
  <c r="AB13" i="9"/>
  <c r="AB38" i="15"/>
  <c r="AB63" i="15"/>
  <c r="AB14" i="9"/>
  <c r="AB39" i="15"/>
  <c r="AB64" i="15"/>
  <c r="AB40" i="15"/>
  <c r="AB66" i="15"/>
  <c r="AD78" i="8"/>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E76" i="8"/>
  <c r="AC10" i="9"/>
  <c r="AC34" i="15"/>
  <c r="AC26" i="15"/>
  <c r="AC31" i="15"/>
  <c r="AC18" i="15"/>
  <c r="AC32" i="15"/>
  <c r="AC59" i="15"/>
  <c r="AE74" i="8"/>
  <c r="AC11" i="9"/>
  <c r="AC35" i="15"/>
  <c r="AC61" i="15"/>
  <c r="AE75" i="8"/>
  <c r="AC12" i="9"/>
  <c r="AC37" i="15"/>
  <c r="AC62" i="15"/>
  <c r="AC13" i="9"/>
  <c r="AC38" i="15"/>
  <c r="AC63" i="15"/>
  <c r="AC14" i="9"/>
  <c r="AC39" i="15"/>
  <c r="AC64" i="15"/>
  <c r="AC40" i="15"/>
  <c r="AC66" i="15"/>
  <c r="AE78" i="8"/>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F76" i="8"/>
  <c r="AD10" i="9"/>
  <c r="AD34" i="15"/>
  <c r="AD26" i="15"/>
  <c r="AD31" i="15"/>
  <c r="AD18" i="15"/>
  <c r="AD32" i="15"/>
  <c r="AD59" i="15"/>
  <c r="AF74" i="8"/>
  <c r="AD11" i="9"/>
  <c r="AD35" i="15"/>
  <c r="AD61" i="15"/>
  <c r="AF75" i="8"/>
  <c r="AD12" i="9"/>
  <c r="AD37" i="15"/>
  <c r="AD62" i="15"/>
  <c r="AD13" i="9"/>
  <c r="AD38" i="15"/>
  <c r="AD63" i="15"/>
  <c r="AD14" i="9"/>
  <c r="AD39" i="15"/>
  <c r="AD64" i="15"/>
  <c r="AD40" i="15"/>
  <c r="AD66" i="15"/>
  <c r="AF78" i="8"/>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G76" i="8"/>
  <c r="AE10" i="9"/>
  <c r="AE34" i="15"/>
  <c r="AE26" i="15"/>
  <c r="AE31" i="15"/>
  <c r="AE18" i="15"/>
  <c r="AE32" i="15"/>
  <c r="AE59" i="15"/>
  <c r="AG74" i="8"/>
  <c r="AE11" i="9"/>
  <c r="AE35" i="15"/>
  <c r="AE61" i="15"/>
  <c r="AG75" i="8"/>
  <c r="AE12" i="9"/>
  <c r="AE37" i="15"/>
  <c r="AE62" i="15"/>
  <c r="AE13" i="9"/>
  <c r="AE38" i="15"/>
  <c r="AE63" i="15"/>
  <c r="AE14" i="9"/>
  <c r="AE39" i="15"/>
  <c r="AE64" i="15"/>
  <c r="AE40" i="15"/>
  <c r="AE66" i="15"/>
  <c r="AG78" i="8"/>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H76" i="8"/>
  <c r="AF10" i="9"/>
  <c r="AF34" i="15"/>
  <c r="AF26" i="15"/>
  <c r="AF31" i="15"/>
  <c r="AF18" i="15"/>
  <c r="AF32" i="15"/>
  <c r="AF59" i="15"/>
  <c r="AH74" i="8"/>
  <c r="AF11" i="9"/>
  <c r="AF35" i="15"/>
  <c r="AF61" i="15"/>
  <c r="AH75" i="8"/>
  <c r="AF12" i="9"/>
  <c r="AF37" i="15"/>
  <c r="AF62" i="15"/>
  <c r="AF13" i="9"/>
  <c r="AF38" i="15"/>
  <c r="AF63" i="15"/>
  <c r="AF14" i="9"/>
  <c r="AF39" i="15"/>
  <c r="AF64" i="15"/>
  <c r="AF40" i="15"/>
  <c r="AF66" i="15"/>
  <c r="AH78" i="8"/>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I76" i="8"/>
  <c r="AG10" i="9"/>
  <c r="AG34" i="15"/>
  <c r="AG26" i="15"/>
  <c r="AG31" i="15"/>
  <c r="AG18" i="15"/>
  <c r="AG32" i="15"/>
  <c r="AG59" i="15"/>
  <c r="AI74" i="8"/>
  <c r="AG11" i="9"/>
  <c r="AG35" i="15"/>
  <c r="AG61" i="15"/>
  <c r="AI75" i="8"/>
  <c r="AG12" i="9"/>
  <c r="AG37" i="15"/>
  <c r="AG62" i="15"/>
  <c r="AG13" i="9"/>
  <c r="AG38" i="15"/>
  <c r="AG63" i="15"/>
  <c r="AG14" i="9"/>
  <c r="AG39" i="15"/>
  <c r="AG64" i="15"/>
  <c r="AG40" i="15"/>
  <c r="AG66" i="15"/>
  <c r="AI78" i="8"/>
  <c r="AG16" i="9"/>
  <c r="AG42" i="15"/>
  <c r="AG43" i="15"/>
  <c r="AG24" i="15"/>
  <c r="AG30" i="15"/>
  <c r="AG46" i="15"/>
  <c r="AI60" i="11"/>
  <c r="AG47" i="15"/>
  <c r="AG48" i="15"/>
  <c r="AG49" i="15"/>
  <c r="AG86" i="15"/>
  <c r="AG87" i="15"/>
  <c r="AG88" i="15"/>
  <c r="AG89" i="15"/>
  <c r="AG90" i="15"/>
  <c r="AG91" i="15"/>
  <c r="AG92" i="15"/>
  <c r="AG93" i="15"/>
  <c r="AG94" i="15"/>
  <c r="AG95" i="15"/>
  <c r="AG16" i="15"/>
  <c r="Y13" i="15"/>
  <c r="Y14" i="15"/>
  <c r="AA76" i="8"/>
  <c r="Y10" i="9"/>
  <c r="Y34" i="15"/>
  <c r="Y31" i="15"/>
  <c r="Y32" i="15"/>
  <c r="AA74" i="8"/>
  <c r="Y11" i="9"/>
  <c r="Y35" i="15"/>
  <c r="AA75" i="8"/>
  <c r="Y12" i="9"/>
  <c r="Y37" i="15"/>
  <c r="Y13" i="9"/>
  <c r="Y38" i="15"/>
  <c r="Y14" i="9"/>
  <c r="Y39" i="15"/>
  <c r="Y40" i="15"/>
  <c r="AA78" i="8"/>
  <c r="Y16" i="9"/>
  <c r="Y42" i="15"/>
  <c r="Y43" i="15"/>
  <c r="Y30" i="15"/>
  <c r="Y46" i="15"/>
  <c r="AA60" i="11"/>
  <c r="Y47" i="15"/>
  <c r="Y48" i="15"/>
  <c r="Y49" i="15"/>
  <c r="Y86" i="15"/>
  <c r="Y87" i="15"/>
  <c r="Y88" i="15"/>
  <c r="Y89" i="15"/>
  <c r="Y90" i="15"/>
  <c r="Y91" i="15"/>
  <c r="Y92" i="15"/>
  <c r="Y93" i="15"/>
  <c r="Y94" i="15"/>
  <c r="Y95" i="15"/>
  <c r="Y16" i="15"/>
  <c r="G11" i="5"/>
  <c r="E11" i="5"/>
  <c r="H79" i="8"/>
  <c r="I79" i="8"/>
  <c r="J79" i="8"/>
  <c r="K79" i="8"/>
  <c r="L79" i="8"/>
  <c r="M79" i="8"/>
  <c r="N79" i="8"/>
  <c r="O79" i="8"/>
  <c r="P79" i="8"/>
  <c r="Q79" i="8"/>
  <c r="R79" i="8"/>
  <c r="S79" i="8"/>
  <c r="T79" i="8"/>
  <c r="U79" i="8"/>
  <c r="V79" i="8"/>
  <c r="W79" i="8"/>
  <c r="X79" i="8"/>
  <c r="Y79" i="8"/>
  <c r="Z79" i="8"/>
  <c r="AA79" i="8"/>
  <c r="AB79" i="8"/>
  <c r="AC79" i="8"/>
  <c r="AD79" i="8"/>
  <c r="AE79" i="8"/>
  <c r="AF79" i="8"/>
  <c r="AG79" i="8"/>
  <c r="AH79" i="8"/>
  <c r="AI79" i="8"/>
  <c r="AJ79" i="8"/>
  <c r="H78" i="8"/>
  <c r="I78" i="8"/>
  <c r="J78" i="8"/>
  <c r="K78" i="8"/>
  <c r="L78" i="8"/>
  <c r="M78" i="8"/>
  <c r="N78" i="8"/>
  <c r="O78" i="8"/>
  <c r="Q78" i="8"/>
  <c r="R78" i="8"/>
  <c r="S78" i="8"/>
  <c r="T78" i="8"/>
  <c r="U78" i="8"/>
  <c r="V78" i="8"/>
  <c r="W78" i="8"/>
  <c r="X78" i="8"/>
  <c r="Y78" i="8"/>
  <c r="Z78" i="8"/>
  <c r="AJ78" i="8"/>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9" i="8"/>
  <c r="G78" i="8"/>
  <c r="G77" i="8"/>
  <c r="H76" i="8"/>
  <c r="I76" i="8"/>
  <c r="J76" i="8"/>
  <c r="K76" i="8"/>
  <c r="L76" i="8"/>
  <c r="M76" i="8"/>
  <c r="N76" i="8"/>
  <c r="O76" i="8"/>
  <c r="Q76" i="8"/>
  <c r="R76" i="8"/>
  <c r="S76" i="8"/>
  <c r="T76" i="8"/>
  <c r="U76" i="8"/>
  <c r="V76" i="8"/>
  <c r="W76" i="8"/>
  <c r="X76" i="8"/>
  <c r="Y76" i="8"/>
  <c r="Z76" i="8"/>
  <c r="AJ76" i="8"/>
  <c r="G76" i="8"/>
  <c r="H75" i="8"/>
  <c r="I75" i="8"/>
  <c r="J75" i="8"/>
  <c r="K75" i="8"/>
  <c r="L75" i="8"/>
  <c r="M75" i="8"/>
  <c r="N75" i="8"/>
  <c r="O75" i="8"/>
  <c r="Q75" i="8"/>
  <c r="R75" i="8"/>
  <c r="S75" i="8"/>
  <c r="T75" i="8"/>
  <c r="U75" i="8"/>
  <c r="V75" i="8"/>
  <c r="W75" i="8"/>
  <c r="X75" i="8"/>
  <c r="Y75" i="8"/>
  <c r="Z75" i="8"/>
  <c r="AJ75" i="8"/>
  <c r="G75" i="8"/>
  <c r="H74" i="8"/>
  <c r="I74" i="8"/>
  <c r="K74" i="8"/>
  <c r="L74" i="8"/>
  <c r="M74" i="8"/>
  <c r="N74" i="8"/>
  <c r="O74" i="8"/>
  <c r="Q74" i="8"/>
  <c r="R74" i="8"/>
  <c r="S74" i="8"/>
  <c r="T74" i="8"/>
  <c r="U74" i="8"/>
  <c r="V74" i="8"/>
  <c r="W74" i="8"/>
  <c r="X74" i="8"/>
  <c r="Y74" i="8"/>
  <c r="Z74" i="8"/>
  <c r="AJ74" i="8"/>
  <c r="G74" i="8"/>
  <c r="H73" i="8"/>
  <c r="I73" i="8"/>
  <c r="J73" i="8"/>
  <c r="K73" i="8"/>
  <c r="L73" i="8"/>
  <c r="M73" i="8"/>
  <c r="N73" i="8"/>
  <c r="O73" i="8"/>
  <c r="Q73" i="8"/>
  <c r="R73" i="8"/>
  <c r="S73" i="8"/>
  <c r="T73" i="8"/>
  <c r="U73" i="8"/>
  <c r="V73" i="8"/>
  <c r="W73" i="8"/>
  <c r="X73" i="8"/>
  <c r="Y73" i="8"/>
  <c r="AA73" i="8"/>
  <c r="AB73" i="8"/>
  <c r="AC73" i="8"/>
  <c r="AD73" i="8"/>
  <c r="AE73" i="8"/>
  <c r="AF73" i="8"/>
  <c r="AG73" i="8"/>
  <c r="AH73" i="8"/>
  <c r="AI73" i="8"/>
  <c r="AJ73" i="8"/>
  <c r="G73" i="8"/>
  <c r="G50" i="11"/>
  <c r="G51" i="11"/>
  <c r="G49" i="11"/>
  <c r="B58" i="11"/>
  <c r="C58" i="11"/>
  <c r="D58" i="11"/>
  <c r="E58" i="11"/>
  <c r="F58" i="11"/>
  <c r="X10" i="9"/>
  <c r="X11" i="9"/>
  <c r="X12" i="9"/>
  <c r="X13" i="9"/>
  <c r="X14" i="9"/>
  <c r="X16" i="9"/>
  <c r="X18" i="9"/>
  <c r="D12" i="5"/>
  <c r="E12" i="5"/>
  <c r="AH8" i="9"/>
  <c r="AH7" i="9"/>
  <c r="AH10" i="9"/>
  <c r="AH11" i="9"/>
  <c r="AH12" i="9"/>
  <c r="AH14" i="9"/>
  <c r="AH16" i="9"/>
  <c r="AH18" i="9"/>
  <c r="D13" i="5"/>
  <c r="E13" i="5"/>
  <c r="G13" i="5"/>
  <c r="G12" i="5"/>
  <c r="E60" i="11"/>
  <c r="F60" i="11"/>
  <c r="G60" i="11"/>
  <c r="H60" i="11"/>
  <c r="I60" i="11"/>
  <c r="J60" i="11"/>
  <c r="K60" i="11"/>
  <c r="L60" i="11"/>
  <c r="M60" i="11"/>
  <c r="N60" i="11"/>
  <c r="O60" i="11"/>
  <c r="P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32" i="15"/>
  <c r="H14" i="9"/>
  <c r="H39" i="15"/>
  <c r="H7" i="9"/>
  <c r="H31" i="15"/>
  <c r="H10" i="9"/>
  <c r="H34" i="15"/>
  <c r="H12" i="9"/>
  <c r="H37" i="15"/>
  <c r="H16" i="9"/>
  <c r="H42"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H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29"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49" i="15"/>
  <c r="H252" i="15"/>
  <c r="H250" i="15"/>
  <c r="H251" i="15"/>
  <c r="H253" i="15"/>
  <c r="H254" i="15"/>
  <c r="H100"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127"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01" i="15"/>
  <c r="H128"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6" i="15"/>
  <c r="H117" i="15"/>
  <c r="H144" i="15"/>
  <c r="H115" i="15"/>
  <c r="H214" i="15"/>
  <c r="H131" i="15"/>
  <c r="H143"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<sst xmlns="http://schemas.openxmlformats.org/spreadsheetml/2006/main" count="1319" uniqueCount="754">
  <si>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</si>
  <si>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</si>
  <si>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</si>
  <si>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</si>
  <si>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</si>
  <si>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</si>
  <si>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</si>
  <si>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</si>
  <si>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</si>
  <si>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</si>
  <si>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</si>
  <si>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</si>
  <si>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</si>
  <si>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</si>
  <si>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</si>
  <si>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</si>
  <si>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</si>
  <si>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</si>
  <si>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</si>
  <si>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</si>
  <si>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</si>
  <si>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</si>
  <si>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</si>
  <si>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</si>
  <si>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</si>
  <si>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</si>
  <si>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</si>
  <si>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</si>
  <si>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</si>
  <si>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</si>
  <si>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</si>
  <si>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</si>
  <si>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</si>
  <si>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</si>
  <si>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</si>
  <si>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</si>
  <si>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</si>
  <si>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</si>
  <si>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</si>
  <si>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</si>
  <si>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</si>
  <si>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</si>
  <si>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</si>
  <si>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</si>
  <si>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</si>
  <si>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</si>
  <si>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</si>
  <si>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</si>
  <si>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</si>
  <si>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</si>
  <si>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</si>
  <si>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</si>
  <si>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</si>
  <si>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</si>
  <si>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</si>
  <si>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</si>
  <si>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</si>
  <si>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</si>
  <si>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</si>
  <si>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</si>
  <si>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</si>
  <si>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</si>
  <si>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</si>
  <si>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</si>
  <si>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</si>
  <si>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</si>
  <si>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</si>
  <si>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</si>
  <si>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</si>
  <si>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</si>
  <si>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</si>
  <si>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</si>
  <si>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</si>
  <si>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</si>
  <si>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</si>
  <si>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</si>
  <si>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</si>
  <si>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</si>
  <si>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</si>
  <si>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</si>
  <si>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</si>
  <si>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</si>
  <si>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</si>
  <si>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</si>
  <si>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</si>
  <si>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</si>
  <si>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</si>
  <si>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</si>
  <si>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</si>
  <si>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</si>
  <si>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</si>
  <si>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</si>
  <si>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</si>
  <si>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</si>
  <si>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</si>
  <si>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</si>
  <si>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</si>
  <si>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</si>
  <si>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</si>
  <si>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</si>
  <si>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</si>
  <si>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</si>
  <si>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</si>
  <si>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</si>
  <si>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</si>
  <si>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</si>
  <si>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</si>
  <si>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</si>
  <si>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</si>
  <si>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</si>
  <si>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</si>
  <si>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</si>
  <si>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</si>
  <si>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</si>
  <si>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</si>
  <si>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</si>
  <si>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</si>
  <si>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</si>
  <si>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</si>
  <si>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</si>
  <si>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</si>
  <si>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</si>
  <si>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</si>
  <si>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</si>
  <si>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</si>
  <si>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</si>
  <si>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</si>
  <si>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</si>
  <si>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</si>
  <si>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</si>
  <si>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</si>
  <si>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</si>
  <si>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</si>
  <si>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</si>
  <si>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</si>
  <si>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</si>
  <si>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</si>
  <si>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</si>
  <si>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</si>
  <si>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</si>
  <si>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</si>
  <si>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</si>
  <si>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</si>
  <si>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</si>
  <si>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</si>
  <si>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</si>
  <si>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</si>
  <si>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</si>
  <si>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</si>
  <si>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</si>
  <si>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</si>
  <si>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</si>
  <si>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</si>
  <si>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</si>
  <si>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</si>
  <si>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</si>
  <si>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</si>
  <si>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</si>
  <si>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</si>
  <si>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</si>
  <si>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</si>
  <si>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</si>
  <si>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</si>
  <si>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</si>
  <si>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</si>
  <si>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</si>
  <si>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</si>
  <si>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</si>
  <si>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</si>
  <si>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</si>
  <si>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</si>
  <si>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</si>
  <si>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</si>
  <si>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</si>
  <si>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</si>
  <si>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</si>
  <si>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</si>
  <si>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</si>
  <si>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</si>
  <si>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</si>
  <si>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</si>
  <si>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</si>
  <si>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</si>
  <si>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</si>
  <si>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</si>
  <si>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</si>
  <si>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</si>
  <si>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</si>
  <si>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</si>
  <si>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</si>
  <si>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</si>
  <si>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</si>
  <si>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</si>
  <si>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</si>
  <si>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</si>
  <si>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</si>
  <si>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</si>
  <si>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</si>
  <si>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</si>
  <si>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</si>
  <si>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</si>
  <si>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</si>
  <si>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</si>
  <si>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</si>
  <si>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</si>
  <si>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</si>
  <si>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</si>
  <si>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</si>
  <si>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</si>
  <si>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</si>
  <si>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</si>
  <si>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</si>
  <si>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</si>
  <si>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</si>
  <si>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</si>
  <si>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</si>
  <si>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</si>
  <si>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</si>
  <si>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</si>
  <si>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</si>
  <si>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</si>
  <si>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</si>
  <si>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</si>
  <si>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</si>
  <si>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</si>
  <si>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</si>
  <si>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</si>
  <si>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</si>
  <si>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</si>
  <si>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</si>
  <si>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</si>
  <si>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</si>
  <si>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</si>
  <si>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</si>
  <si>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</si>
  <si>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</si>
  <si>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</si>
  <si>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</si>
  <si>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</si>
  <si>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</si>
  <si>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</si>
  <si>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</si>
  <si>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</si>
  <si>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</si>
  <si>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</si>
  <si>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</si>
  <si>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</si>
  <si>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</si>
  <si>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</si>
  <si>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</si>
  <si>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</si>
  <si>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</si>
  <si>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</si>
  <si>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</si>
  <si>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</si>
  <si>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</si>
  <si>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</si>
  <si>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</si>
  <si>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</si>
  <si>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</si>
  <si>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</si>
  <si>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</si>
  <si>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</si>
  <si>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</si>
  <si>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</si>
  <si>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</si>
  <si>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</si>
  <si>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</si>
  <si>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</si>
  <si>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</si>
  <si>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</si>
  <si>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</si>
  <si>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</si>
  <si>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</si>
  <si>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</si>
  <si>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</si>
  <si>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</si>
  <si>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</si>
  <si>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</si>
  <si>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</si>
  <si>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</si>
  <si>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</si>
  <si>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</si>
  <si>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</si>
  <si>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</si>
  <si>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</si>
  <si>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</si>
  <si>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</si>
  <si>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</si>
  <si>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</si>
  <si>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</si>
  <si>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</si>
  <si>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</si>
  <si>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</si>
  <si>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</si>
  <si>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</si>
  <si>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</si>
  <si>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</si>
  <si>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</si>
  <si>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</si>
  <si>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</si>
  <si>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</si>
  <si>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</si>
  <si>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</si>
  <si>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</si>
  <si>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</si>
  <si>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</si>
  <si>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</si>
  <si>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</si>
  <si>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</si>
  <si>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</si>
  <si>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</si>
  <si>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</si>
  <si>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</si>
  <si>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</si>
  <si>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</si>
  <si>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</si>
  <si>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</si>
  <si>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</si>
  <si>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</si>
  <si>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</si>
  <si>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</si>
  <si>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</si>
  <si>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</si>
  <si>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</si>
  <si>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</si>
  <si>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</si>
  <si>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</si>
  <si>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</si>
  <si>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</si>
  <si>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</si>
  <si>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</si>
  <si>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</si>
  <si>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</si>
  <si>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</si>
  <si>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</si>
  <si>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</si>
  <si>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</si>
  <si>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</si>
  <si>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</si>
  <si>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</si>
  <si>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</si>
  <si>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</si>
  <si>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</si>
  <si>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</si>
  <si>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</si>
  <si>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</si>
  <si>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</si>
  <si>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</si>
  <si>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</si>
  <si>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</si>
  <si>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</si>
  <si>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</si>
  <si>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</si>
  <si>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</si>
  <si>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</si>
  <si>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</si>
  <si>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</si>
  <si>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</si>
  <si>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</si>
  <si>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</si>
  <si>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</si>
  <si>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</si>
  <si>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</si>
  <si>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</si>
  <si>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</si>
  <si>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</si>
  <si>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</si>
  <si>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</si>
  <si>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</si>
  <si>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</si>
  <si>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</si>
  <si>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</si>
  <si>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</si>
  <si>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</si>
  <si>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</si>
  <si>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</si>
  <si>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</si>
  <si>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</si>
  <si>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</si>
  <si>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</si>
  <si>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</si>
  <si>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</si>
  <si>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</si>
  <si>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</si>
  <si>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</si>
  <si>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</si>
  <si>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</si>
  <si>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</si>
  <si>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</si>
  <si>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</si>
  <si>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</si>
  <si>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</si>
  <si>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</si>
  <si>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</si>
  <si>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</si>
  <si>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</si>
  <si>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</si>
  <si>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</si>
  <si>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</si>
  <si>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</si>
  <si>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</si>
  <si>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</si>
  <si>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</si>
  <si>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</si>
  <si>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</si>
  <si>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</si>
  <si>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</si>
  <si>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</si>
  <si>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</si>
  <si>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</si>
  <si>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</si>
  <si>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</si>
  <si>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</si>
  <si>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</si>
  <si>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</si>
  <si>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</si>
  <si>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</si>
  <si>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</si>
  <si>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</si>
  <si>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</si>
  <si>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</si>
  <si>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</si>
  <si>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</si>
  <si>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</si>
  <si>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</si>
  <si>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</si>
  <si>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</si>
  <si>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</si>
  <si>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</si>
  <si>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</si>
  <si>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</si>
  <si>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</si>
  <si>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</si>
  <si>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</si>
  <si>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</si>
  <si>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</si>
  <si>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</si>
  <si>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</si>
  <si>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</si>
  <si>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</si>
  <si>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</si>
  <si>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</si>
  <si>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</si>
  <si>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</si>
  <si>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</si>
  <si>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</si>
  <si>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</si>
  <si>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</si>
  <si>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</si>
  <si>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</si>
  <si>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</si>
  <si>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</si>
  <si>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</si>
  <si>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</si>
  <si>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</si>
  <si>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</si>
  <si>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</si>
  <si>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</si>
  <si>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</si>
  <si>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</si>
  <si>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</si>
  <si>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</si>
  <si>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</si>
  <si>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</si>
  <si>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</si>
  <si>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</si>
  <si>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</si>
  <si>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</si>
  <si>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</si>
  <si>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</si>
  <si>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</si>
  <si>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</si>
  <si>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</si>
  <si>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</si>
  <si>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</si>
  <si>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</si>
  <si>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</si>
  <si>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</si>
  <si>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</si>
  <si>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</si>
  <si>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</si>
  <si>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</si>
  <si>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</si>
  <si>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</si>
  <si>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</si>
  <si>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</si>
  <si>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</si>
  <si>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</si>
  <si>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</si>
  <si>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</si>
  <si>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</si>
  <si>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</si>
  <si>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</si>
  <si>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</si>
  <si>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</si>
  <si>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</si>
  <si>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</si>
  <si>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</si>
  <si>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</si>
  <si>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</si>
  <si>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</si>
  <si>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</si>
  <si>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</si>
  <si>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</si>
  <si>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</si>
  <si>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</si>
  <si>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</si>
  <si>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</si>
  <si>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</si>
  <si>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</si>
  <si>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</si>
  <si>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</si>
  <si>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</si>
  <si>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</si>
  <si>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</si>
  <si>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</si>
  <si>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</si>
  <si>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</si>
  <si>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</si>
  <si>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</si>
  <si>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</si>
  <si>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</si>
  <si>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</si>
  <si>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</si>
  <si>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</si>
  <si>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</si>
  <si>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</si>
  <si>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</si>
  <si>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</si>
  <si>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</si>
  <si>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</si>
  <si>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</si>
  <si>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</si>
  <si>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</si>
  <si>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</si>
  <si>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</si>
  <si>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</si>
  <si>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</si>
  <si>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</si>
  <si>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</si>
  <si>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</si>
  <si>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</si>
  <si>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</si>
  <si>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</si>
  <si>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</si>
  <si>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</si>
  <si>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</si>
  <si>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</si>
  <si>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</si>
  <si>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</si>
  <si>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</si>
  <si>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</si>
  <si>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</si>
  <si>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</si>
  <si>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</si>
  <si>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</si>
  <si>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</si>
  <si>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</si>
  <si>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</si>
  <si>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</si>
  <si>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</si>
  <si>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</si>
  <si>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</si>
  <si>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</si>
  <si>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</si>
  <si>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</si>
  <si>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</si>
  <si>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</si>
  <si>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</si>
  <si>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</si>
  <si>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</si>
  <si>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</si>
  <si>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</si>
  <si>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</si>
  <si>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</si>
  <si>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</si>
  <si>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</si>
  <si>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</si>
  <si>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</si>
  <si>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</si>
  <si>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</si>
  <si>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</si>
  <si>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</si>
  <si>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</si>
  <si>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</si>
  <si>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</si>
  <si>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</si>
  <si>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</si>
  <si>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</si>
  <si>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</si>
  <si>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</si>
  <si>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</si>
  <si>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</si>
  <si>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</si>
  <si>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</si>
  <si>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</si>
  <si>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</si>
  <si>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</si>
  <si>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</si>
  <si>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</si>
  <si>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</si>
  <si>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</si>
  <si>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</si>
  <si>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</si>
  <si>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</si>
  <si>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</si>
  <si>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</si>
  <si>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</si>
  <si>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</si>
  <si>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</si>
  <si>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</si>
  <si>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</si>
  <si>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</si>
  <si>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</si>
  <si>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</si>
  <si>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</si>
  <si>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</si>
  <si>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</si>
  <si>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</si>
  <si>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</si>
  <si>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</si>
  <si>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</si>
  <si>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</si>
  <si>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</si>
  <si>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</si>
  <si>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</si>
  <si>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</si>
  <si>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</si>
  <si>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</si>
  <si>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</si>
  <si>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</si>
  <si>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</si>
  <si>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</si>
  <si>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</si>
  <si>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</si>
  <si>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</si>
  <si>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</si>
  <si>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</si>
  <si>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</si>
  <si>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</si>
  <si>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</si>
  <si>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</si>
  <si>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</si>
  <si>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</si>
  <si>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</si>
  <si>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</si>
  <si>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</si>
  <si>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</si>
  <si>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</si>
  <si>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</si>
  <si>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</si>
  <si>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</si>
  <si>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</si>
  <si>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</si>
  <si>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</si>
  <si>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</si>
  <si>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</si>
  <si>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</si>
  <si>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</si>
  <si>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</si>
  <si>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</si>
  <si>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</si>
  <si>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</si>
  <si>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</si>
  <si>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</si>
  <si>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</si>
  <si>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</si>
  <si>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</si>
  <si>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</si>
  <si>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</si>
  <si>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</si>
  <si>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</si>
  <si>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</si>
  <si>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</si>
  <si>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</si>
  <si>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</si>
  <si>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</si>
  <si>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</si>
  <si>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</si>
  <si>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</si>
  <si>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</si>
  <si>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</si>
  <si>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</si>
  <si>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</si>
  <si>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</si>
  <si>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</si>
  <si>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</si>
  <si>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</si>
  <si>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</si>
  <si>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</si>
  <si>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</si>
  <si>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</si>
  <si>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</si>
  <si>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</si>
  <si>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</si>
  <si>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</si>
  <si>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</si>
  <si>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</si>
  <si>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</si>
  <si>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</si>
  <si>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</si>
  <si>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</si>
  <si>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</si>
  <si>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</si>
  <si>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</si>
  <si>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</si>
  <si>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</si>
  <si>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</si>
  <si>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</si>
  <si>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</si>
  <si>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</si>
  <si>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</si>
  <si>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</si>
  <si>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</si>
  <si>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</si>
  <si>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</si>
  <si>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</si>
  <si>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</si>
  <si>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</si>
  <si>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</si>
  <si>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</si>
  <si>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</si>
  <si>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</si>
  <si>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</si>
  <si>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</si>
  <si>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</si>
  <si>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</si>
  <si>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</si>
  <si>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</si>
  <si>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</si>
  <si>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</si>
  <si>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</si>
  <si>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</si>
  <si>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</si>
  <si>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</si>
  <si>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</si>
  <si>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</si>
  <si>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</si>
  <si>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</si>
  <si>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</si>
  <si>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Total Electricity Generation by Fuel from EIA for Northeastern</t>
  </si>
  <si>
    <t xml:space="preserve">    Other Gases</t>
  </si>
  <si>
    <t>Pumped Storage</t>
  </si>
  <si>
    <t>Other</t>
  </si>
  <si>
    <t>Generation from EIA North Eastern region from EIA</t>
  </si>
  <si>
    <t>Energy Source</t>
  </si>
  <si>
    <t>Fossil</t>
  </si>
  <si>
    <t>Contribution of Massachussets</t>
  </si>
  <si>
    <t>Total Electricity Generation by Fuel by computation for Massachusetts</t>
  </si>
  <si>
    <t>Proportion for Massachusetts</t>
  </si>
  <si>
    <t>Solar proportion</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</si>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</sst>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3"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
      <sz val="10"/>
      <color rgb="FF000000"/>
      <name val="Verdana"/>
      <family val="2"/>
    </font>
    <font>
      <sz val="10"/>
      <name val="Verdana"/>
    </font>
  </fonts>
  <fills count="12">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rgb="FF000000"/>
      </patternFill>
    </fill>
    <fill>
      <patternFill patternType="solid">
        <fgColor theme="9"/>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28">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70">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67" fontId="21" fillId="2" borderId="1" xfId="10" applyNumberFormat="1" applyFont="1" applyFill="1" applyBorder="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8" fontId="28" fillId="2" borderId="53" xfId="0" applyNumberFormat="1" applyFont="1" applyFill="1" applyBorder="1" applyAlignment="1">
      <alignment wrapText="1"/>
    </xf>
    <xf numFmtId="0" fontId="51" fillId="0" borderId="16" xfId="0" applyFont="1" applyBorder="1"/>
    <xf numFmtId="0" fontId="51" fillId="0" borderId="26" xfId="0" applyFont="1" applyBorder="1"/>
    <xf numFmtId="0" fontId="52" fillId="10" borderId="26" xfId="0" applyFont="1" applyFill="1" applyBorder="1"/>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0" fontId="28" fillId="11" borderId="53" xfId="0" applyFont="1" applyFill="1" applyBorder="1" applyAlignment="1">
      <alignment wrapText="1"/>
    </xf>
    <xf numFmtId="0" fontId="0" fillId="0" borderId="0" xfId="0" applyAlignment="1">
      <alignment horizontal="center"/>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28" fillId="0" borderId="0" xfId="0" applyFont="1" applyAlignment="1">
      <alignment horizontal="center" vertical="top"/>
    </xf>
    <xf numFmtId="0" fontId="0" fillId="0" borderId="0" xfId="0" applyAlignment="1">
      <alignment wrapText="1"/>
    </xf>
    <xf numFmtId="0" fontId="0" fillId="0" borderId="31" xfId="0" applyBorder="1"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28">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111752904"/>
        <c:axId val="2111756072"/>
      </c:lineChart>
      <c:catAx>
        <c:axId val="211175290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11756072"/>
        <c:crosses val="autoZero"/>
        <c:auto val="1"/>
        <c:lblAlgn val="ctr"/>
        <c:lblOffset val="100"/>
        <c:noMultiLvlLbl val="0"/>
      </c:catAx>
      <c:valAx>
        <c:axId val="2111756072"/>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1752904"/>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076429160"/>
        <c:axId val="2108097848"/>
      </c:lineChart>
      <c:catAx>
        <c:axId val="207642916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08097848"/>
        <c:crosses val="autoZero"/>
        <c:auto val="1"/>
        <c:lblAlgn val="ctr"/>
        <c:lblOffset val="100"/>
        <c:noMultiLvlLbl val="0"/>
      </c:catAx>
      <c:valAx>
        <c:axId val="2108097848"/>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6429160"/>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abSelected="1" topLeftCell="A14"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4"/>
      <c r="B1" s="534"/>
      <c r="C1" s="534"/>
      <c r="D1" s="534"/>
      <c r="E1" s="534"/>
      <c r="F1" s="534"/>
      <c r="G1" s="534"/>
      <c r="H1" s="534"/>
      <c r="I1" s="534"/>
      <c r="J1" s="534"/>
      <c r="K1" s="534"/>
      <c r="L1" s="534"/>
      <c r="M1" s="534"/>
      <c r="N1" s="534"/>
      <c r="O1" s="534"/>
      <c r="P1" s="534"/>
      <c r="Q1" s="534"/>
      <c r="R1" s="534"/>
      <c r="S1" s="534"/>
      <c r="T1" s="534"/>
    </row>
    <row r="2" spans="1:20" ht="113.25" customHeight="1">
      <c r="A2" s="534"/>
      <c r="B2" s="534"/>
      <c r="C2" s="534"/>
      <c r="D2" s="534"/>
      <c r="E2" s="534"/>
      <c r="F2" s="534"/>
      <c r="G2" s="534"/>
      <c r="H2" s="534"/>
      <c r="I2" s="534"/>
      <c r="J2" s="534"/>
      <c r="K2" s="534"/>
      <c r="L2" s="534"/>
      <c r="M2" s="534"/>
      <c r="N2" s="534"/>
      <c r="O2" s="534"/>
      <c r="P2" s="119"/>
      <c r="Q2" s="119"/>
      <c r="R2" s="119"/>
      <c r="S2" s="119"/>
      <c r="T2" s="119"/>
    </row>
    <row r="3" spans="1:20" ht="15" thickBot="1">
      <c r="C3" s="110"/>
      <c r="D3"/>
      <c r="E3" s="110"/>
      <c r="F3" s="110"/>
      <c r="G3" s="110"/>
      <c r="H3" s="110"/>
      <c r="I3" s="247"/>
      <c r="J3" s="247"/>
      <c r="K3" s="247"/>
      <c r="L3" s="172"/>
      <c r="M3" s="7" t="s">
        <v>0</v>
      </c>
    </row>
    <row r="4" spans="1:20" ht="15" thickBot="1">
      <c r="C4" s="117" t="s">
        <v>141</v>
      </c>
      <c r="D4" s="124"/>
      <c r="E4" s="119"/>
      <c r="F4" s="110"/>
      <c r="G4" s="110"/>
      <c r="H4" s="163" t="s">
        <v>0</v>
      </c>
      <c r="I4" s="247"/>
      <c r="J4" s="247"/>
      <c r="K4" s="247"/>
      <c r="L4" s="172"/>
      <c r="M4" t="s">
        <v>0</v>
      </c>
      <c r="Q4" t="s">
        <v>0</v>
      </c>
      <c r="R4" t="s">
        <v>0</v>
      </c>
    </row>
    <row r="5" spans="1:20">
      <c r="B5" s="1" t="s">
        <v>1</v>
      </c>
      <c r="C5" s="110" t="s">
        <v>707</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382</v>
      </c>
      <c r="C7" s="210" t="s">
        <v>554</v>
      </c>
      <c r="D7" s="114">
        <f>'Output - Jobs vs Yr (BAU)'!X4/'Output - Jobs vs Yr (BAU)'!C4-1</f>
        <v>-4.7802961818201206E-2</v>
      </c>
      <c r="E7" s="92" t="s">
        <v>518</v>
      </c>
      <c r="F7" s="109"/>
      <c r="G7" s="109"/>
      <c r="H7" s="29" t="s">
        <v>0</v>
      </c>
      <c r="I7" s="29"/>
      <c r="J7" s="29"/>
      <c r="K7" s="29"/>
      <c r="L7" s="29"/>
      <c r="M7" s="7" t="s">
        <v>0</v>
      </c>
      <c r="N7" t="s">
        <v>0</v>
      </c>
      <c r="O7" t="s">
        <v>0</v>
      </c>
      <c r="P7" t="s">
        <v>0</v>
      </c>
    </row>
    <row r="8" spans="1:20" ht="15" thickBot="1">
      <c r="B8" s="1" t="s">
        <v>367</v>
      </c>
      <c r="C8" s="109"/>
      <c r="D8" s="104" t="s">
        <v>342</v>
      </c>
      <c r="E8" s="498" t="s">
        <v>717</v>
      </c>
      <c r="F8" s="109"/>
      <c r="G8" s="498" t="s">
        <v>718</v>
      </c>
      <c r="H8"/>
      <c r="I8"/>
      <c r="J8"/>
      <c r="K8"/>
      <c r="L8"/>
      <c r="M8" t="s">
        <v>0</v>
      </c>
      <c r="N8" t="s">
        <v>0</v>
      </c>
      <c r="O8" s="111" t="s">
        <v>0</v>
      </c>
      <c r="P8" s="31" t="s">
        <v>0</v>
      </c>
    </row>
    <row r="9" spans="1:20" ht="15.75" hidden="1" customHeight="1" thickBot="1">
      <c r="B9" s="43" t="s">
        <v>367</v>
      </c>
      <c r="C9" s="110"/>
      <c r="D9" s="114" t="e">
        <f>'Output - Jobs vs Yr (BAU)'!X6/'Output - Jobs vs Yr (BAU)'!C6-1</f>
        <v>#DIV/0!</v>
      </c>
      <c r="E9" s="109"/>
      <c r="F9" s="109"/>
      <c r="G9" s="109"/>
      <c r="H9"/>
      <c r="I9"/>
      <c r="J9"/>
      <c r="K9"/>
      <c r="L9"/>
      <c r="M9"/>
      <c r="O9" s="102"/>
    </row>
    <row r="10" spans="1:20" ht="15.75" hidden="1" customHeight="1" thickBot="1">
      <c r="B10" s="93" t="s">
        <v>351</v>
      </c>
      <c r="C10" s="110"/>
      <c r="D10" s="43"/>
      <c r="E10" s="109"/>
      <c r="F10" s="109"/>
      <c r="G10" s="109"/>
      <c r="H10"/>
      <c r="I10"/>
      <c r="J10"/>
      <c r="K10"/>
      <c r="L10"/>
      <c r="M10"/>
      <c r="O10" s="102"/>
    </row>
    <row r="11" spans="1:20" ht="15" thickBot="1">
      <c r="B11" t="s">
        <v>379</v>
      </c>
      <c r="C11" s="126">
        <v>0.14000000000000001</v>
      </c>
      <c r="D11" s="125">
        <f>'Output - Jobs vs Yr (BAU)'!N18/'Output -Jobs vs Yr'!N14</f>
        <v>4.9217696216364966E-2</v>
      </c>
      <c r="E11" s="497">
        <f>(7.7/3)^(1/6)</f>
        <v>1.1701141873017888</v>
      </c>
      <c r="F11" s="109"/>
      <c r="G11" s="494">
        <f>(12.5/3)^(1/6)</f>
        <v>1.2685223586294079</v>
      </c>
      <c r="H11"/>
      <c r="I11"/>
      <c r="J11"/>
      <c r="K11"/>
      <c r="L11"/>
      <c r="M11" t="s">
        <v>0</v>
      </c>
      <c r="N11" t="s">
        <v>0</v>
      </c>
      <c r="O11" s="111" t="s">
        <v>0</v>
      </c>
      <c r="P11" s="31" t="s">
        <v>0</v>
      </c>
    </row>
    <row r="12" spans="1:20" ht="15" thickBot="1">
      <c r="B12" t="s">
        <v>380</v>
      </c>
      <c r="C12" s="209">
        <v>0.25</v>
      </c>
      <c r="D12" s="125">
        <f>'Output - Jobs vs Yr (BAU)'!X18/'Output -Jobs vs Yr'!X14</f>
        <v>5.2036918030309846E-2</v>
      </c>
      <c r="E12" s="497">
        <f>(D12/D11)^(1/10)</f>
        <v>1.0055855604756849</v>
      </c>
      <c r="F12" s="109"/>
      <c r="G12" s="495">
        <f>(C12/C11)^(1/10)</f>
        <v>1.0596957615546176</v>
      </c>
      <c r="H12"/>
      <c r="I12"/>
      <c r="J12"/>
      <c r="K12"/>
      <c r="L12"/>
      <c r="M12" t="s">
        <v>0</v>
      </c>
      <c r="N12" t="s">
        <v>0</v>
      </c>
      <c r="O12" s="111" t="s">
        <v>0</v>
      </c>
      <c r="P12" s="31" t="s">
        <v>0</v>
      </c>
    </row>
    <row r="13" spans="1:20" ht="15" thickBot="1">
      <c r="B13" t="s">
        <v>577</v>
      </c>
      <c r="C13" s="210">
        <v>0.3</v>
      </c>
      <c r="D13" s="173">
        <f>'Output - Jobs vs Yr (BAU)'!AH18/'Output -Jobs vs Yr'!AH14</f>
        <v>5.2670907986405772E-2</v>
      </c>
      <c r="E13" s="497">
        <f>(D13/D12)^(1/10)</f>
        <v>1.0012117179081383</v>
      </c>
      <c r="F13" s="109"/>
      <c r="G13" s="496">
        <f>(C13/C12)^(1/10)</f>
        <v>1.0183993761470242</v>
      </c>
      <c r="H13"/>
      <c r="I13"/>
      <c r="J13"/>
      <c r="K13"/>
      <c r="L13"/>
      <c r="M13"/>
      <c r="O13" s="111"/>
      <c r="P13" s="31"/>
    </row>
    <row r="14" spans="1:20">
      <c r="B14" t="s">
        <v>578</v>
      </c>
      <c r="C14" s="246"/>
      <c r="D14" s="173"/>
      <c r="E14" s="109"/>
      <c r="F14" s="109"/>
      <c r="G14" s="109"/>
      <c r="H14"/>
      <c r="I14"/>
      <c r="J14"/>
      <c r="K14"/>
      <c r="L14"/>
      <c r="M14"/>
      <c r="O14" s="111"/>
      <c r="P14" s="31"/>
    </row>
    <row r="15" spans="1:20" ht="15" thickBot="1">
      <c r="C15" s="4" t="s">
        <v>0</v>
      </c>
      <c r="D15" s="32"/>
      <c r="E15" s="4"/>
      <c r="F15" s="95" t="s">
        <v>0</v>
      </c>
      <c r="G15" s="95"/>
      <c r="H15" s="4"/>
      <c r="I15" s="4"/>
      <c r="J15" s="4"/>
      <c r="K15" s="4"/>
      <c r="L15" s="4"/>
      <c r="N15" t="s">
        <v>712</v>
      </c>
      <c r="O15" s="31" t="s">
        <v>712</v>
      </c>
      <c r="P15" s="31" t="s">
        <v>713</v>
      </c>
      <c r="Q15" t="s">
        <v>710</v>
      </c>
    </row>
    <row r="16" spans="1:20" ht="15" thickBot="1">
      <c r="B16" s="32" t="s">
        <v>362</v>
      </c>
      <c r="C16" s="106" t="s">
        <v>365</v>
      </c>
      <c r="D16" s="104" t="s">
        <v>534</v>
      </c>
      <c r="E16" s="104" t="s">
        <v>363</v>
      </c>
      <c r="F16" s="104" t="s">
        <v>358</v>
      </c>
      <c r="G16" s="104" t="s">
        <v>544</v>
      </c>
      <c r="H16" s="104" t="s">
        <v>363</v>
      </c>
      <c r="I16" s="104" t="s">
        <v>706</v>
      </c>
      <c r="J16" s="104" t="s">
        <v>705</v>
      </c>
      <c r="K16" s="104" t="s">
        <v>363</v>
      </c>
      <c r="L16" s="104"/>
      <c r="M16" s="44" t="s">
        <v>257</v>
      </c>
      <c r="N16" s="291">
        <v>2020</v>
      </c>
      <c r="O16" s="291">
        <v>2030</v>
      </c>
      <c r="P16" s="291">
        <v>2040</v>
      </c>
      <c r="Q16" s="198">
        <v>2031</v>
      </c>
    </row>
    <row r="17" spans="2:17" ht="15" thickBot="1">
      <c r="B17" t="s">
        <v>352</v>
      </c>
      <c r="C17" s="195">
        <f>D17*$C$11/$D$11</f>
        <v>1.1091650249619323E-2</v>
      </c>
      <c r="D17" s="127">
        <f>'Output - Jobs vs Yr (BAU)'!N10/'Output -Jobs vs Yr'!$N$14</f>
        <v>3.8993248037423748E-3</v>
      </c>
      <c r="E17" s="105">
        <f t="shared" ref="E17:E23" si="0">IF($C$24&lt;&gt;0,C17/$C$24,0)</f>
        <v>7.9226073211566592E-2</v>
      </c>
      <c r="F17" s="173">
        <f>C17*$C$12/$C$11</f>
        <v>1.9806518302891648E-2</v>
      </c>
      <c r="G17" s="105">
        <f>'Output - Jobs vs Yr (BAU)'!X10/'Output - Jobs vs Yr (BAU)'!X24</f>
        <v>5.010555860683154E-3</v>
      </c>
      <c r="H17" s="105">
        <f t="shared" ref="H17:H23" si="1">G17/$G$24</f>
        <v>9.3564607060419192E-2</v>
      </c>
      <c r="I17" s="173">
        <f>F17*$C$13/$C$12</f>
        <v>2.3767821963469975E-2</v>
      </c>
      <c r="J17" s="105">
        <f>'Output - Jobs vs Yr (BAU)'!AH10/'Output - Jobs vs Yr (BAU)'!AH24</f>
        <v>5.3419991513939695E-3</v>
      </c>
      <c r="K17" s="105">
        <f>J17/$J$24</f>
        <v>9.7591058587218782E-2</v>
      </c>
      <c r="L17" s="105"/>
      <c r="M17" s="45" t="s">
        <v>259</v>
      </c>
      <c r="N17" s="86">
        <f>HLOOKUP(N16,'Output -Jobs vs Yr'!$H$175:$AH$184,9)</f>
        <v>668.93617299962534</v>
      </c>
      <c r="O17" s="86">
        <f>HLOOKUP(O16,'Output -Jobs vs Yr'!$H$175:$AH$184,9)</f>
        <v>1344.3001077566478</v>
      </c>
      <c r="P17" s="86">
        <f>HLOOKUP(P16,'Output -Jobs vs Yr'!$H$175:$AH$184,9)</f>
        <v>1698.3543037579038</v>
      </c>
      <c r="Q17" s="86">
        <f>HLOOKUP(Q16,'Output -Jobs vs Yr'!$H$175:$AH$184,9)</f>
        <v>1387.6210809627737</v>
      </c>
    </row>
    <row r="18" spans="2:17" ht="15" thickBot="1">
      <c r="B18" s="4" t="s">
        <v>353</v>
      </c>
      <c r="C18" s="195">
        <f>D18*$C$11/$D$11</f>
        <v>7.2255785979111627E-7</v>
      </c>
      <c r="D18" s="127">
        <f>'Output - Jobs vs Yr (BAU)'!N15/'Output -Jobs vs Yr'!$N$14</f>
        <v>2.540188088710428E-7</v>
      </c>
      <c r="E18" s="105">
        <f t="shared" si="0"/>
        <v>5.161127569936544E-6</v>
      </c>
      <c r="F18" s="173">
        <f t="shared" ref="F18:F23" si="2">C18*$C$12/$C$11</f>
        <v>1.290281892484136E-6</v>
      </c>
      <c r="G18" s="105">
        <f>'Output - Jobs vs Yr (BAU)'!X15/'Output - Jobs vs Yr (BAU)'!X24</f>
        <v>2.7361431899290411E-7</v>
      </c>
      <c r="H18" s="105">
        <f t="shared" si="1"/>
        <v>5.1093365595538542E-6</v>
      </c>
      <c r="I18" s="173">
        <f t="shared" ref="I18:I24" si="3">F18*$C$13/$C$12</f>
        <v>1.5483382709809632E-6</v>
      </c>
      <c r="J18" s="105">
        <f>'Output - Jobs vs Yr (BAU)'!AH15/'Output - Jobs vs Yr (BAU)'!AH24</f>
        <v>2.7467574911695683E-7</v>
      </c>
      <c r="K18" s="105">
        <f t="shared" ref="K18:K24" si="4">J18/$J$24</f>
        <v>5.0179523367326394E-6</v>
      </c>
      <c r="L18" s="105"/>
      <c r="M18" s="46" t="s">
        <v>260</v>
      </c>
      <c r="N18" s="87">
        <f>HLOOKUP(N16,'Output -Jobs vs Yr'!$H$175:$AH$184,10)</f>
        <v>602.0417876832189</v>
      </c>
      <c r="O18" s="87">
        <f>HLOOKUP(O16,'Output -Jobs vs Yr'!$H$175:$AH$184,10)</f>
        <v>1209.8687866763139</v>
      </c>
      <c r="P18" s="87">
        <f>HLOOKUP(P16,'Output -Jobs vs Yr'!$H$175:$AH$184,10)</f>
        <v>1528.5172916523898</v>
      </c>
      <c r="Q18" s="87">
        <f>HLOOKUP(Q16,'Output -Jobs vs Yr'!$H$175:$AH$184,10)</f>
        <v>1248.8576265064644</v>
      </c>
    </row>
    <row r="19" spans="2:17" ht="15" thickBot="1">
      <c r="B19" s="4" t="s">
        <v>354</v>
      </c>
      <c r="C19" s="195">
        <f>D19*$C$11/$D$11</f>
        <v>7.2255785979111646E-14</v>
      </c>
      <c r="D19" s="127">
        <f>'Output - Jobs vs Yr (BAU)'!N11/'Output -Jobs vs Yr'!$N$14</f>
        <v>2.5401880887104282E-14</v>
      </c>
      <c r="E19" s="105">
        <f t="shared" si="0"/>
        <v>5.1611275699365454E-13</v>
      </c>
      <c r="F19" s="173">
        <f t="shared" si="2"/>
        <v>1.2902818924841364E-13</v>
      </c>
      <c r="G19" s="105">
        <f>'Output - Jobs vs Yr (BAU)'!X11/'Output - Jobs vs Yr (BAU)'!X24</f>
        <v>2.7361431899290414E-14</v>
      </c>
      <c r="H19" s="105">
        <f t="shared" si="1"/>
        <v>5.1093365595538548E-13</v>
      </c>
      <c r="I19" s="173">
        <f t="shared" si="3"/>
        <v>1.5483382709809636E-13</v>
      </c>
      <c r="J19" s="105">
        <f>'Output - Jobs vs Yr (BAU)'!AH11/'Output - Jobs vs Yr (BAU)'!AH24</f>
        <v>2.7467574911695683E-14</v>
      </c>
      <c r="K19" s="105">
        <f t="shared" si="4"/>
        <v>5.0179523367326389E-13</v>
      </c>
      <c r="L19" s="105"/>
      <c r="M19" s="46" t="s">
        <v>261</v>
      </c>
      <c r="N19" s="87">
        <f>HLOOKUP(N16,'Output -Jobs vs Yr'!$H$175:$AH$184,8)</f>
        <v>1270.9779606828433</v>
      </c>
      <c r="O19" s="87">
        <f>HLOOKUP(O16,'Output -Jobs vs Yr'!$H$175:$AH$184,8)</f>
        <v>2554.1688944329617</v>
      </c>
      <c r="P19" s="87">
        <f>HLOOKUP(P16,'Output -Jobs vs Yr'!$H$175:$AH$184,8)</f>
        <v>3226.8715954102918</v>
      </c>
      <c r="Q19" s="87">
        <f>HLOOKUP(Q16,'Output -Jobs vs Yr'!$H$175:$AH$184,8)</f>
        <v>2636.4787074692376</v>
      </c>
    </row>
    <row r="20" spans="2:17" ht="15" thickBot="1">
      <c r="B20" s="4" t="s">
        <v>51</v>
      </c>
      <c r="C20" s="195">
        <f>D20*$C$11/$D$11</f>
        <v>9.4660037281004042E-2</v>
      </c>
      <c r="D20" s="127">
        <f>'Output - Jobs vs Yr (BAU)'!N12/'Output -Jobs vs Yr'!$N$14</f>
        <v>3.3278206848044563E-2</v>
      </c>
      <c r="E20" s="105">
        <f t="shared" si="0"/>
        <v>0.67614312343574312</v>
      </c>
      <c r="F20" s="173">
        <f t="shared" si="2"/>
        <v>0.16903578085893578</v>
      </c>
      <c r="G20" s="105">
        <f>'Output - Jobs vs Yr (BAU)'!X12/'Output - Jobs vs Yr (BAU)'!X24</f>
        <v>3.5842324514476144E-2</v>
      </c>
      <c r="H20" s="105">
        <f t="shared" si="1"/>
        <v>0.66930159099588493</v>
      </c>
      <c r="I20" s="173">
        <f t="shared" si="3"/>
        <v>0.20284293703072293</v>
      </c>
      <c r="J20" s="105">
        <f>'Output - Jobs vs Yr (BAU)'!AH12/'Output - Jobs vs Yr (BAU)'!AH24</f>
        <v>3.5975543248815842E-2</v>
      </c>
      <c r="K20" s="105">
        <f t="shared" si="4"/>
        <v>0.65722424309746652</v>
      </c>
      <c r="L20" s="105"/>
      <c r="M20" s="47" t="s">
        <v>458</v>
      </c>
      <c r="N20" s="88">
        <f>HLOOKUP(N16,'Output -Jobs vs Yr'!$H$175:$AH$188,11)-HLOOKUP(N16,'Output -Jobs vs Yr'!$H$175:$AH$188,14)</f>
        <v>3319.9767480507398</v>
      </c>
      <c r="O20" s="88">
        <f>HLOOKUP(O16,'Output -Jobs vs Yr'!$H$175:$AH$188,11)-HLOOKUP(O16,'Output -Jobs vs Yr'!$H$175:$AH$188,14)</f>
        <v>22204.116215793842</v>
      </c>
      <c r="P20" s="88">
        <f>HLOOKUP(P16,'Output -Jobs vs Yr'!$H$175:$AH$188,11)-HLOOKUP(P16,'Output -Jobs vs Yr'!$H$175:$AH$188,14)</f>
        <v>52037.677745867768</v>
      </c>
      <c r="Q20" s="88">
        <f>HLOOKUP(Q16,'Output -Jobs vs Yr'!$H$175:$AH$188,11)-HLOOKUP(Q16,'Output -Jobs vs Yr'!$H$175:$AH$188,14)</f>
        <v>24840.594923263081</v>
      </c>
    </row>
    <row r="21" spans="2:17" ht="15" thickBot="1">
      <c r="B21" t="s">
        <v>355</v>
      </c>
      <c r="C21" s="195">
        <f t="shared" ref="C21:C23" si="5">D21*$C$11/$D$11</f>
        <v>2.5756171535532387E-2</v>
      </c>
      <c r="D21" s="127">
        <f>'Output - Jobs vs Yr (BAU)'!N13/'Output -Jobs vs Yr'!$N$14</f>
        <v>9.0547101880887101E-3</v>
      </c>
      <c r="E21" s="105">
        <f t="shared" si="0"/>
        <v>0.18397265382523131</v>
      </c>
      <c r="F21" s="173">
        <f t="shared" si="2"/>
        <v>4.5993163456307828E-2</v>
      </c>
      <c r="G21" s="105">
        <f>'Output - Jobs vs Yr (BAU)'!X13/'Output - Jobs vs Yr (BAU)'!X24</f>
        <v>9.3184350832219744E-3</v>
      </c>
      <c r="H21" s="105">
        <f t="shared" si="1"/>
        <v>0.17400778301288405</v>
      </c>
      <c r="I21" s="173">
        <f t="shared" si="3"/>
        <v>5.5191796147569396E-2</v>
      </c>
      <c r="J21" s="105">
        <f>'Output - Jobs vs Yr (BAU)'!AH13/'Output - Jobs vs Yr (BAU)'!AH24</f>
        <v>9.410278276560137E-3</v>
      </c>
      <c r="K21" s="105">
        <f t="shared" si="4"/>
        <v>0.17191298474283193</v>
      </c>
      <c r="L21" s="105"/>
      <c r="N21" s="161"/>
    </row>
    <row r="22" spans="2:17" ht="15" thickBot="1">
      <c r="B22" s="4" t="s">
        <v>356</v>
      </c>
      <c r="C22" s="195">
        <f t="shared" si="5"/>
        <v>7.2255785979111653E-6</v>
      </c>
      <c r="D22" s="127">
        <f>'Output - Jobs vs Yr (BAU)'!N14/'Output -Jobs vs Yr'!$N$14</f>
        <v>2.5401880887104284E-6</v>
      </c>
      <c r="E22" s="105">
        <f t="shared" si="0"/>
        <v>5.1611275699365462E-5</v>
      </c>
      <c r="F22" s="173">
        <f t="shared" si="2"/>
        <v>1.2902818924841365E-5</v>
      </c>
      <c r="G22" s="105">
        <f>'Output - Jobs vs Yr (BAU)'!X14/'Output - Jobs vs Yr (BAU)'!X24</f>
        <v>2.7361431899290416E-6</v>
      </c>
      <c r="H22" s="105">
        <f t="shared" si="1"/>
        <v>5.109336559553855E-5</v>
      </c>
      <c r="I22" s="173">
        <f t="shared" si="3"/>
        <v>1.5483382709809638E-5</v>
      </c>
      <c r="J22" s="105">
        <f>'Output - Jobs vs Yr (BAU)'!AH14/'Output - Jobs vs Yr (BAU)'!AH24</f>
        <v>2.7467574911695685E-6</v>
      </c>
      <c r="K22" s="105">
        <f t="shared" si="4"/>
        <v>5.0179523367326394E-5</v>
      </c>
      <c r="L22" s="105"/>
      <c r="O22" t="s">
        <v>0</v>
      </c>
    </row>
    <row r="23" spans="2:17" ht="15" thickBot="1">
      <c r="B23" t="s">
        <v>357</v>
      </c>
      <c r="C23" s="195">
        <f t="shared" si="5"/>
        <v>8.4841927973143029E-3</v>
      </c>
      <c r="D23" s="127">
        <f>'Output - Jobs vs Yr (BAU)'!N16/'Output -Jobs vs Yr'!$N$14</f>
        <v>2.9826601695663361E-3</v>
      </c>
      <c r="E23" s="105">
        <f t="shared" si="0"/>
        <v>6.0601377123673583E-2</v>
      </c>
      <c r="F23" s="173">
        <f t="shared" si="2"/>
        <v>1.5150344280918396E-2</v>
      </c>
      <c r="G23" s="105">
        <f>'Output - Jobs vs Yr (BAU)'!X16/'Output - Jobs vs Yr (BAU)'!X24</f>
        <v>3.3775040291686249E-3</v>
      </c>
      <c r="H23" s="105">
        <f t="shared" si="1"/>
        <v>6.3069816228145711E-2</v>
      </c>
      <c r="I23" s="173">
        <f t="shared" si="3"/>
        <v>1.8180413137102076E-2</v>
      </c>
      <c r="J23" s="105">
        <f>'Output - Jobs vs Yr (BAU)'!AH16/'Output - Jobs vs Yr (BAU)'!AH24</f>
        <v>4.0077705121395E-3</v>
      </c>
      <c r="K23" s="105">
        <f t="shared" si="4"/>
        <v>7.3216516096276843E-2</v>
      </c>
      <c r="L23" s="105"/>
      <c r="M23" s="44"/>
      <c r="N23" s="197"/>
      <c r="O23" t="s">
        <v>0</v>
      </c>
    </row>
    <row r="24" spans="2:17">
      <c r="B24" s="108" t="s">
        <v>369</v>
      </c>
      <c r="C24" s="138">
        <f t="shared" ref="C24:H24" si="6">SUM(C17:C23)</f>
        <v>0.14000000000000001</v>
      </c>
      <c r="D24" s="205">
        <f t="shared" si="6"/>
        <v>4.9217696216364973E-2</v>
      </c>
      <c r="E24" s="200">
        <f t="shared" si="6"/>
        <v>1</v>
      </c>
      <c r="F24" s="200">
        <f t="shared" si="6"/>
        <v>0.25</v>
      </c>
      <c r="G24" s="200">
        <f t="shared" si="6"/>
        <v>5.3551829245086183E-2</v>
      </c>
      <c r="H24" s="105">
        <f t="shared" si="6"/>
        <v>0.99999999999999989</v>
      </c>
      <c r="I24" s="173">
        <f t="shared" si="3"/>
        <v>0.3</v>
      </c>
      <c r="J24" s="105">
        <f>SUM(J17:J23)</f>
        <v>5.4738612622177205E-2</v>
      </c>
      <c r="K24" s="105">
        <f t="shared" si="4"/>
        <v>1</v>
      </c>
      <c r="L24" s="105"/>
      <c r="M24" s="44"/>
      <c r="N24" s="44"/>
      <c r="O24" t="s">
        <v>0</v>
      </c>
    </row>
    <row r="25" spans="2:17">
      <c r="B25" s="108"/>
      <c r="C25" s="138" t="str">
        <f>IF(ROUND(C24,3)=ROUND(C11,3),"Great, "&amp;ROUND(C24,3)*100&amp;"% agrees with 2020 RPS % entered above","Please re-adust RPS portfolio to total "&amp;ROUND(C11,3)*100&amp;"% or change 2020 RPS % entered above")</f>
        <v>Great, 14%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372</v>
      </c>
      <c r="C27" s="107"/>
      <c r="D27" s="200" t="s">
        <v>342</v>
      </c>
      <c r="E27" s="107"/>
      <c r="F27" s="98"/>
      <c r="G27" s="135" t="s">
        <v>0</v>
      </c>
      <c r="H27" s="136" t="s">
        <v>0</v>
      </c>
      <c r="I27" s="136"/>
      <c r="J27" s="136"/>
      <c r="K27" s="136"/>
      <c r="L27" s="136"/>
      <c r="M27"/>
    </row>
    <row r="28" spans="2:17" ht="15" thickBot="1">
      <c r="B28" t="s">
        <v>370</v>
      </c>
      <c r="C28" s="208">
        <f>D28</f>
        <v>0.14910409237584915</v>
      </c>
      <c r="D28" s="105">
        <f>('Output - Jobs vs Yr (BAU)'!N8+'Output - Jobs vs Yr (BAU)'!N7)/'Output -Jobs vs Yr'!N14</f>
        <v>0.14910409237584915</v>
      </c>
      <c r="E28" s="137" t="s">
        <v>0</v>
      </c>
      <c r="F28" s="98"/>
      <c r="G28" s="98" t="s">
        <v>0</v>
      </c>
      <c r="H28" s="136" t="s">
        <v>0</v>
      </c>
      <c r="I28" s="136"/>
      <c r="J28" s="136"/>
      <c r="K28" s="136"/>
      <c r="L28" s="136"/>
      <c r="M28"/>
    </row>
    <row r="29" spans="2:17" ht="15" thickBot="1">
      <c r="B29" t="s">
        <v>371</v>
      </c>
      <c r="C29" s="278">
        <f>D29</f>
        <v>0.15777692019923606</v>
      </c>
      <c r="D29" s="105">
        <f>('Output - Jobs vs Yr (BAU)'!X8+'Output - Jobs vs Yr (BAU)'!X7)/'Output -Jobs vs Yr'!X14</f>
        <v>0.15777692019923606</v>
      </c>
      <c r="E29" s="107"/>
      <c r="F29" s="98"/>
      <c r="G29" s="96"/>
      <c r="H29"/>
      <c r="I29"/>
      <c r="J29"/>
      <c r="K29"/>
      <c r="L29"/>
    </row>
    <row r="30" spans="2:17" ht="15" thickBot="1">
      <c r="B30" t="s">
        <v>579</v>
      </c>
      <c r="C30" s="210">
        <f>D30</f>
        <v>0.15698368577351929</v>
      </c>
      <c r="D30" s="105">
        <f>('Output - Jobs vs Yr (BAU)'!AH8+'Output - Jobs vs Yr (BAU)'!AH7)/'Output -Jobs vs Yr'!AH14</f>
        <v>0.15698368577351929</v>
      </c>
      <c r="E30" s="107"/>
      <c r="F30" s="98"/>
      <c r="G30" s="96"/>
      <c r="H30"/>
      <c r="I30"/>
      <c r="J30"/>
      <c r="K30"/>
      <c r="L30"/>
    </row>
    <row r="31" spans="2:17">
      <c r="B31" t="s">
        <v>580</v>
      </c>
      <c r="C31" s="246"/>
      <c r="D31" s="105"/>
      <c r="E31" s="107"/>
      <c r="F31" s="98"/>
      <c r="G31" s="96"/>
      <c r="H31"/>
      <c r="I31"/>
      <c r="J31"/>
      <c r="K31"/>
      <c r="L31"/>
    </row>
    <row r="32" spans="2:17">
      <c r="B32" s="108"/>
      <c r="C32" s="107" t="s">
        <v>0</v>
      </c>
      <c r="D32" s="107"/>
      <c r="E32" s="107"/>
      <c r="F32" s="98"/>
      <c r="G32" s="96"/>
      <c r="H32"/>
      <c r="I32"/>
      <c r="J32"/>
      <c r="K32"/>
      <c r="L32"/>
    </row>
    <row r="33" spans="1:18" ht="15" thickBot="1">
      <c r="B33" s="108" t="s">
        <v>373</v>
      </c>
      <c r="C33" s="107"/>
      <c r="D33" s="200" t="s">
        <v>342</v>
      </c>
      <c r="E33" s="200" t="s">
        <v>536</v>
      </c>
      <c r="F33" s="201" t="s">
        <v>358</v>
      </c>
      <c r="G33" s="202" t="s">
        <v>342</v>
      </c>
      <c r="H33" s="201" t="s">
        <v>706</v>
      </c>
      <c r="I33" s="202" t="s">
        <v>342</v>
      </c>
      <c r="J33" s="164"/>
      <c r="K33" s="164"/>
      <c r="L33" s="164"/>
      <c r="M33" s="7" t="s">
        <v>0</v>
      </c>
    </row>
    <row r="34" spans="1:18" ht="15" thickBot="1">
      <c r="B34" s="4" t="s">
        <v>366</v>
      </c>
      <c r="C34" s="209">
        <f>D34</f>
        <v>0</v>
      </c>
      <c r="D34" s="105">
        <v>0</v>
      </c>
      <c r="E34" s="203">
        <f>'Output -Jobs vs Yr'!N30/'Output -Jobs vs Yr'!N49</f>
        <v>0</v>
      </c>
      <c r="F34" s="200">
        <f>C34*$C$29/$C$28</f>
        <v>0</v>
      </c>
      <c r="G34" s="204">
        <v>0</v>
      </c>
      <c r="H34" s="200">
        <f>F34*$C$30/$C$29</f>
        <v>0</v>
      </c>
      <c r="I34" s="204">
        <v>0</v>
      </c>
      <c r="J34" s="139"/>
      <c r="K34" s="139"/>
      <c r="L34" s="139"/>
    </row>
    <row r="35" spans="1:18" ht="15" thickBot="1">
      <c r="B35" s="4" t="s">
        <v>49</v>
      </c>
      <c r="C35" s="209">
        <f>D35</f>
        <v>2.5524582500919192E-2</v>
      </c>
      <c r="D35" s="105">
        <f>'Output - Jobs vs Yr (BAU)'!N7/'Output -Jobs vs Yr'!N14</f>
        <v>2.5524582500919192E-2</v>
      </c>
      <c r="E35" s="203">
        <f>C35</f>
        <v>2.5524582500919192E-2</v>
      </c>
      <c r="F35" s="200">
        <f>C35*$C$29/$C$28</f>
        <v>2.7009252074818579E-2</v>
      </c>
      <c r="G35" s="204">
        <f>'Output - Jobs vs Yr (BAU)'!X7/'Output - Jobs vs Yr (BAU)'!X24</f>
        <v>2.925748354124966E-2</v>
      </c>
      <c r="H35" s="200">
        <f>F35*$C$30/$C$29</f>
        <v>2.6873461183910367E-2</v>
      </c>
      <c r="I35" s="204">
        <f>'Output - Jobs vs Yr (BAU)'!AH7/'Output - Jobs vs Yr (BAU)'!AH24</f>
        <v>2.9517343466730184E-2</v>
      </c>
      <c r="J35"/>
      <c r="K35"/>
      <c r="L35"/>
    </row>
    <row r="36" spans="1:18" ht="15" thickBot="1">
      <c r="B36" s="4" t="s">
        <v>364</v>
      </c>
      <c r="C36" s="209">
        <f>D36</f>
        <v>0.12357950987492995</v>
      </c>
      <c r="D36" s="105">
        <f>'Output - Jobs vs Yr (BAU)'!N8/'Output -Jobs vs Yr'!N14</f>
        <v>0.12357950987492995</v>
      </c>
      <c r="E36" s="203">
        <f>C36</f>
        <v>0.12357950987492995</v>
      </c>
      <c r="F36" s="200">
        <f>C36*$C$29/$C$28</f>
        <v>0.13076766812441748</v>
      </c>
      <c r="G36" s="204">
        <f>'Output - Jobs vs Yr (BAU)'!X8/'Output - Jobs vs Yr (BAU)'!X24</f>
        <v>0.13311267612892266</v>
      </c>
      <c r="H36" s="200">
        <f>F36*$C$30/$C$29</f>
        <v>0.13011022458960891</v>
      </c>
      <c r="I36" s="204">
        <f>'Output - Jobs vs Yr (BAU)'!AH8/'Output - Jobs vs Yr (BAU)'!AH24</f>
        <v>0.13362905920732498</v>
      </c>
      <c r="J36"/>
      <c r="K36"/>
      <c r="L36"/>
    </row>
    <row r="37" spans="1:18">
      <c r="B37" s="4" t="s">
        <v>368</v>
      </c>
      <c r="C37" s="139">
        <f>SUM(C35:C36)+'Output -Jobs vs Yr'!N30/'Output -Jobs vs Yr'!N49</f>
        <v>0.14910409237584915</v>
      </c>
      <c r="D37" s="105">
        <f>SUM(D34:D36)</f>
        <v>0.14910409237584915</v>
      </c>
      <c r="E37" s="203">
        <f>SUM(E34:E36)</f>
        <v>0.14910409237584915</v>
      </c>
      <c r="F37" s="203">
        <f>SUM(F34:F36)</f>
        <v>0.15777692019923606</v>
      </c>
      <c r="G37" s="203">
        <f>SUM(G34:G36)</f>
        <v>0.16237015967017232</v>
      </c>
      <c r="H37" s="200">
        <f>C37*$C$30/$C$28</f>
        <v>0.15698368577351929</v>
      </c>
      <c r="I37" s="203">
        <f>SUM(I34:I36)</f>
        <v>0.16314640267405517</v>
      </c>
      <c r="J37" s="139"/>
      <c r="K37" s="139"/>
      <c r="L37" s="139"/>
    </row>
    <row r="38" spans="1:18">
      <c r="B38" s="4"/>
      <c r="C38" s="138" t="str">
        <f>IF(ROUND(C37,3)=ROUND(C28,3), "Great, " &amp; ROUND(C37,3)*100 &amp; "% agrees with 2020 Low Carbon % entered above", "Please re-adust Low Carbon portfolio to " &amp; ROUND(C28,3)*100 &amp; "% or change 2020 Low Carbon % above" )</f>
        <v>Great, 14,9%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375</v>
      </c>
      <c r="C40" s="105">
        <f>C24</f>
        <v>0.14000000000000001</v>
      </c>
      <c r="D40" s="105" t="s">
        <v>0</v>
      </c>
      <c r="E40" s="105" t="s">
        <v>0</v>
      </c>
      <c r="F40" s="105" t="s">
        <v>0</v>
      </c>
      <c r="G40" s="103" t="s">
        <v>0</v>
      </c>
      <c r="H40"/>
      <c r="I40"/>
      <c r="J40"/>
      <c r="K40"/>
      <c r="L40"/>
    </row>
    <row r="41" spans="1:18">
      <c r="B41" s="4" t="s">
        <v>374</v>
      </c>
      <c r="C41" s="105">
        <f>C24+C37</f>
        <v>0.28910409237584916</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522</v>
      </c>
      <c r="F44" s="28"/>
      <c r="G44" s="1"/>
      <c r="H44" s="49">
        <v>9</v>
      </c>
      <c r="I44" s="277"/>
      <c r="J44" s="277"/>
      <c r="K44" s="277"/>
      <c r="L44"/>
      <c r="M44" s="12">
        <f t="shared" ref="M44:M61" si="7">C44+H44*C44</f>
        <v>0.37999999999999995</v>
      </c>
      <c r="N44" s="28" t="s">
        <v>522</v>
      </c>
    </row>
    <row r="45" spans="1:18" ht="15.75" hidden="1" customHeight="1" thickBot="1">
      <c r="B45" s="4" t="s">
        <v>210</v>
      </c>
      <c r="C45" s="41" t="e">
        <f>0.1*#REF!</f>
        <v>#REF!</v>
      </c>
      <c r="D45" s="4"/>
      <c r="E45" s="28" t="s">
        <v>206</v>
      </c>
      <c r="F45" s="28"/>
      <c r="G45" s="110"/>
      <c r="H45" s="49">
        <v>9</v>
      </c>
      <c r="I45" s="277"/>
      <c r="J45" s="277"/>
      <c r="K45" s="277"/>
      <c r="L45"/>
      <c r="M45" s="12" t="e">
        <f t="shared" si="7"/>
        <v>#REF!</v>
      </c>
      <c r="N45" s="28" t="s">
        <v>522</v>
      </c>
    </row>
    <row r="46" spans="1:18" s="1" customFormat="1" ht="15" thickBot="1">
      <c r="A46"/>
      <c r="B46" s="4" t="s">
        <v>121</v>
      </c>
      <c r="C46" s="84">
        <v>0.21</v>
      </c>
      <c r="D46" s="4" t="s">
        <v>0</v>
      </c>
      <c r="E46" s="28" t="s">
        <v>523</v>
      </c>
      <c r="F46" s="28"/>
      <c r="H46" s="49">
        <v>0.9</v>
      </c>
      <c r="I46" s="277"/>
      <c r="J46" s="277"/>
      <c r="K46" s="277"/>
      <c r="L46"/>
      <c r="M46" s="12">
        <f t="shared" si="7"/>
        <v>0.39900000000000002</v>
      </c>
      <c r="N46" s="28" t="s">
        <v>523</v>
      </c>
      <c r="O46"/>
      <c r="P46"/>
      <c r="Q46"/>
      <c r="R46"/>
    </row>
    <row r="47" spans="1:18" s="1" customFormat="1" ht="15" thickBot="1">
      <c r="A47"/>
      <c r="B47" s="4" t="s">
        <v>118</v>
      </c>
      <c r="C47" s="42">
        <v>0.18</v>
      </c>
      <c r="D47" s="4"/>
      <c r="E47" s="28" t="s">
        <v>523</v>
      </c>
      <c r="F47" s="28"/>
      <c r="H47" s="49">
        <v>0.9</v>
      </c>
      <c r="I47" s="277"/>
      <c r="J47" s="277"/>
      <c r="K47" s="277"/>
      <c r="L47"/>
      <c r="M47" s="12">
        <f t="shared" si="7"/>
        <v>0.34199999999999997</v>
      </c>
      <c r="N47" s="28" t="s">
        <v>523</v>
      </c>
      <c r="O47"/>
      <c r="P47"/>
      <c r="Q47"/>
    </row>
    <row r="48" spans="1:18" ht="15" thickBot="1">
      <c r="B48" s="4" t="s">
        <v>49</v>
      </c>
      <c r="C48" s="42">
        <v>0.15</v>
      </c>
      <c r="D48" s="4"/>
      <c r="E48" s="28" t="s">
        <v>523</v>
      </c>
      <c r="F48" s="28"/>
      <c r="G48" s="1"/>
      <c r="H48" s="49">
        <v>0.9</v>
      </c>
      <c r="I48" s="277"/>
      <c r="J48" s="277"/>
      <c r="K48" s="277"/>
      <c r="L48"/>
      <c r="M48" s="12">
        <f t="shared" si="7"/>
        <v>0.28500000000000003</v>
      </c>
      <c r="N48" s="28" t="s">
        <v>523</v>
      </c>
    </row>
    <row r="49" spans="1:17" s="1" customFormat="1" ht="15" thickBot="1">
      <c r="A49"/>
      <c r="B49" s="4" t="s">
        <v>50</v>
      </c>
      <c r="C49" s="42">
        <v>0.25</v>
      </c>
      <c r="D49" s="4" t="s">
        <v>0</v>
      </c>
      <c r="E49" s="28" t="s">
        <v>523</v>
      </c>
      <c r="F49" s="28"/>
      <c r="H49" s="49">
        <v>0.9</v>
      </c>
      <c r="I49" s="277"/>
      <c r="J49" s="277"/>
      <c r="K49" s="277"/>
      <c r="L49"/>
      <c r="M49" s="12">
        <f t="shared" si="7"/>
        <v>0.47499999999999998</v>
      </c>
      <c r="N49" s="28" t="s">
        <v>523</v>
      </c>
      <c r="O49" t="s">
        <v>0</v>
      </c>
      <c r="P49"/>
      <c r="Q49"/>
    </row>
    <row r="50" spans="1:17" s="1" customFormat="1" ht="15.75" hidden="1" customHeight="1" thickBot="1">
      <c r="A50"/>
      <c r="B50" s="4" t="s">
        <v>119</v>
      </c>
      <c r="C50" s="42">
        <v>0.11</v>
      </c>
      <c r="D50" s="4"/>
      <c r="E50" s="28" t="s">
        <v>523</v>
      </c>
      <c r="F50" s="28"/>
      <c r="G50" s="110"/>
      <c r="H50" s="49">
        <v>0.8</v>
      </c>
      <c r="I50" s="277"/>
      <c r="J50" s="277"/>
      <c r="K50" s="277"/>
      <c r="L50"/>
      <c r="M50" s="12">
        <f t="shared" si="7"/>
        <v>0.19800000000000001</v>
      </c>
      <c r="N50" s="28" t="s">
        <v>523</v>
      </c>
      <c r="O50" t="s">
        <v>0</v>
      </c>
      <c r="P50"/>
      <c r="Q50"/>
    </row>
    <row r="51" spans="1:17" s="1" customFormat="1" ht="15" thickBot="1">
      <c r="A51"/>
      <c r="B51" s="4" t="s">
        <v>343</v>
      </c>
      <c r="C51" s="42">
        <v>0.27</v>
      </c>
      <c r="D51" s="4"/>
      <c r="E51" s="28" t="s">
        <v>523</v>
      </c>
      <c r="F51" s="28"/>
      <c r="G51" s="110"/>
      <c r="H51" s="49">
        <v>0.9</v>
      </c>
      <c r="I51" s="277"/>
      <c r="J51" s="277"/>
      <c r="K51" s="277"/>
      <c r="L51"/>
      <c r="M51" s="12">
        <f t="shared" si="7"/>
        <v>0.51300000000000001</v>
      </c>
      <c r="N51" s="28" t="s">
        <v>523</v>
      </c>
      <c r="O51" t="s">
        <v>0</v>
      </c>
      <c r="P51"/>
      <c r="Q51"/>
    </row>
    <row r="52" spans="1:17" s="1" customFormat="1" ht="15" thickBot="1">
      <c r="A52"/>
      <c r="B52" s="4" t="s">
        <v>51</v>
      </c>
      <c r="C52" s="42">
        <v>0.15</v>
      </c>
      <c r="D52" s="4"/>
      <c r="E52" s="28" t="s">
        <v>523</v>
      </c>
      <c r="F52" s="28"/>
      <c r="G52" s="110"/>
      <c r="H52" s="49">
        <v>0.9</v>
      </c>
      <c r="I52" s="277"/>
      <c r="J52" s="277"/>
      <c r="K52" s="277"/>
      <c r="L52"/>
      <c r="M52" s="12">
        <f t="shared" si="7"/>
        <v>0.28500000000000003</v>
      </c>
      <c r="N52" s="28" t="s">
        <v>523</v>
      </c>
      <c r="O52" t="s">
        <v>0</v>
      </c>
      <c r="P52"/>
      <c r="Q52"/>
    </row>
    <row r="53" spans="1:17" ht="15" thickBot="1">
      <c r="B53" s="4" t="s">
        <v>59</v>
      </c>
      <c r="C53" s="42">
        <v>0.14000000000000001</v>
      </c>
      <c r="D53" s="4"/>
      <c r="E53" s="28" t="s">
        <v>523</v>
      </c>
      <c r="F53" s="28"/>
      <c r="G53" s="110"/>
      <c r="H53" s="49">
        <v>0.9</v>
      </c>
      <c r="I53" s="277"/>
      <c r="J53" s="277"/>
      <c r="K53" s="277"/>
      <c r="L53"/>
      <c r="M53" s="162">
        <f t="shared" si="7"/>
        <v>0.26600000000000001</v>
      </c>
      <c r="N53" s="28" t="s">
        <v>523</v>
      </c>
    </row>
    <row r="54" spans="1:17" ht="15" thickBot="1">
      <c r="B54" s="4" t="s">
        <v>347</v>
      </c>
      <c r="C54" s="84">
        <v>0.79</v>
      </c>
      <c r="D54" s="4" t="s">
        <v>0</v>
      </c>
      <c r="E54" s="28" t="s">
        <v>523</v>
      </c>
      <c r="F54" s="28"/>
      <c r="G54" s="110"/>
      <c r="H54" s="49">
        <v>0.9</v>
      </c>
      <c r="I54" s="277"/>
      <c r="J54" s="277"/>
      <c r="K54" s="277"/>
      <c r="L54"/>
      <c r="M54" s="12">
        <f t="shared" si="7"/>
        <v>1.5010000000000001</v>
      </c>
      <c r="N54" s="28" t="s">
        <v>523</v>
      </c>
    </row>
    <row r="55" spans="1:17" ht="15" thickBot="1">
      <c r="B55" s="4" t="s">
        <v>348</v>
      </c>
      <c r="C55" s="84">
        <v>0.23</v>
      </c>
      <c r="D55" s="4"/>
      <c r="E55" s="28" t="s">
        <v>523</v>
      </c>
      <c r="F55" s="28"/>
      <c r="G55" s="110"/>
      <c r="H55" s="49">
        <v>0.9</v>
      </c>
      <c r="I55" s="277"/>
      <c r="J55" s="277"/>
      <c r="K55" s="277"/>
      <c r="L55"/>
      <c r="M55" s="12">
        <f t="shared" si="7"/>
        <v>0.43700000000000006</v>
      </c>
      <c r="N55" s="28" t="s">
        <v>523</v>
      </c>
    </row>
    <row r="56" spans="1:17" ht="15.75" hidden="1" customHeight="1" thickBot="1">
      <c r="B56" s="4" t="s">
        <v>120</v>
      </c>
      <c r="C56" s="42">
        <v>0.11</v>
      </c>
      <c r="D56" s="4"/>
      <c r="E56" s="28" t="s">
        <v>523</v>
      </c>
      <c r="F56" s="28"/>
      <c r="G56" s="110"/>
      <c r="H56" s="49">
        <v>0.8</v>
      </c>
      <c r="I56" s="277"/>
      <c r="J56" s="277"/>
      <c r="K56" s="277"/>
      <c r="L56"/>
      <c r="M56" s="12">
        <f t="shared" si="7"/>
        <v>0.19800000000000001</v>
      </c>
      <c r="N56" s="28"/>
    </row>
    <row r="57" spans="1:17" ht="15" thickBot="1">
      <c r="B57" s="4" t="s">
        <v>53</v>
      </c>
      <c r="C57" s="84">
        <v>0.17</v>
      </c>
      <c r="D57" s="4" t="s">
        <v>0</v>
      </c>
      <c r="E57" s="28" t="s">
        <v>523</v>
      </c>
      <c r="F57" s="28"/>
      <c r="G57" s="110"/>
      <c r="H57" s="49">
        <v>0.9</v>
      </c>
      <c r="I57" s="277"/>
      <c r="J57" s="277"/>
      <c r="K57" s="277"/>
      <c r="L57"/>
      <c r="M57" s="12">
        <f t="shared" si="7"/>
        <v>0.32300000000000006</v>
      </c>
      <c r="N57" s="28" t="s">
        <v>523</v>
      </c>
    </row>
    <row r="58" spans="1:17" ht="15.75" hidden="1" customHeight="1" thickBot="1">
      <c r="B58" s="4" t="s">
        <v>191</v>
      </c>
      <c r="C58" s="41" t="e">
        <f xml:space="preserve"> 0.693 *#REF!</f>
        <v>#REF!</v>
      </c>
      <c r="D58" s="4"/>
      <c r="E58" s="28" t="s">
        <v>206</v>
      </c>
      <c r="F58" s="28"/>
      <c r="G58" s="110"/>
      <c r="H58" s="49">
        <v>0.8</v>
      </c>
      <c r="I58" s="277"/>
      <c r="J58" s="277"/>
      <c r="K58" s="277"/>
      <c r="L58"/>
      <c r="M58" s="12" t="e">
        <f t="shared" si="7"/>
        <v>#REF!</v>
      </c>
      <c r="N58" s="28" t="s">
        <v>523</v>
      </c>
    </row>
    <row r="59" spans="1:17" ht="15.75" hidden="1" customHeight="1" thickBot="1">
      <c r="B59" s="4" t="s">
        <v>246</v>
      </c>
      <c r="C59" s="49" t="e">
        <f xml:space="preserve"> (1/6) *#REF!</f>
        <v>#REF!</v>
      </c>
      <c r="D59" s="4"/>
      <c r="E59" s="28" t="s">
        <v>247</v>
      </c>
      <c r="F59" s="28"/>
      <c r="G59" s="110"/>
      <c r="H59" s="49">
        <v>0.8</v>
      </c>
      <c r="I59" s="277"/>
      <c r="J59" s="277"/>
      <c r="K59" s="277"/>
      <c r="L59"/>
      <c r="M59" s="12" t="e">
        <f t="shared" si="7"/>
        <v>#REF!</v>
      </c>
      <c r="N59" s="28" t="s">
        <v>206</v>
      </c>
    </row>
    <row r="60" spans="1:17" ht="15" thickBot="1">
      <c r="B60" s="4" t="s">
        <v>68</v>
      </c>
      <c r="C60" s="42">
        <v>0.11</v>
      </c>
      <c r="D60" s="4"/>
      <c r="E60" s="28" t="s">
        <v>523</v>
      </c>
      <c r="F60" s="28"/>
      <c r="G60" s="110"/>
      <c r="H60" s="49">
        <v>0.9</v>
      </c>
      <c r="I60" s="277"/>
      <c r="J60" s="277"/>
      <c r="K60" s="277"/>
      <c r="L60"/>
      <c r="M60" s="162">
        <f t="shared" si="7"/>
        <v>0.20900000000000002</v>
      </c>
      <c r="N60" s="28" t="s">
        <v>523</v>
      </c>
    </row>
    <row r="61" spans="1:17" ht="15" thickBot="1">
      <c r="B61" s="4" t="s">
        <v>76</v>
      </c>
      <c r="C61" s="42">
        <v>0.11</v>
      </c>
      <c r="D61" s="4"/>
      <c r="E61" s="28" t="s">
        <v>523</v>
      </c>
      <c r="F61" s="28"/>
      <c r="G61" s="110"/>
      <c r="H61" s="49">
        <v>0.9</v>
      </c>
      <c r="I61" s="277"/>
      <c r="J61" s="277"/>
      <c r="K61" s="277"/>
      <c r="L61"/>
      <c r="M61" s="12">
        <f t="shared" si="7"/>
        <v>0.20900000000000002</v>
      </c>
      <c r="N61" s="28" t="s">
        <v>523</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4"/>
    <col min="6" max="6" width="12.5" style="345"/>
    <col min="7" max="37" width="12.5" style="299"/>
    <col min="38" max="16384" width="12.5" style="5"/>
  </cols>
  <sheetData>
    <row r="1" spans="1:37">
      <c r="A1" s="272" t="s">
        <v>704</v>
      </c>
    </row>
    <row r="2" spans="1:37">
      <c r="A2" s="272" t="s">
        <v>656</v>
      </c>
    </row>
    <row r="3" spans="1:37">
      <c r="A3" s="272" t="s">
        <v>657</v>
      </c>
    </row>
    <row r="5" spans="1:37">
      <c r="A5" s="6" t="s">
        <v>185</v>
      </c>
    </row>
    <row r="6" spans="1:37">
      <c r="A6" s="6" t="s">
        <v>184</v>
      </c>
    </row>
    <row r="9" spans="1:37">
      <c r="AK9" s="300" t="s">
        <v>714</v>
      </c>
    </row>
    <row r="10" spans="1:37">
      <c r="B10" s="346" t="s">
        <v>7</v>
      </c>
      <c r="C10" s="346" t="s">
        <v>8</v>
      </c>
      <c r="D10" s="346" t="s">
        <v>9</v>
      </c>
      <c r="E10" s="346" t="s">
        <v>10</v>
      </c>
      <c r="F10" s="347" t="s">
        <v>11</v>
      </c>
      <c r="G10" s="300" t="s">
        <v>12</v>
      </c>
      <c r="H10" s="300" t="s">
        <v>13</v>
      </c>
      <c r="I10" s="300" t="s">
        <v>14</v>
      </c>
      <c r="J10" s="300" t="s">
        <v>15</v>
      </c>
      <c r="K10" s="300" t="s">
        <v>16</v>
      </c>
      <c r="L10" s="300" t="s">
        <v>17</v>
      </c>
      <c r="M10" s="300" t="s">
        <v>18</v>
      </c>
      <c r="N10" s="300" t="s">
        <v>19</v>
      </c>
      <c r="O10" s="300" t="s">
        <v>20</v>
      </c>
      <c r="P10" s="300" t="s">
        <v>21</v>
      </c>
      <c r="Q10" s="300" t="s">
        <v>22</v>
      </c>
      <c r="R10" s="300" t="s">
        <v>23</v>
      </c>
      <c r="S10" s="300" t="s">
        <v>24</v>
      </c>
      <c r="T10" s="300" t="s">
        <v>25</v>
      </c>
      <c r="U10" s="300" t="s">
        <v>26</v>
      </c>
      <c r="V10" s="300" t="s">
        <v>27</v>
      </c>
      <c r="W10" s="300" t="s">
        <v>28</v>
      </c>
      <c r="X10" s="300" t="s">
        <v>29</v>
      </c>
      <c r="Y10" s="300" t="s">
        <v>30</v>
      </c>
      <c r="Z10" s="300" t="s">
        <v>31</v>
      </c>
      <c r="AA10" s="300" t="s">
        <v>581</v>
      </c>
      <c r="AB10" s="300" t="s">
        <v>582</v>
      </c>
      <c r="AC10" s="300" t="s">
        <v>583</v>
      </c>
      <c r="AD10" s="300" t="s">
        <v>584</v>
      </c>
      <c r="AE10" s="300" t="s">
        <v>585</v>
      </c>
      <c r="AF10" s="300" t="s">
        <v>586</v>
      </c>
      <c r="AG10" s="300" t="s">
        <v>587</v>
      </c>
      <c r="AH10" s="300" t="s">
        <v>588</v>
      </c>
      <c r="AI10" s="300" t="s">
        <v>589</v>
      </c>
      <c r="AJ10" s="300" t="s">
        <v>590</v>
      </c>
      <c r="AK10" s="300">
        <v>2040</v>
      </c>
    </row>
    <row r="13" spans="1:37">
      <c r="A13" s="6" t="s">
        <v>183</v>
      </c>
    </row>
    <row r="14" spans="1:37">
      <c r="A14" s="6" t="s">
        <v>182</v>
      </c>
      <c r="B14" s="348">
        <v>5.1020002365112296</v>
      </c>
      <c r="C14" s="348">
        <v>5.0669999122619602</v>
      </c>
      <c r="D14" s="348">
        <v>4.9539995193481401</v>
      </c>
      <c r="E14" s="348">
        <v>5.3799490928649902</v>
      </c>
      <c r="F14" s="349">
        <v>5.6095256805419904</v>
      </c>
      <c r="G14" s="293">
        <v>5.6580000000000004</v>
      </c>
      <c r="H14" s="293">
        <v>6.4939989999999996</v>
      </c>
      <c r="I14" s="293">
        <v>7.7220000000000004</v>
      </c>
      <c r="J14" s="293">
        <v>8.5288000000000004</v>
      </c>
      <c r="K14" s="293">
        <v>9.0378019999999992</v>
      </c>
      <c r="L14" s="293">
        <v>9.5417810000000003</v>
      </c>
      <c r="M14" s="293">
        <v>9.5568039999999996</v>
      </c>
      <c r="N14" s="293">
        <v>9.5754859999999997</v>
      </c>
      <c r="O14" s="293">
        <v>9.6082459999999994</v>
      </c>
      <c r="P14" s="293">
        <v>9.5525409999999997</v>
      </c>
      <c r="Q14" s="293">
        <v>9.4165030000000005</v>
      </c>
      <c r="R14" s="293">
        <v>9.2888249999999992</v>
      </c>
      <c r="S14" s="293">
        <v>9.1907350000000001</v>
      </c>
      <c r="T14" s="293">
        <v>9.0728480000000005</v>
      </c>
      <c r="U14" s="293">
        <v>9.0041829999999994</v>
      </c>
      <c r="V14" s="293">
        <v>8.8329439999999995</v>
      </c>
      <c r="W14" s="293">
        <v>8.6696600000000004</v>
      </c>
      <c r="X14" s="293">
        <v>8.5159219999999998</v>
      </c>
      <c r="Y14" s="293">
        <v>8.3804160000000003</v>
      </c>
      <c r="Z14" s="293">
        <v>8.3047140000000006</v>
      </c>
      <c r="AA14" s="293">
        <v>8.1595440000000004</v>
      </c>
      <c r="AB14" s="293">
        <v>8.0727349999999998</v>
      </c>
      <c r="AC14" s="293">
        <v>8.0446790000000004</v>
      </c>
      <c r="AD14" s="293">
        <v>7.984591</v>
      </c>
      <c r="AE14" s="293">
        <v>7.8722690000000002</v>
      </c>
      <c r="AF14" s="293">
        <v>7.7546290000000004</v>
      </c>
      <c r="AG14" s="293">
        <v>7.6994870000000004</v>
      </c>
      <c r="AH14" s="293">
        <v>7.5588430000000004</v>
      </c>
      <c r="AI14" s="293">
        <v>7.5302829999999998</v>
      </c>
      <c r="AJ14" s="293">
        <v>7.4801669999999998</v>
      </c>
      <c r="AK14" s="294">
        <v>5.0000000000000001E-3</v>
      </c>
    </row>
    <row r="15" spans="1:37">
      <c r="A15" s="6" t="s">
        <v>181</v>
      </c>
      <c r="B15" s="348">
        <v>0.74099999666214</v>
      </c>
      <c r="C15" s="348">
        <v>0.71899998188018799</v>
      </c>
      <c r="D15" s="348">
        <v>0.68000000715255704</v>
      </c>
      <c r="E15" s="348">
        <v>0.73478877544403098</v>
      </c>
      <c r="F15" s="349">
        <v>0.68565064668655396</v>
      </c>
      <c r="G15" s="293">
        <v>0.57199999999999995</v>
      </c>
      <c r="H15" s="293">
        <v>0.53</v>
      </c>
      <c r="I15" s="293">
        <v>0.51</v>
      </c>
      <c r="J15" s="293">
        <v>0.4738</v>
      </c>
      <c r="K15" s="293">
        <v>0.462835</v>
      </c>
      <c r="L15" s="293">
        <v>0.46215800000000001</v>
      </c>
      <c r="M15" s="293">
        <v>0.46993800000000002</v>
      </c>
      <c r="N15" s="293">
        <v>0.47195500000000001</v>
      </c>
      <c r="O15" s="293">
        <v>0.45399899999999999</v>
      </c>
      <c r="P15" s="293">
        <v>0.43714199999999998</v>
      </c>
      <c r="Q15" s="293">
        <v>0.41283700000000001</v>
      </c>
      <c r="R15" s="293">
        <v>0.388714</v>
      </c>
      <c r="S15" s="293">
        <v>0.36631000000000002</v>
      </c>
      <c r="T15" s="293">
        <v>0.34568500000000002</v>
      </c>
      <c r="U15" s="293">
        <v>0.32666899999999999</v>
      </c>
      <c r="V15" s="293">
        <v>0.30766500000000002</v>
      </c>
      <c r="W15" s="293">
        <v>0.28877399999999998</v>
      </c>
      <c r="X15" s="293">
        <v>0.27134900000000001</v>
      </c>
      <c r="Y15" s="293">
        <v>0.25525500000000001</v>
      </c>
      <c r="Z15" s="293">
        <v>0.240371</v>
      </c>
      <c r="AA15" s="293">
        <v>0.22658700000000001</v>
      </c>
      <c r="AB15" s="293">
        <v>0.273065</v>
      </c>
      <c r="AC15" s="293">
        <v>0.34021099999999999</v>
      </c>
      <c r="AD15" s="293">
        <v>0.38843800000000001</v>
      </c>
      <c r="AE15" s="293">
        <v>0.378168</v>
      </c>
      <c r="AF15" s="293">
        <v>0.36859700000000001</v>
      </c>
      <c r="AG15" s="293">
        <v>0.35966500000000001</v>
      </c>
      <c r="AH15" s="293">
        <v>0.321691</v>
      </c>
      <c r="AI15" s="293">
        <v>0.28870200000000001</v>
      </c>
      <c r="AJ15" s="293">
        <v>0.25998700000000002</v>
      </c>
      <c r="AK15" s="294">
        <v>-2.5000000000000001E-2</v>
      </c>
    </row>
    <row r="16" spans="1:37">
      <c r="A16" s="6" t="s">
        <v>180</v>
      </c>
      <c r="B16" s="348">
        <v>4.3610000610351598</v>
      </c>
      <c r="C16" s="348">
        <v>4.34800004959106</v>
      </c>
      <c r="D16" s="348">
        <v>4.2739996910095197</v>
      </c>
      <c r="E16" s="348">
        <v>4.6451601982116699</v>
      </c>
      <c r="F16" s="349">
        <v>4.9238753318786603</v>
      </c>
      <c r="G16" s="293">
        <v>5.0860000000000003</v>
      </c>
      <c r="H16" s="293">
        <v>5.9640000000000004</v>
      </c>
      <c r="I16" s="293">
        <v>7.2119999999999997</v>
      </c>
      <c r="J16" s="293">
        <v>8.0549999999999997</v>
      </c>
      <c r="K16" s="293">
        <v>8.5749659999999999</v>
      </c>
      <c r="L16" s="293">
        <v>9.0796240000000008</v>
      </c>
      <c r="M16" s="293">
        <v>9.0868660000000006</v>
      </c>
      <c r="N16" s="293">
        <v>9.1035310000000003</v>
      </c>
      <c r="O16" s="293">
        <v>9.1542469999999998</v>
      </c>
      <c r="P16" s="293">
        <v>9.1153980000000008</v>
      </c>
      <c r="Q16" s="293">
        <v>9.0036670000000001</v>
      </c>
      <c r="R16" s="293">
        <v>8.9001110000000008</v>
      </c>
      <c r="S16" s="293">
        <v>8.8244249999999997</v>
      </c>
      <c r="T16" s="293">
        <v>8.7271629999999991</v>
      </c>
      <c r="U16" s="293">
        <v>8.6775140000000004</v>
      </c>
      <c r="V16" s="293">
        <v>8.5252789999999994</v>
      </c>
      <c r="W16" s="293">
        <v>8.3808860000000003</v>
      </c>
      <c r="X16" s="293">
        <v>8.2445730000000008</v>
      </c>
      <c r="Y16" s="293">
        <v>8.1251610000000003</v>
      </c>
      <c r="Z16" s="293">
        <v>8.0643429999999992</v>
      </c>
      <c r="AA16" s="293">
        <v>7.932957</v>
      </c>
      <c r="AB16" s="293">
        <v>7.7996699999999999</v>
      </c>
      <c r="AC16" s="293">
        <v>7.7044680000000003</v>
      </c>
      <c r="AD16" s="293">
        <v>7.5961540000000003</v>
      </c>
      <c r="AE16" s="293">
        <v>7.4941009999999997</v>
      </c>
      <c r="AF16" s="293">
        <v>7.3860330000000003</v>
      </c>
      <c r="AG16" s="293">
        <v>7.3398209999999997</v>
      </c>
      <c r="AH16" s="293">
        <v>7.2371509999999999</v>
      </c>
      <c r="AI16" s="293">
        <v>7.241581</v>
      </c>
      <c r="AJ16" s="293">
        <v>7.2201810000000002</v>
      </c>
      <c r="AK16" s="294">
        <v>7.0000000000000001E-3</v>
      </c>
    </row>
    <row r="17" spans="1:38">
      <c r="A17" s="6" t="s">
        <v>179</v>
      </c>
      <c r="B17" s="348">
        <v>10.093000411987299</v>
      </c>
      <c r="C17" s="348">
        <v>10.003999710083001</v>
      </c>
      <c r="D17" s="348">
        <v>9.7010002136230504</v>
      </c>
      <c r="E17" s="348">
        <v>8.9919996261596697</v>
      </c>
      <c r="F17" s="349">
        <v>8.3191394805908203</v>
      </c>
      <c r="G17" s="293">
        <v>8.8879999999999999</v>
      </c>
      <c r="H17" s="293">
        <v>8.4319989999999994</v>
      </c>
      <c r="I17" s="293">
        <v>7.3609999999999998</v>
      </c>
      <c r="J17" s="293">
        <v>6.452</v>
      </c>
      <c r="K17" s="293">
        <v>6.1656769999999996</v>
      </c>
      <c r="L17" s="293">
        <v>5.7677230000000002</v>
      </c>
      <c r="M17" s="293">
        <v>5.8143669999999998</v>
      </c>
      <c r="N17" s="293">
        <v>5.8087150000000003</v>
      </c>
      <c r="O17" s="293">
        <v>5.7589199999999998</v>
      </c>
      <c r="P17" s="293">
        <v>5.7870730000000004</v>
      </c>
      <c r="Q17" s="293">
        <v>5.8889449999999997</v>
      </c>
      <c r="R17" s="293">
        <v>5.9421790000000003</v>
      </c>
      <c r="S17" s="293">
        <v>5.9748789999999996</v>
      </c>
      <c r="T17" s="293">
        <v>6.0359290000000003</v>
      </c>
      <c r="U17" s="293">
        <v>6.0526869999999997</v>
      </c>
      <c r="V17" s="293">
        <v>6.1879960000000001</v>
      </c>
      <c r="W17" s="293">
        <v>6.3329610000000001</v>
      </c>
      <c r="X17" s="293">
        <v>6.455387</v>
      </c>
      <c r="Y17" s="293">
        <v>6.5668860000000002</v>
      </c>
      <c r="Z17" s="293">
        <v>6.635491</v>
      </c>
      <c r="AA17" s="293">
        <v>6.7795449999999997</v>
      </c>
      <c r="AB17" s="293">
        <v>6.8623289999999999</v>
      </c>
      <c r="AC17" s="293">
        <v>6.8977040000000001</v>
      </c>
      <c r="AD17" s="293">
        <v>6.9983430000000002</v>
      </c>
      <c r="AE17" s="293">
        <v>7.1493440000000001</v>
      </c>
      <c r="AF17" s="293">
        <v>7.303795</v>
      </c>
      <c r="AG17" s="293">
        <v>7.4063970000000001</v>
      </c>
      <c r="AH17" s="293">
        <v>7.6181229999999998</v>
      </c>
      <c r="AI17" s="293">
        <v>7.6624980000000003</v>
      </c>
      <c r="AJ17" s="293">
        <v>7.742801</v>
      </c>
      <c r="AK17" s="294">
        <v>-3.0000000000000001E-3</v>
      </c>
    </row>
    <row r="18" spans="1:38">
      <c r="A18" s="6" t="s">
        <v>178</v>
      </c>
      <c r="B18" s="348">
        <v>10.118000030517599</v>
      </c>
      <c r="C18" s="348">
        <v>10.0310001373291</v>
      </c>
      <c r="D18" s="348">
        <v>9.7280006408691406</v>
      </c>
      <c r="E18" s="348">
        <v>9.0190000534057599</v>
      </c>
      <c r="F18" s="349">
        <v>8.3490304946899396</v>
      </c>
      <c r="G18" s="293">
        <v>8.9350000000000005</v>
      </c>
      <c r="H18" s="293">
        <v>8.4920000000000009</v>
      </c>
      <c r="I18" s="293">
        <v>7.4809999999999999</v>
      </c>
      <c r="J18" s="293">
        <v>6.585</v>
      </c>
      <c r="K18" s="293">
        <v>6.3116139999999996</v>
      </c>
      <c r="L18" s="293">
        <v>5.9214209999999996</v>
      </c>
      <c r="M18" s="293">
        <v>5.9680070000000001</v>
      </c>
      <c r="N18" s="293">
        <v>5.9630130000000001</v>
      </c>
      <c r="O18" s="293">
        <v>5.9123679999999998</v>
      </c>
      <c r="P18" s="293">
        <v>5.9393659999999997</v>
      </c>
      <c r="Q18" s="293">
        <v>6.0361729999999998</v>
      </c>
      <c r="R18" s="293">
        <v>6.0801559999999997</v>
      </c>
      <c r="S18" s="293">
        <v>6.1090929999999997</v>
      </c>
      <c r="T18" s="293">
        <v>6.1684799999999997</v>
      </c>
      <c r="U18" s="293">
        <v>6.1836919999999997</v>
      </c>
      <c r="V18" s="293">
        <v>6.31792</v>
      </c>
      <c r="W18" s="293">
        <v>6.4623739999999996</v>
      </c>
      <c r="X18" s="293">
        <v>6.5838710000000003</v>
      </c>
      <c r="Y18" s="293">
        <v>6.6953279999999999</v>
      </c>
      <c r="Z18" s="293">
        <v>6.7654339999999999</v>
      </c>
      <c r="AA18" s="293">
        <v>6.9090009999999999</v>
      </c>
      <c r="AB18" s="293">
        <v>6.9898129999999998</v>
      </c>
      <c r="AC18" s="293">
        <v>7.0234620000000003</v>
      </c>
      <c r="AD18" s="293">
        <v>7.1230440000000002</v>
      </c>
      <c r="AE18" s="293">
        <v>7.2727890000000004</v>
      </c>
      <c r="AF18" s="293">
        <v>7.4277439999999997</v>
      </c>
      <c r="AG18" s="293">
        <v>7.5305350000000004</v>
      </c>
      <c r="AH18" s="293">
        <v>7.7422449999999996</v>
      </c>
      <c r="AI18" s="293">
        <v>7.7863189999999998</v>
      </c>
      <c r="AJ18" s="293">
        <v>7.866511</v>
      </c>
      <c r="AK18" s="294">
        <v>-3.0000000000000001E-3</v>
      </c>
    </row>
    <row r="19" spans="1:38">
      <c r="A19" s="6" t="s">
        <v>169</v>
      </c>
      <c r="B19" s="348">
        <v>2.5000000372528999E-2</v>
      </c>
      <c r="C19" s="348">
        <v>2.70000007003546E-2</v>
      </c>
      <c r="D19" s="348">
        <v>2.70000007003546E-2</v>
      </c>
      <c r="E19" s="348">
        <v>2.70000007003546E-2</v>
      </c>
      <c r="F19" s="349">
        <v>2.9890902340412102E-2</v>
      </c>
      <c r="G19" s="293">
        <v>4.7E-2</v>
      </c>
      <c r="H19" s="293">
        <v>0.06</v>
      </c>
      <c r="I19" s="293">
        <v>0.12</v>
      </c>
      <c r="J19" s="293">
        <v>0.13300000000000001</v>
      </c>
      <c r="K19" s="293">
        <v>0.14593700000000001</v>
      </c>
      <c r="L19" s="293">
        <v>0.153697</v>
      </c>
      <c r="M19" s="293">
        <v>0.15364</v>
      </c>
      <c r="N19" s="293">
        <v>0.15429799999999999</v>
      </c>
      <c r="O19" s="293">
        <v>0.153447</v>
      </c>
      <c r="P19" s="293">
        <v>0.15229300000000001</v>
      </c>
      <c r="Q19" s="293">
        <v>0.147228</v>
      </c>
      <c r="R19" s="293">
        <v>0.13797699999999999</v>
      </c>
      <c r="S19" s="293">
        <v>0.134215</v>
      </c>
      <c r="T19" s="293">
        <v>0.132551</v>
      </c>
      <c r="U19" s="293">
        <v>0.13100500000000001</v>
      </c>
      <c r="V19" s="293">
        <v>0.12992400000000001</v>
      </c>
      <c r="W19" s="293">
        <v>0.129414</v>
      </c>
      <c r="X19" s="293">
        <v>0.12848499999999999</v>
      </c>
      <c r="Y19" s="293">
        <v>0.128441</v>
      </c>
      <c r="Z19" s="293">
        <v>0.129943</v>
      </c>
      <c r="AA19" s="293">
        <v>0.12945599999999999</v>
      </c>
      <c r="AB19" s="293">
        <v>0.12748399999999999</v>
      </c>
      <c r="AC19" s="293">
        <v>0.12575900000000001</v>
      </c>
      <c r="AD19" s="293">
        <v>0.12470100000000001</v>
      </c>
      <c r="AE19" s="293">
        <v>0.123445</v>
      </c>
      <c r="AF19" s="293">
        <v>0.123949</v>
      </c>
      <c r="AG19" s="293">
        <v>0.124137</v>
      </c>
      <c r="AH19" s="293">
        <v>0.124122</v>
      </c>
      <c r="AI19" s="293">
        <v>0.123821</v>
      </c>
      <c r="AJ19" s="293">
        <v>0.12371</v>
      </c>
      <c r="AK19" s="294">
        <v>2.5999999999999999E-2</v>
      </c>
    </row>
    <row r="20" spans="1:38">
      <c r="A20" s="6" t="s">
        <v>177</v>
      </c>
      <c r="B20" s="348">
        <v>4.80000004172325E-2</v>
      </c>
      <c r="C20" s="348">
        <v>8.79999995231628E-2</v>
      </c>
      <c r="D20" s="348">
        <v>-2.9999997466802601E-2</v>
      </c>
      <c r="E20" s="348">
        <v>1.9999999552965199E-2</v>
      </c>
      <c r="F20" s="349">
        <v>0</v>
      </c>
      <c r="G20" s="293">
        <v>0.26600000000000001</v>
      </c>
      <c r="H20" s="293">
        <v>8.6999999999999994E-2</v>
      </c>
      <c r="I20" s="293">
        <v>0.23400000000000001</v>
      </c>
      <c r="J20" s="293">
        <v>0.161</v>
      </c>
      <c r="K20" s="293">
        <v>0</v>
      </c>
      <c r="L20" s="293">
        <v>0</v>
      </c>
      <c r="M20" s="293">
        <v>0</v>
      </c>
      <c r="N20" s="293">
        <v>0</v>
      </c>
      <c r="O20" s="293">
        <v>0</v>
      </c>
      <c r="P20" s="293">
        <v>0</v>
      </c>
      <c r="Q20" s="293">
        <v>0</v>
      </c>
      <c r="R20" s="293">
        <v>0</v>
      </c>
      <c r="S20" s="293">
        <v>0</v>
      </c>
      <c r="T20" s="293">
        <v>0</v>
      </c>
      <c r="U20" s="293">
        <v>0</v>
      </c>
      <c r="V20" s="293">
        <v>0</v>
      </c>
      <c r="W20" s="293">
        <v>0</v>
      </c>
      <c r="X20" s="293">
        <v>0</v>
      </c>
      <c r="Y20" s="293">
        <v>0</v>
      </c>
      <c r="Z20" s="293">
        <v>0</v>
      </c>
      <c r="AA20" s="293">
        <v>0</v>
      </c>
      <c r="AB20" s="293">
        <v>0</v>
      </c>
      <c r="AC20" s="293">
        <v>0</v>
      </c>
      <c r="AD20" s="293">
        <v>0</v>
      </c>
      <c r="AE20" s="293">
        <v>0</v>
      </c>
      <c r="AF20" s="293">
        <v>0</v>
      </c>
      <c r="AG20" s="293">
        <v>0</v>
      </c>
      <c r="AH20" s="293">
        <v>0</v>
      </c>
      <c r="AI20" s="293">
        <v>0</v>
      </c>
      <c r="AJ20" s="293">
        <v>0</v>
      </c>
      <c r="AK20" s="293" t="s">
        <v>41</v>
      </c>
    </row>
    <row r="21" spans="1:38">
      <c r="A21" s="6" t="s">
        <v>176</v>
      </c>
      <c r="B21" s="348">
        <v>15.2430009841919</v>
      </c>
      <c r="C21" s="348">
        <v>15.158999443054199</v>
      </c>
      <c r="D21" s="348">
        <v>14.625</v>
      </c>
      <c r="E21" s="348">
        <v>14.3919486999512</v>
      </c>
      <c r="F21" s="349">
        <v>13.9286651611328</v>
      </c>
      <c r="G21" s="248">
        <v>14.811999999999999</v>
      </c>
      <c r="H21" s="248">
        <v>15.012999000000001</v>
      </c>
      <c r="I21" s="248">
        <v>15.317</v>
      </c>
      <c r="J21" s="248">
        <v>15.141800999999999</v>
      </c>
      <c r="K21" s="248">
        <v>15.203478</v>
      </c>
      <c r="L21" s="248">
        <v>15.309505</v>
      </c>
      <c r="M21" s="248">
        <v>15.371171</v>
      </c>
      <c r="N21" s="248">
        <v>15.384200999999999</v>
      </c>
      <c r="O21" s="248">
        <v>15.367167</v>
      </c>
      <c r="P21" s="248">
        <v>15.339613999999999</v>
      </c>
      <c r="Q21" s="248">
        <v>15.305448999999999</v>
      </c>
      <c r="R21" s="248">
        <v>15.231005</v>
      </c>
      <c r="S21" s="248">
        <v>15.165613</v>
      </c>
      <c r="T21" s="248">
        <v>15.108777</v>
      </c>
      <c r="U21" s="248">
        <v>15.05687</v>
      </c>
      <c r="V21" s="248">
        <v>15.020941000000001</v>
      </c>
      <c r="W21" s="248">
        <v>15.002621</v>
      </c>
      <c r="X21" s="248">
        <v>14.971308000000001</v>
      </c>
      <c r="Y21" s="248">
        <v>14.947302000000001</v>
      </c>
      <c r="Z21" s="248">
        <v>14.940206</v>
      </c>
      <c r="AA21" s="248">
        <v>14.939088999999999</v>
      </c>
      <c r="AB21" s="248">
        <v>14.935063</v>
      </c>
      <c r="AC21" s="248">
        <v>14.942383</v>
      </c>
      <c r="AD21" s="248">
        <v>14.982934999999999</v>
      </c>
      <c r="AE21" s="248">
        <v>15.021611999999999</v>
      </c>
      <c r="AF21" s="248">
        <v>15.058424</v>
      </c>
      <c r="AG21" s="248">
        <v>15.105885000000001</v>
      </c>
      <c r="AH21" s="248">
        <v>15.176966</v>
      </c>
      <c r="AI21" s="248">
        <v>15.192781</v>
      </c>
      <c r="AJ21" s="248">
        <v>15.222968</v>
      </c>
      <c r="AK21" s="249">
        <v>0</v>
      </c>
    </row>
    <row r="23" spans="1:38">
      <c r="A23" s="6" t="s">
        <v>175</v>
      </c>
    </row>
    <row r="24" spans="1:38" s="251" customFormat="1">
      <c r="A24" s="250" t="s">
        <v>174</v>
      </c>
      <c r="B24" s="348">
        <v>1.7380001544952399</v>
      </c>
      <c r="C24" s="348">
        <v>1.7829999923706099</v>
      </c>
      <c r="D24" s="348">
        <v>1.82499992847443</v>
      </c>
      <c r="E24" s="348">
        <v>1.81299996376038</v>
      </c>
      <c r="F24" s="349">
        <v>1.86609554290771</v>
      </c>
      <c r="G24" s="295">
        <v>2.2160000000000002</v>
      </c>
      <c r="H24" s="295">
        <v>2.4</v>
      </c>
      <c r="I24" s="295">
        <v>2.4900000000000002</v>
      </c>
      <c r="J24" s="295">
        <v>2.5089999999999999</v>
      </c>
      <c r="K24" s="295">
        <v>2.5561180000000001</v>
      </c>
      <c r="L24" s="295">
        <v>2.6337290000000002</v>
      </c>
      <c r="M24" s="295">
        <v>2.6633930000000001</v>
      </c>
      <c r="N24" s="295">
        <v>2.6705079999999999</v>
      </c>
      <c r="O24" s="295">
        <v>2.669905</v>
      </c>
      <c r="P24" s="295">
        <v>2.6458759999999999</v>
      </c>
      <c r="Q24" s="295">
        <v>2.60798</v>
      </c>
      <c r="R24" s="295">
        <v>2.7045080000000001</v>
      </c>
      <c r="S24" s="295">
        <v>2.7930269999999999</v>
      </c>
      <c r="T24" s="295">
        <v>2.8390249999999999</v>
      </c>
      <c r="U24" s="295">
        <v>2.8728980000000002</v>
      </c>
      <c r="V24" s="295">
        <v>2.9033150000000001</v>
      </c>
      <c r="W24" s="295">
        <v>2.9228930000000002</v>
      </c>
      <c r="X24" s="295">
        <v>2.9406509999999999</v>
      </c>
      <c r="Y24" s="295">
        <v>2.9505080000000001</v>
      </c>
      <c r="Z24" s="295">
        <v>2.978853</v>
      </c>
      <c r="AA24" s="295">
        <v>3.0103460000000002</v>
      </c>
      <c r="AB24" s="295">
        <v>3.0288490000000001</v>
      </c>
      <c r="AC24" s="295">
        <v>3.0383969999999998</v>
      </c>
      <c r="AD24" s="295">
        <v>3.0546120000000001</v>
      </c>
      <c r="AE24" s="295">
        <v>3.0492400000000002</v>
      </c>
      <c r="AF24" s="295">
        <v>3.0289980000000001</v>
      </c>
      <c r="AG24" s="295">
        <v>3.058621</v>
      </c>
      <c r="AH24" s="295">
        <v>3.037477</v>
      </c>
      <c r="AI24" s="295">
        <v>3.013617</v>
      </c>
      <c r="AJ24" s="295">
        <v>2.983552</v>
      </c>
      <c r="AK24" s="296">
        <v>8.0000000000000002E-3</v>
      </c>
    </row>
    <row r="25" spans="1:38">
      <c r="A25" s="6" t="s">
        <v>173</v>
      </c>
      <c r="B25" s="348">
        <v>2.3140001296997101</v>
      </c>
      <c r="C25" s="348">
        <v>2.0869998931884801</v>
      </c>
      <c r="D25" s="348">
        <v>1.29999995231628</v>
      </c>
      <c r="E25" s="348">
        <v>1.3280000686645499</v>
      </c>
      <c r="F25" s="349">
        <v>1.6039888858795199</v>
      </c>
      <c r="G25" s="293">
        <v>-0.252</v>
      </c>
      <c r="H25" s="293">
        <v>-0.91600000000000004</v>
      </c>
      <c r="I25" s="293">
        <v>-0.98799999999999999</v>
      </c>
      <c r="J25" s="293">
        <v>-1.0289999999999999</v>
      </c>
      <c r="K25" s="293">
        <v>-0.96462499999999995</v>
      </c>
      <c r="L25" s="293">
        <v>-0.94448699999999997</v>
      </c>
      <c r="M25" s="293">
        <v>-0.93183700000000003</v>
      </c>
      <c r="N25" s="293">
        <v>-0.91123600000000005</v>
      </c>
      <c r="O25" s="293">
        <v>-0.88706300000000005</v>
      </c>
      <c r="P25" s="293">
        <v>-0.85573100000000002</v>
      </c>
      <c r="Q25" s="293">
        <v>-0.83163799999999999</v>
      </c>
      <c r="R25" s="293">
        <v>-0.89107099999999995</v>
      </c>
      <c r="S25" s="293">
        <v>-0.94251600000000002</v>
      </c>
      <c r="T25" s="293">
        <v>-0.97565599999999997</v>
      </c>
      <c r="U25" s="293">
        <v>-1.0068220000000001</v>
      </c>
      <c r="V25" s="293">
        <v>-1.068271</v>
      </c>
      <c r="W25" s="293">
        <v>-1.122708</v>
      </c>
      <c r="X25" s="293">
        <v>-1.1588719999999999</v>
      </c>
      <c r="Y25" s="293">
        <v>-1.2142729999999999</v>
      </c>
      <c r="Z25" s="293">
        <v>-1.293569</v>
      </c>
      <c r="AA25" s="293">
        <v>-1.3683129999999999</v>
      </c>
      <c r="AB25" s="293">
        <v>-1.4270320000000001</v>
      </c>
      <c r="AC25" s="293">
        <v>-1.482378</v>
      </c>
      <c r="AD25" s="293">
        <v>-1.563064</v>
      </c>
      <c r="AE25" s="293">
        <v>-1.613156</v>
      </c>
      <c r="AF25" s="293">
        <v>-1.650264</v>
      </c>
      <c r="AG25" s="293">
        <v>-1.716191</v>
      </c>
      <c r="AH25" s="293">
        <v>-1.7615620000000001</v>
      </c>
      <c r="AI25" s="293">
        <v>-1.7771790000000001</v>
      </c>
      <c r="AJ25" s="293">
        <v>-1.816797</v>
      </c>
      <c r="AK25" s="294">
        <v>2.5000000000000001E-2</v>
      </c>
    </row>
    <row r="26" spans="1:38">
      <c r="A26" s="6" t="s">
        <v>172</v>
      </c>
      <c r="B26" s="348">
        <v>2.1710000038146999</v>
      </c>
      <c r="C26" s="348">
        <v>1.93800008296967</v>
      </c>
      <c r="D26" s="348">
        <v>1.0240000486373899</v>
      </c>
      <c r="E26" s="348">
        <v>1.06200003623962</v>
      </c>
      <c r="F26" s="349">
        <v>1.54514491558075</v>
      </c>
      <c r="G26" s="293">
        <v>1.151</v>
      </c>
      <c r="H26" s="293">
        <v>0.84799999999999998</v>
      </c>
      <c r="I26" s="293">
        <v>0.70899999999999996</v>
      </c>
      <c r="J26" s="293">
        <v>0.72</v>
      </c>
      <c r="K26" s="293">
        <v>0.81863200000000003</v>
      </c>
      <c r="L26" s="293">
        <v>0.88173000000000001</v>
      </c>
      <c r="M26" s="293">
        <v>0.906914</v>
      </c>
      <c r="N26" s="293">
        <v>0.93180099999999999</v>
      </c>
      <c r="O26" s="293">
        <v>0.95816500000000004</v>
      </c>
      <c r="P26" s="293">
        <v>0.97589599999999999</v>
      </c>
      <c r="Q26" s="293">
        <v>0.98990599999999995</v>
      </c>
      <c r="R26" s="293">
        <v>1.006778</v>
      </c>
      <c r="S26" s="293">
        <v>1.0199199999999999</v>
      </c>
      <c r="T26" s="293">
        <v>1.03091</v>
      </c>
      <c r="U26" s="293">
        <v>1.05515</v>
      </c>
      <c r="V26" s="293">
        <v>1.0587679999999999</v>
      </c>
      <c r="W26" s="293">
        <v>1.0657570000000001</v>
      </c>
      <c r="X26" s="293">
        <v>1.0659179999999999</v>
      </c>
      <c r="Y26" s="293">
        <v>1.061431</v>
      </c>
      <c r="Z26" s="293">
        <v>1.0560160000000001</v>
      </c>
      <c r="AA26" s="293">
        <v>1.05697</v>
      </c>
      <c r="AB26" s="293">
        <v>1.0702149999999999</v>
      </c>
      <c r="AC26" s="293">
        <v>1.072165</v>
      </c>
      <c r="AD26" s="293">
        <v>1.0766100000000001</v>
      </c>
      <c r="AE26" s="293">
        <v>1.0822270000000001</v>
      </c>
      <c r="AF26" s="293">
        <v>1.093154</v>
      </c>
      <c r="AG26" s="293">
        <v>1.095712</v>
      </c>
      <c r="AH26" s="293">
        <v>1.0972550000000001</v>
      </c>
      <c r="AI26" s="293">
        <v>1.1087450000000001</v>
      </c>
      <c r="AJ26" s="293">
        <v>1.0974060000000001</v>
      </c>
      <c r="AK26" s="294">
        <v>8.9999999999999993E-3</v>
      </c>
    </row>
    <row r="27" spans="1:38">
      <c r="A27" s="6" t="s">
        <v>171</v>
      </c>
      <c r="B27" s="348">
        <v>0.68900001049041704</v>
      </c>
      <c r="C27" s="348">
        <v>0.71700000762939498</v>
      </c>
      <c r="D27" s="348">
        <v>0.60663330554962203</v>
      </c>
      <c r="E27" s="348">
        <v>0.60996818542480502</v>
      </c>
      <c r="F27" s="349">
        <v>0.60277581214904796</v>
      </c>
      <c r="G27" s="293">
        <v>0.68700000000000006</v>
      </c>
      <c r="H27" s="293">
        <v>0.60299999999999998</v>
      </c>
      <c r="I27" s="293">
        <v>0.58599999999999997</v>
      </c>
      <c r="J27" s="293">
        <v>0.54400000000000004</v>
      </c>
      <c r="K27" s="293">
        <v>0.540385</v>
      </c>
      <c r="L27" s="293">
        <v>0.53676900000000005</v>
      </c>
      <c r="M27" s="293">
        <v>0.53315299999999999</v>
      </c>
      <c r="N27" s="293">
        <v>0.52953899999999998</v>
      </c>
      <c r="O27" s="293">
        <v>0.52592300000000003</v>
      </c>
      <c r="P27" s="293">
        <v>0.52230699999999997</v>
      </c>
      <c r="Q27" s="293">
        <v>0.51869299999999996</v>
      </c>
      <c r="R27" s="293">
        <v>0.51507700000000001</v>
      </c>
      <c r="S27" s="293">
        <v>0.51146100000000005</v>
      </c>
      <c r="T27" s="293">
        <v>0.50784600000000002</v>
      </c>
      <c r="U27" s="293">
        <v>0.50423099999999998</v>
      </c>
      <c r="V27" s="293">
        <v>0.50061500000000003</v>
      </c>
      <c r="W27" s="293">
        <v>0.497</v>
      </c>
      <c r="X27" s="293">
        <v>0.49338500000000002</v>
      </c>
      <c r="Y27" s="293">
        <v>0.48976900000000001</v>
      </c>
      <c r="Z27" s="293">
        <v>0.48615399999999998</v>
      </c>
      <c r="AA27" s="293">
        <v>0.48253800000000002</v>
      </c>
      <c r="AB27" s="293">
        <v>0.47892299999999999</v>
      </c>
      <c r="AC27" s="293">
        <v>0.47530800000000001</v>
      </c>
      <c r="AD27" s="293">
        <v>0.471692</v>
      </c>
      <c r="AE27" s="293">
        <v>0.46807700000000002</v>
      </c>
      <c r="AF27" s="293">
        <v>0.46446199999999999</v>
      </c>
      <c r="AG27" s="293">
        <v>0.46084599999999998</v>
      </c>
      <c r="AH27" s="293">
        <v>0.45723000000000003</v>
      </c>
      <c r="AI27" s="293">
        <v>0.45361600000000002</v>
      </c>
      <c r="AJ27" s="293">
        <v>0.45</v>
      </c>
      <c r="AK27" s="294">
        <v>-0.01</v>
      </c>
    </row>
    <row r="28" spans="1:38">
      <c r="A28" s="6" t="s">
        <v>170</v>
      </c>
      <c r="B28" s="348">
        <v>0.67700004577636697</v>
      </c>
      <c r="C28" s="348">
        <v>0.75300002098083496</v>
      </c>
      <c r="D28" s="348">
        <v>0.73199999332428001</v>
      </c>
      <c r="E28" s="348">
        <v>0.71799999475479104</v>
      </c>
      <c r="F28" s="349">
        <v>0.62520116567611705</v>
      </c>
      <c r="G28" s="293">
        <v>0.71799999999999997</v>
      </c>
      <c r="H28" s="293">
        <v>0.61599999999999999</v>
      </c>
      <c r="I28" s="293">
        <v>0.61</v>
      </c>
      <c r="J28" s="293">
        <v>0.6</v>
      </c>
      <c r="K28" s="293">
        <v>0.67105999999999999</v>
      </c>
      <c r="L28" s="293">
        <v>0.66229499999999997</v>
      </c>
      <c r="M28" s="293">
        <v>0.65169100000000002</v>
      </c>
      <c r="N28" s="293">
        <v>0.64020900000000003</v>
      </c>
      <c r="O28" s="293">
        <v>0.62541100000000005</v>
      </c>
      <c r="P28" s="293">
        <v>0.61513700000000004</v>
      </c>
      <c r="Q28" s="293">
        <v>0.606742</v>
      </c>
      <c r="R28" s="293">
        <v>0.595522</v>
      </c>
      <c r="S28" s="293">
        <v>0.58620099999999997</v>
      </c>
      <c r="T28" s="293">
        <v>0.57591400000000004</v>
      </c>
      <c r="U28" s="293">
        <v>0.55055799999999999</v>
      </c>
      <c r="V28" s="293">
        <v>0.53803599999999996</v>
      </c>
      <c r="W28" s="293">
        <v>0.524864</v>
      </c>
      <c r="X28" s="293">
        <v>0.51505000000000001</v>
      </c>
      <c r="Y28" s="293">
        <v>0.50508799999999998</v>
      </c>
      <c r="Z28" s="293">
        <v>0.49612200000000001</v>
      </c>
      <c r="AA28" s="293">
        <v>0.48664200000000002</v>
      </c>
      <c r="AB28" s="293">
        <v>0.47747699999999998</v>
      </c>
      <c r="AC28" s="293">
        <v>0.46830300000000002</v>
      </c>
      <c r="AD28" s="293">
        <v>0.45679599999999998</v>
      </c>
      <c r="AE28" s="293">
        <v>0.44836500000000001</v>
      </c>
      <c r="AF28" s="293">
        <v>0.43787900000000002</v>
      </c>
      <c r="AG28" s="293">
        <v>0.42837799999999998</v>
      </c>
      <c r="AH28" s="293">
        <v>0.41841600000000001</v>
      </c>
      <c r="AI28" s="293">
        <v>0.40845399999999998</v>
      </c>
      <c r="AJ28" s="293">
        <v>0.39849099999999998</v>
      </c>
      <c r="AK28" s="294">
        <v>-1.4999999999999999E-2</v>
      </c>
    </row>
    <row r="29" spans="1:38">
      <c r="A29" s="6" t="s">
        <v>169</v>
      </c>
      <c r="B29" s="348">
        <v>1.2150000333786</v>
      </c>
      <c r="C29" s="348">
        <v>1.32100009918213</v>
      </c>
      <c r="D29" s="348">
        <v>1.2150000333786</v>
      </c>
      <c r="E29" s="348">
        <v>1.2150000333786</v>
      </c>
      <c r="F29" s="349">
        <v>1.16913342475891</v>
      </c>
      <c r="G29" s="293">
        <v>2.8079999999999998</v>
      </c>
      <c r="H29" s="293">
        <v>2.9830000000000001</v>
      </c>
      <c r="I29" s="293">
        <v>2.8929999999999998</v>
      </c>
      <c r="J29" s="293">
        <v>2.8929999999999998</v>
      </c>
      <c r="K29" s="293">
        <v>2.9947010000000001</v>
      </c>
      <c r="L29" s="293">
        <v>3.0252810000000001</v>
      </c>
      <c r="M29" s="293">
        <v>3.023596</v>
      </c>
      <c r="N29" s="293">
        <v>3.0127839999999999</v>
      </c>
      <c r="O29" s="293">
        <v>2.9965619999999999</v>
      </c>
      <c r="P29" s="293">
        <v>2.9690720000000002</v>
      </c>
      <c r="Q29" s="293">
        <v>2.9469789999999998</v>
      </c>
      <c r="R29" s="293">
        <v>3.0084490000000002</v>
      </c>
      <c r="S29" s="293">
        <v>3.0600990000000001</v>
      </c>
      <c r="T29" s="293">
        <v>3.090325</v>
      </c>
      <c r="U29" s="293">
        <v>3.1167609999999999</v>
      </c>
      <c r="V29" s="293">
        <v>3.1656900000000001</v>
      </c>
      <c r="W29" s="293">
        <v>3.2103290000000002</v>
      </c>
      <c r="X29" s="293">
        <v>3.2332260000000002</v>
      </c>
      <c r="Y29" s="293">
        <v>3.2705609999999998</v>
      </c>
      <c r="Z29" s="293">
        <v>3.331861</v>
      </c>
      <c r="AA29" s="293">
        <v>3.3944640000000001</v>
      </c>
      <c r="AB29" s="293">
        <v>3.4536470000000001</v>
      </c>
      <c r="AC29" s="293">
        <v>3.498154</v>
      </c>
      <c r="AD29" s="293">
        <v>3.5681620000000001</v>
      </c>
      <c r="AE29" s="293">
        <v>3.6118250000000001</v>
      </c>
      <c r="AF29" s="293">
        <v>3.6457579999999998</v>
      </c>
      <c r="AG29" s="293">
        <v>3.7011270000000001</v>
      </c>
      <c r="AH29" s="293">
        <v>3.7344629999999999</v>
      </c>
      <c r="AI29" s="293">
        <v>3.7479930000000001</v>
      </c>
      <c r="AJ29" s="293">
        <v>3.7626949999999999</v>
      </c>
      <c r="AK29" s="294">
        <v>8.0000000000000002E-3</v>
      </c>
    </row>
    <row r="30" spans="1:38">
      <c r="A30" s="6" t="s">
        <v>168</v>
      </c>
      <c r="B30" s="348">
        <v>0.99400001764297496</v>
      </c>
      <c r="C30" s="348">
        <v>0.99599999189376798</v>
      </c>
      <c r="D30" s="348">
        <v>0.99699997901916504</v>
      </c>
      <c r="E30" s="348">
        <v>0.97899997234344505</v>
      </c>
      <c r="F30" s="349">
        <v>0.97222220897674605</v>
      </c>
      <c r="G30" s="293">
        <v>1.0760000000000001</v>
      </c>
      <c r="H30" s="293">
        <v>1.077</v>
      </c>
      <c r="I30" s="293">
        <v>1.0620000000000001</v>
      </c>
      <c r="J30" s="293">
        <v>1.0549999999999999</v>
      </c>
      <c r="K30" s="293">
        <v>1.1173770000000001</v>
      </c>
      <c r="L30" s="293">
        <v>1.107977</v>
      </c>
      <c r="M30" s="293">
        <v>1.1068800000000001</v>
      </c>
      <c r="N30" s="293">
        <v>1.1013949999999999</v>
      </c>
      <c r="O30" s="293">
        <v>1.0899559999999999</v>
      </c>
      <c r="P30" s="293">
        <v>1.0810919999999999</v>
      </c>
      <c r="Q30" s="293">
        <v>1.070587</v>
      </c>
      <c r="R30" s="293">
        <v>1.0513539999999999</v>
      </c>
      <c r="S30" s="293">
        <v>1.032008</v>
      </c>
      <c r="T30" s="293">
        <v>1.0139609999999999</v>
      </c>
      <c r="U30" s="293">
        <v>0.99733000000000005</v>
      </c>
      <c r="V30" s="293">
        <v>0.98163100000000003</v>
      </c>
      <c r="W30" s="293">
        <v>0.97328499999999996</v>
      </c>
      <c r="X30" s="293">
        <v>0.96382100000000004</v>
      </c>
      <c r="Y30" s="293">
        <v>0.95674199999999998</v>
      </c>
      <c r="Z30" s="293">
        <v>0.95704199999999995</v>
      </c>
      <c r="AA30" s="293">
        <v>0.95328999999999997</v>
      </c>
      <c r="AB30" s="293">
        <v>0.95369499999999996</v>
      </c>
      <c r="AC30" s="293">
        <v>0.949291</v>
      </c>
      <c r="AD30" s="293">
        <v>0.94474999999999998</v>
      </c>
      <c r="AE30" s="293">
        <v>0.94433999999999996</v>
      </c>
      <c r="AF30" s="293">
        <v>0.94618999999999998</v>
      </c>
      <c r="AG30" s="293">
        <v>0.94669300000000001</v>
      </c>
      <c r="AH30" s="293">
        <v>0.95018899999999995</v>
      </c>
      <c r="AI30" s="293">
        <v>0.95436399999999999</v>
      </c>
      <c r="AJ30" s="293">
        <v>0.95464199999999999</v>
      </c>
      <c r="AK30" s="294">
        <v>-4.0000000000000001E-3</v>
      </c>
    </row>
    <row r="31" spans="1:38">
      <c r="A31" s="6" t="s">
        <v>690</v>
      </c>
      <c r="B31" s="348">
        <v>0.40835106372833302</v>
      </c>
      <c r="C31" s="348">
        <v>0.74303030967712402</v>
      </c>
      <c r="D31" s="348">
        <v>0.90019965171813998</v>
      </c>
      <c r="E31" s="348">
        <v>0.90936332941055298</v>
      </c>
      <c r="F31" s="349">
        <v>1.2169610261917101</v>
      </c>
      <c r="G31" s="293">
        <v>0.87458199999999997</v>
      </c>
      <c r="H31" s="293">
        <v>0.88629000000000002</v>
      </c>
      <c r="I31" s="293">
        <v>0.91131799999999996</v>
      </c>
      <c r="J31" s="293">
        <v>0.94543999999999995</v>
      </c>
      <c r="K31" s="293">
        <v>0.95931299999999997</v>
      </c>
      <c r="L31" s="293">
        <v>0.96406000000000003</v>
      </c>
      <c r="M31" s="293">
        <v>0.97751200000000005</v>
      </c>
      <c r="N31" s="293">
        <v>0.98974300000000004</v>
      </c>
      <c r="O31" s="293">
        <v>1.0016430000000001</v>
      </c>
      <c r="P31" s="293">
        <v>1.014486</v>
      </c>
      <c r="Q31" s="293">
        <v>1.026421</v>
      </c>
      <c r="R31" s="293">
        <v>1.04257</v>
      </c>
      <c r="S31" s="293">
        <v>1.0409060000000001</v>
      </c>
      <c r="T31" s="293">
        <v>1.042815</v>
      </c>
      <c r="U31" s="293">
        <v>1.0410189999999999</v>
      </c>
      <c r="V31" s="293">
        <v>1.0405869999999999</v>
      </c>
      <c r="W31" s="293">
        <v>1.0406690000000001</v>
      </c>
      <c r="X31" s="293">
        <v>1.0407820000000001</v>
      </c>
      <c r="Y31" s="293">
        <v>1.0402199999999999</v>
      </c>
      <c r="Z31" s="293">
        <v>1.0406690000000001</v>
      </c>
      <c r="AA31" s="293">
        <v>1.0418559999999999</v>
      </c>
      <c r="AB31" s="293">
        <v>1.0410980000000001</v>
      </c>
      <c r="AC31" s="293">
        <v>1.041115</v>
      </c>
      <c r="AD31" s="293">
        <v>1.0421020000000001</v>
      </c>
      <c r="AE31" s="293">
        <v>1.0415099999999999</v>
      </c>
      <c r="AF31" s="293">
        <v>1.039404</v>
      </c>
      <c r="AG31" s="293">
        <v>1.038624</v>
      </c>
      <c r="AH31" s="293">
        <v>1.041671</v>
      </c>
      <c r="AI31" s="293">
        <v>1.0532999999999999</v>
      </c>
      <c r="AJ31" s="293">
        <v>1.0676890000000001</v>
      </c>
      <c r="AK31" s="294">
        <v>7.0000000000000001E-3</v>
      </c>
    </row>
    <row r="32" spans="1:38" s="18" customFormat="1">
      <c r="A32" s="17" t="s">
        <v>167</v>
      </c>
      <c r="B32" s="350">
        <v>0.31900000572204601</v>
      </c>
      <c r="C32" s="350">
        <v>0.42500001192092901</v>
      </c>
      <c r="D32" s="350">
        <v>0.60299998521804798</v>
      </c>
      <c r="E32" s="350">
        <v>0.68500006198883101</v>
      </c>
      <c r="F32" s="351">
        <v>0.84147453308105502</v>
      </c>
      <c r="G32" s="293">
        <v>0.81834200000000001</v>
      </c>
      <c r="H32" s="293">
        <v>0.82725800000000005</v>
      </c>
      <c r="I32" s="293">
        <v>0.825187</v>
      </c>
      <c r="J32" s="293">
        <v>0.85004199999999996</v>
      </c>
      <c r="K32" s="293">
        <v>0.865282</v>
      </c>
      <c r="L32" s="293">
        <v>0.869251</v>
      </c>
      <c r="M32" s="293">
        <v>0.88145200000000001</v>
      </c>
      <c r="N32" s="293">
        <v>0.88586200000000004</v>
      </c>
      <c r="O32" s="293">
        <v>0.88890000000000002</v>
      </c>
      <c r="P32" s="293">
        <v>0.89585899999999996</v>
      </c>
      <c r="Q32" s="293">
        <v>0.89987200000000001</v>
      </c>
      <c r="R32" s="293">
        <v>0.91550900000000002</v>
      </c>
      <c r="S32" s="293">
        <v>0.91492399999999996</v>
      </c>
      <c r="T32" s="293">
        <v>0.91555299999999995</v>
      </c>
      <c r="U32" s="293">
        <v>0.91523600000000005</v>
      </c>
      <c r="V32" s="293">
        <v>0.91508800000000001</v>
      </c>
      <c r="W32" s="293">
        <v>0.91518600000000006</v>
      </c>
      <c r="X32" s="293">
        <v>0.91533399999999998</v>
      </c>
      <c r="Y32" s="293">
        <v>0.91476000000000002</v>
      </c>
      <c r="Z32" s="293">
        <v>0.91483099999999995</v>
      </c>
      <c r="AA32" s="293">
        <v>0.91463499999999998</v>
      </c>
      <c r="AB32" s="293">
        <v>0.91389500000000001</v>
      </c>
      <c r="AC32" s="293">
        <v>0.91388999999999998</v>
      </c>
      <c r="AD32" s="293">
        <v>0.91484699999999997</v>
      </c>
      <c r="AE32" s="293">
        <v>0.91425800000000002</v>
      </c>
      <c r="AF32" s="293">
        <v>0.91217999999999999</v>
      </c>
      <c r="AG32" s="293">
        <v>0.91165499999999999</v>
      </c>
      <c r="AH32" s="293">
        <v>0.91445399999999999</v>
      </c>
      <c r="AI32" s="293">
        <v>0.92887299999999995</v>
      </c>
      <c r="AJ32" s="293">
        <v>0.94600499999999998</v>
      </c>
      <c r="AK32" s="294">
        <v>5.0000000000000001E-3</v>
      </c>
      <c r="AL32" s="51">
        <f>C32*(1+AK32)^23</f>
        <v>0.4766596202229666</v>
      </c>
    </row>
    <row r="33" spans="1:38" s="18" customFormat="1">
      <c r="A33" s="17" t="s">
        <v>165</v>
      </c>
      <c r="B33" s="350">
        <v>0.273288995027542</v>
      </c>
      <c r="C33" s="350">
        <v>0.40336400270461997</v>
      </c>
      <c r="D33" s="350">
        <v>0.58252400159835804</v>
      </c>
      <c r="E33" s="350">
        <v>0.68972003459930398</v>
      </c>
      <c r="F33" s="351">
        <v>0.84179353713989302</v>
      </c>
      <c r="G33" s="293">
        <v>0.88597599999999999</v>
      </c>
      <c r="H33" s="293">
        <v>0.84365599999999996</v>
      </c>
      <c r="I33" s="293">
        <v>0.83595299999999995</v>
      </c>
      <c r="J33" s="293">
        <v>0.86998399999999998</v>
      </c>
      <c r="K33" s="293">
        <v>0.82013999999999998</v>
      </c>
      <c r="L33" s="293">
        <v>0.82233599999999996</v>
      </c>
      <c r="M33" s="293">
        <v>0.83316999999999997</v>
      </c>
      <c r="N33" s="293">
        <v>0.834866</v>
      </c>
      <c r="O33" s="293">
        <v>0.83494199999999996</v>
      </c>
      <c r="P33" s="293">
        <v>0.84040599999999999</v>
      </c>
      <c r="Q33" s="293">
        <v>0.83868500000000001</v>
      </c>
      <c r="R33" s="293">
        <v>0.84875</v>
      </c>
      <c r="S33" s="293">
        <v>0.85439200000000004</v>
      </c>
      <c r="T33" s="293">
        <v>0.85437700000000005</v>
      </c>
      <c r="U33" s="293">
        <v>0.85438800000000004</v>
      </c>
      <c r="V33" s="293">
        <v>0.85439200000000004</v>
      </c>
      <c r="W33" s="293">
        <v>0.85523000000000005</v>
      </c>
      <c r="X33" s="293">
        <v>0.85584700000000002</v>
      </c>
      <c r="Y33" s="293">
        <v>0.85583500000000001</v>
      </c>
      <c r="Z33" s="293">
        <v>0.85584700000000002</v>
      </c>
      <c r="AA33" s="293">
        <v>0.85584700000000002</v>
      </c>
      <c r="AB33" s="293">
        <v>0.85583500000000001</v>
      </c>
      <c r="AC33" s="293">
        <v>0.85583500000000001</v>
      </c>
      <c r="AD33" s="293">
        <v>0.85583500000000001</v>
      </c>
      <c r="AE33" s="293">
        <v>0.85358400000000001</v>
      </c>
      <c r="AF33" s="293">
        <v>0.84983299999999995</v>
      </c>
      <c r="AG33" s="293">
        <v>0.84757499999999997</v>
      </c>
      <c r="AH33" s="293">
        <v>0.84855400000000003</v>
      </c>
      <c r="AI33" s="293">
        <v>0.85902400000000001</v>
      </c>
      <c r="AJ33" s="293">
        <v>0.86278500000000002</v>
      </c>
      <c r="AK33" s="294">
        <v>1E-3</v>
      </c>
      <c r="AL33" s="51" t="s">
        <v>0</v>
      </c>
    </row>
    <row r="34" spans="1:38">
      <c r="A34" s="6" t="s">
        <v>164</v>
      </c>
      <c r="B34" s="348">
        <v>4.5710995793342597E-2</v>
      </c>
      <c r="C34" s="348">
        <v>2.1635998040437698E-2</v>
      </c>
      <c r="D34" s="348">
        <v>2.0475998520851101E-2</v>
      </c>
      <c r="E34" s="348">
        <v>-4.7199996188283001E-3</v>
      </c>
      <c r="F34" s="349">
        <v>-3.1897879671305402E-4</v>
      </c>
      <c r="G34" s="293">
        <v>-6.6753999999999994E-2</v>
      </c>
      <c r="H34" s="293">
        <v>-1.6397999999999999E-2</v>
      </c>
      <c r="I34" s="293">
        <v>-1.0766E-2</v>
      </c>
      <c r="J34" s="293">
        <v>-1.9942000000000001E-2</v>
      </c>
      <c r="K34" s="293">
        <v>4.5142000000000002E-2</v>
      </c>
      <c r="L34" s="293">
        <v>4.6915999999999999E-2</v>
      </c>
      <c r="M34" s="293">
        <v>4.8281999999999999E-2</v>
      </c>
      <c r="N34" s="293">
        <v>5.0996E-2</v>
      </c>
      <c r="O34" s="293">
        <v>5.3957999999999999E-2</v>
      </c>
      <c r="P34" s="293">
        <v>5.5452000000000001E-2</v>
      </c>
      <c r="Q34" s="293">
        <v>6.1186999999999998E-2</v>
      </c>
      <c r="R34" s="293">
        <v>6.6758999999999999E-2</v>
      </c>
      <c r="S34" s="293">
        <v>6.0532000000000002E-2</v>
      </c>
      <c r="T34" s="293">
        <v>6.1176000000000001E-2</v>
      </c>
      <c r="U34" s="293">
        <v>6.0847999999999999E-2</v>
      </c>
      <c r="V34" s="293">
        <v>6.0696E-2</v>
      </c>
      <c r="W34" s="293">
        <v>5.9957000000000003E-2</v>
      </c>
      <c r="X34" s="293">
        <v>5.9486999999999998E-2</v>
      </c>
      <c r="Y34" s="293">
        <v>5.8924999999999998E-2</v>
      </c>
      <c r="Z34" s="293">
        <v>5.8984000000000002E-2</v>
      </c>
      <c r="AA34" s="293">
        <v>5.8788E-2</v>
      </c>
      <c r="AB34" s="293">
        <v>5.806E-2</v>
      </c>
      <c r="AC34" s="293">
        <v>5.8056000000000003E-2</v>
      </c>
      <c r="AD34" s="293">
        <v>5.9012000000000002E-2</v>
      </c>
      <c r="AE34" s="293">
        <v>6.0673999999999999E-2</v>
      </c>
      <c r="AF34" s="293">
        <v>6.2348000000000001E-2</v>
      </c>
      <c r="AG34" s="293">
        <v>6.4079999999999998E-2</v>
      </c>
      <c r="AH34" s="293">
        <v>6.59E-2</v>
      </c>
      <c r="AI34" s="293">
        <v>6.9848999999999994E-2</v>
      </c>
      <c r="AJ34" s="293">
        <v>8.3220000000000002E-2</v>
      </c>
      <c r="AK34" s="293" t="s">
        <v>41</v>
      </c>
    </row>
    <row r="35" spans="1:38" s="18" customFormat="1">
      <c r="A35" s="17" t="s">
        <v>166</v>
      </c>
      <c r="B35" s="350">
        <v>1.6338998451829002E-2</v>
      </c>
      <c r="C35" s="350">
        <v>3.2029997557401699E-2</v>
      </c>
      <c r="D35" s="350">
        <v>5.1199223846197101E-2</v>
      </c>
      <c r="E35" s="350">
        <v>6.0358572751283597E-2</v>
      </c>
      <c r="F35" s="351">
        <v>6.3932694494724301E-2</v>
      </c>
      <c r="G35" s="293">
        <v>5.6239999999999998E-2</v>
      </c>
      <c r="H35" s="293">
        <v>5.9032000000000001E-2</v>
      </c>
      <c r="I35" s="293">
        <v>8.6099999999999996E-2</v>
      </c>
      <c r="J35" s="293">
        <v>9.0199000000000001E-2</v>
      </c>
      <c r="K35" s="293">
        <v>9.0070999999999998E-2</v>
      </c>
      <c r="L35" s="293">
        <v>8.6830000000000004E-2</v>
      </c>
      <c r="M35" s="293">
        <v>8.6858000000000005E-2</v>
      </c>
      <c r="N35" s="293">
        <v>8.5750999999999994E-2</v>
      </c>
      <c r="O35" s="293">
        <v>8.7317000000000006E-2</v>
      </c>
      <c r="P35" s="293">
        <v>8.8449E-2</v>
      </c>
      <c r="Q35" s="293">
        <v>8.8486999999999996E-2</v>
      </c>
      <c r="R35" s="293">
        <v>8.8999999999999996E-2</v>
      </c>
      <c r="S35" s="293">
        <v>8.8025000000000006E-2</v>
      </c>
      <c r="T35" s="293">
        <v>8.9304999999999995E-2</v>
      </c>
      <c r="U35" s="293">
        <v>8.7721999999999994E-2</v>
      </c>
      <c r="V35" s="293">
        <v>8.7541999999999995E-2</v>
      </c>
      <c r="W35" s="293">
        <v>8.7525000000000006E-2</v>
      </c>
      <c r="X35" s="293">
        <v>8.7489999999999998E-2</v>
      </c>
      <c r="Y35" s="293">
        <v>8.7501999999999996E-2</v>
      </c>
      <c r="Z35" s="293">
        <v>8.788E-2</v>
      </c>
      <c r="AA35" s="293">
        <v>8.9262999999999995E-2</v>
      </c>
      <c r="AB35" s="293">
        <v>8.9245000000000005E-2</v>
      </c>
      <c r="AC35" s="293">
        <v>8.9370000000000005E-2</v>
      </c>
      <c r="AD35" s="293">
        <v>8.9401999999999995E-2</v>
      </c>
      <c r="AE35" s="293">
        <v>8.9397000000000004E-2</v>
      </c>
      <c r="AF35" s="293">
        <v>8.9370000000000005E-2</v>
      </c>
      <c r="AG35" s="293">
        <v>8.9115E-2</v>
      </c>
      <c r="AH35" s="293">
        <v>8.9362999999999998E-2</v>
      </c>
      <c r="AI35" s="293">
        <v>8.9108000000000007E-2</v>
      </c>
      <c r="AJ35" s="293">
        <v>8.9448E-2</v>
      </c>
      <c r="AK35" s="293" t="s">
        <v>41</v>
      </c>
    </row>
    <row r="36" spans="1:38" s="18" customFormat="1">
      <c r="A36" s="17" t="s">
        <v>165</v>
      </c>
      <c r="B36" s="350">
        <v>1.6338998451829002E-2</v>
      </c>
      <c r="C36" s="350">
        <v>3.2029997557401699E-2</v>
      </c>
      <c r="D36" s="350">
        <v>5.1199223846197101E-2</v>
      </c>
      <c r="E36" s="350">
        <v>6.0358572751283597E-2</v>
      </c>
      <c r="F36" s="351">
        <v>6.3932694494724301E-2</v>
      </c>
      <c r="G36" s="293">
        <v>6.3100000000000003E-2</v>
      </c>
      <c r="H36" s="293">
        <v>6.3100000000000003E-2</v>
      </c>
      <c r="I36" s="293">
        <v>8.1100000000000005E-2</v>
      </c>
      <c r="J36" s="293">
        <v>8.7099999999999997E-2</v>
      </c>
      <c r="K36" s="293">
        <v>7.9580999999999999E-2</v>
      </c>
      <c r="L36" s="293">
        <v>7.6044E-2</v>
      </c>
      <c r="M36" s="293">
        <v>7.5939000000000006E-2</v>
      </c>
      <c r="N36" s="293">
        <v>7.4647000000000005E-2</v>
      </c>
      <c r="O36" s="293">
        <v>7.6071E-2</v>
      </c>
      <c r="P36" s="293">
        <v>7.6998999999999998E-2</v>
      </c>
      <c r="Q36" s="293">
        <v>7.6729000000000006E-2</v>
      </c>
      <c r="R36" s="293">
        <v>7.7030000000000001E-2</v>
      </c>
      <c r="S36" s="293">
        <v>7.5851000000000002E-2</v>
      </c>
      <c r="T36" s="293">
        <v>7.7146000000000006E-2</v>
      </c>
      <c r="U36" s="293">
        <v>7.5544E-2</v>
      </c>
      <c r="V36" s="293">
        <v>7.5385999999999995E-2</v>
      </c>
      <c r="W36" s="293">
        <v>7.5385999999999995E-2</v>
      </c>
      <c r="X36" s="293">
        <v>7.5385999999999995E-2</v>
      </c>
      <c r="Y36" s="293">
        <v>7.5385999999999995E-2</v>
      </c>
      <c r="Z36" s="293">
        <v>7.5749999999999998E-2</v>
      </c>
      <c r="AA36" s="293">
        <v>7.7146000000000006E-2</v>
      </c>
      <c r="AB36" s="293">
        <v>7.7146000000000006E-2</v>
      </c>
      <c r="AC36" s="293">
        <v>7.7260999999999996E-2</v>
      </c>
      <c r="AD36" s="293">
        <v>7.7260999999999996E-2</v>
      </c>
      <c r="AE36" s="293">
        <v>7.7260999999999996E-2</v>
      </c>
      <c r="AF36" s="293">
        <v>7.7260999999999996E-2</v>
      </c>
      <c r="AG36" s="293">
        <v>7.7010999999999996E-2</v>
      </c>
      <c r="AH36" s="293">
        <v>7.7260999999999996E-2</v>
      </c>
      <c r="AI36" s="293">
        <v>7.7010999999999996E-2</v>
      </c>
      <c r="AJ36" s="293">
        <v>7.7376E-2</v>
      </c>
      <c r="AK36" s="294">
        <v>7.0000000000000001E-3</v>
      </c>
    </row>
    <row r="37" spans="1:38">
      <c r="A37" s="6" t="s">
        <v>164</v>
      </c>
      <c r="B37" s="348">
        <v>0</v>
      </c>
      <c r="C37" s="348">
        <v>0</v>
      </c>
      <c r="D37" s="348">
        <v>0</v>
      </c>
      <c r="E37" s="348">
        <v>0</v>
      </c>
      <c r="F37" s="349">
        <v>0</v>
      </c>
      <c r="G37" s="293">
        <v>-3.4629999999999999E-3</v>
      </c>
      <c r="H37" s="293">
        <v>-4.0679999999999996E-3</v>
      </c>
      <c r="I37" s="293">
        <v>5.0000000000000001E-3</v>
      </c>
      <c r="J37" s="293">
        <v>3.0990000000000002E-3</v>
      </c>
      <c r="K37" s="293">
        <v>1.0489999999999999E-2</v>
      </c>
      <c r="L37" s="293">
        <v>1.0786E-2</v>
      </c>
      <c r="M37" s="293">
        <v>1.0919E-2</v>
      </c>
      <c r="N37" s="293">
        <v>1.1103999999999999E-2</v>
      </c>
      <c r="O37" s="293">
        <v>1.1247E-2</v>
      </c>
      <c r="P37" s="293">
        <v>1.145E-2</v>
      </c>
      <c r="Q37" s="293">
        <v>1.1757999999999999E-2</v>
      </c>
      <c r="R37" s="293">
        <v>1.197E-2</v>
      </c>
      <c r="S37" s="293">
        <v>1.2174000000000001E-2</v>
      </c>
      <c r="T37" s="293">
        <v>1.2159E-2</v>
      </c>
      <c r="U37" s="293">
        <v>1.2178E-2</v>
      </c>
      <c r="V37" s="293">
        <v>1.2154999999999999E-2</v>
      </c>
      <c r="W37" s="293">
        <v>1.2139E-2</v>
      </c>
      <c r="X37" s="293">
        <v>1.2104E-2</v>
      </c>
      <c r="Y37" s="293">
        <v>1.2116E-2</v>
      </c>
      <c r="Z37" s="293">
        <v>1.2130999999999999E-2</v>
      </c>
      <c r="AA37" s="293">
        <v>1.2118E-2</v>
      </c>
      <c r="AB37" s="293">
        <v>1.21E-2</v>
      </c>
      <c r="AC37" s="293">
        <v>1.2109999999999999E-2</v>
      </c>
      <c r="AD37" s="293">
        <v>1.2141000000000001E-2</v>
      </c>
      <c r="AE37" s="293">
        <v>1.2137E-2</v>
      </c>
      <c r="AF37" s="293">
        <v>1.2109E-2</v>
      </c>
      <c r="AG37" s="293">
        <v>1.2102999999999999E-2</v>
      </c>
      <c r="AH37" s="293">
        <v>1.2102E-2</v>
      </c>
      <c r="AI37" s="293">
        <v>1.2096000000000001E-2</v>
      </c>
      <c r="AJ37" s="293">
        <v>1.2071999999999999E-2</v>
      </c>
      <c r="AK37" s="293" t="s">
        <v>41</v>
      </c>
    </row>
    <row r="38" spans="1:38">
      <c r="A38" s="6" t="s">
        <v>163</v>
      </c>
      <c r="B38" s="348">
        <v>0</v>
      </c>
      <c r="C38" s="348">
        <v>0</v>
      </c>
      <c r="D38" s="348">
        <v>0</v>
      </c>
      <c r="E38" s="348">
        <v>0</v>
      </c>
      <c r="F38" s="349">
        <v>0</v>
      </c>
      <c r="G38" s="293">
        <v>2.2160000000000002</v>
      </c>
      <c r="H38" s="293">
        <v>2.4</v>
      </c>
      <c r="I38" s="293">
        <v>2.4900000000000002</v>
      </c>
      <c r="J38" s="293">
        <v>2.5089999999999999</v>
      </c>
      <c r="K38" s="293">
        <v>2.5561180000000001</v>
      </c>
      <c r="L38" s="293">
        <v>2.6337290000000002</v>
      </c>
      <c r="M38" s="293">
        <v>2.6633930000000001</v>
      </c>
      <c r="N38" s="293">
        <v>2.6705079999999999</v>
      </c>
      <c r="O38" s="293">
        <v>2.669905</v>
      </c>
      <c r="P38" s="293">
        <v>2.6458759999999999</v>
      </c>
      <c r="Q38" s="293">
        <v>2.60798</v>
      </c>
      <c r="R38" s="293">
        <v>2.7045080000000001</v>
      </c>
      <c r="S38" s="293">
        <v>2.7930269999999999</v>
      </c>
      <c r="T38" s="293">
        <v>2.8390249999999999</v>
      </c>
      <c r="U38" s="293">
        <v>2.8728980000000002</v>
      </c>
      <c r="V38" s="293">
        <v>2.9033150000000001</v>
      </c>
      <c r="W38" s="293">
        <v>2.9228930000000002</v>
      </c>
      <c r="X38" s="293">
        <v>2.9406509999999999</v>
      </c>
      <c r="Y38" s="293">
        <v>2.9505080000000001</v>
      </c>
      <c r="Z38" s="293">
        <v>2.978853</v>
      </c>
      <c r="AA38" s="293">
        <v>3.0103460000000002</v>
      </c>
      <c r="AB38" s="293">
        <v>3.0288490000000001</v>
      </c>
      <c r="AC38" s="293">
        <v>3.0383969999999998</v>
      </c>
      <c r="AD38" s="293">
        <v>3.0546120000000001</v>
      </c>
      <c r="AE38" s="293">
        <v>3.0492400000000002</v>
      </c>
      <c r="AF38" s="293">
        <v>3.0289980000000001</v>
      </c>
      <c r="AG38" s="293">
        <v>3.058621</v>
      </c>
      <c r="AH38" s="293">
        <v>3.037477</v>
      </c>
      <c r="AI38" s="293">
        <v>3.013617</v>
      </c>
      <c r="AJ38" s="293">
        <v>2.983552</v>
      </c>
      <c r="AK38" s="294">
        <v>8.0000000000000002E-3</v>
      </c>
    </row>
    <row r="39" spans="1:38">
      <c r="A39" s="6" t="s">
        <v>162</v>
      </c>
      <c r="B39" s="348">
        <v>0</v>
      </c>
      <c r="C39" s="348">
        <v>0</v>
      </c>
      <c r="D39" s="348">
        <v>0</v>
      </c>
      <c r="E39" s="348">
        <v>0</v>
      </c>
      <c r="F39" s="349">
        <v>0</v>
      </c>
      <c r="G39" s="293">
        <v>0</v>
      </c>
      <c r="H39" s="293">
        <v>0</v>
      </c>
      <c r="I39" s="293">
        <v>0</v>
      </c>
      <c r="J39" s="293">
        <v>0</v>
      </c>
      <c r="K39" s="293">
        <v>0</v>
      </c>
      <c r="L39" s="293">
        <v>0</v>
      </c>
      <c r="M39" s="293">
        <v>0</v>
      </c>
      <c r="N39" s="293">
        <v>0</v>
      </c>
      <c r="O39" s="293">
        <v>0</v>
      </c>
      <c r="P39" s="293">
        <v>0</v>
      </c>
      <c r="Q39" s="293">
        <v>0</v>
      </c>
      <c r="R39" s="293">
        <v>0</v>
      </c>
      <c r="S39" s="293">
        <v>0</v>
      </c>
      <c r="T39" s="293">
        <v>0</v>
      </c>
      <c r="U39" s="293">
        <v>0</v>
      </c>
      <c r="V39" s="293">
        <v>0</v>
      </c>
      <c r="W39" s="293">
        <v>0</v>
      </c>
      <c r="X39" s="293">
        <v>0</v>
      </c>
      <c r="Y39" s="293">
        <v>0</v>
      </c>
      <c r="Z39" s="293">
        <v>0</v>
      </c>
      <c r="AA39" s="293">
        <v>0</v>
      </c>
      <c r="AB39" s="293">
        <v>0</v>
      </c>
      <c r="AC39" s="293">
        <v>0</v>
      </c>
      <c r="AD39" s="293">
        <v>0</v>
      </c>
      <c r="AE39" s="293">
        <v>0</v>
      </c>
      <c r="AF39" s="293">
        <v>0</v>
      </c>
      <c r="AG39" s="293">
        <v>0</v>
      </c>
      <c r="AH39" s="293">
        <v>0</v>
      </c>
      <c r="AI39" s="293">
        <v>0</v>
      </c>
      <c r="AJ39" s="293">
        <v>0</v>
      </c>
      <c r="AK39" s="293" t="s">
        <v>41</v>
      </c>
    </row>
    <row r="40" spans="1:38" s="270" customFormat="1">
      <c r="A40" s="269" t="s">
        <v>161</v>
      </c>
      <c r="B40" s="350">
        <v>0</v>
      </c>
      <c r="C40" s="350">
        <v>0</v>
      </c>
      <c r="D40" s="350">
        <v>0</v>
      </c>
      <c r="E40" s="350">
        <v>0</v>
      </c>
      <c r="F40" s="351">
        <v>0</v>
      </c>
      <c r="G40" s="301">
        <v>0</v>
      </c>
      <c r="H40" s="301">
        <v>3.4809526987373799E-3</v>
      </c>
      <c r="I40" s="301">
        <v>5.2319555543363103E-3</v>
      </c>
      <c r="J40" s="301">
        <v>7.8436248004436493E-3</v>
      </c>
      <c r="K40" s="301">
        <v>1.17142805829644E-2</v>
      </c>
      <c r="L40" s="301">
        <v>1.7396988347172699E-2</v>
      </c>
      <c r="M40" s="301">
        <v>2.5625614449381801E-2</v>
      </c>
      <c r="N40" s="301">
        <v>3.7305567413568497E-2</v>
      </c>
      <c r="O40" s="301">
        <v>5.34236840903759E-2</v>
      </c>
      <c r="P40" s="301">
        <v>7.4822284281253801E-2</v>
      </c>
      <c r="Q40" s="301">
        <v>0.10181753337383299</v>
      </c>
      <c r="R40" s="301">
        <v>0.133762747049332</v>
      </c>
      <c r="S40" s="301">
        <v>0.16882437467575101</v>
      </c>
      <c r="T40" s="301">
        <v>0.204265296459198</v>
      </c>
      <c r="U40" s="301">
        <v>0.237230360507965</v>
      </c>
      <c r="V40" s="301">
        <v>0.26560345292091397</v>
      </c>
      <c r="W40" s="301">
        <v>0.28843852877616899</v>
      </c>
      <c r="X40" s="301">
        <v>0.30584391951561002</v>
      </c>
      <c r="Y40" s="301">
        <v>0.31856861710548401</v>
      </c>
      <c r="Z40" s="301">
        <v>0.32759037613868702</v>
      </c>
      <c r="AA40" s="301"/>
      <c r="AB40" s="301"/>
      <c r="AC40" s="301"/>
      <c r="AD40" s="301"/>
      <c r="AE40" s="301"/>
      <c r="AF40" s="301"/>
      <c r="AG40" s="301"/>
      <c r="AH40" s="301"/>
      <c r="AI40" s="301"/>
      <c r="AJ40" s="301"/>
      <c r="AK40" s="302" t="s">
        <v>41</v>
      </c>
    </row>
    <row r="41" spans="1:38">
      <c r="A41" s="6" t="s">
        <v>691</v>
      </c>
      <c r="B41" s="348">
        <v>7.3012053966522203E-2</v>
      </c>
      <c r="C41" s="348">
        <v>0.28600034117698703</v>
      </c>
      <c r="D41" s="348">
        <v>0.24600045382976499</v>
      </c>
      <c r="E41" s="348">
        <v>0.16400466859340701</v>
      </c>
      <c r="F41" s="349">
        <v>0.31155380606651301</v>
      </c>
      <c r="G41" s="293">
        <v>0.182</v>
      </c>
      <c r="H41" s="293">
        <v>0.191</v>
      </c>
      <c r="I41" s="293">
        <v>0.193</v>
      </c>
      <c r="J41" s="293">
        <v>0.193</v>
      </c>
      <c r="K41" s="293">
        <v>0.28578500000000001</v>
      </c>
      <c r="L41" s="293">
        <v>0.28816599999999998</v>
      </c>
      <c r="M41" s="293">
        <v>0.290412</v>
      </c>
      <c r="N41" s="293">
        <v>0.29299799999999998</v>
      </c>
      <c r="O41" s="293">
        <v>0.293852</v>
      </c>
      <c r="P41" s="293">
        <v>0.29503000000000001</v>
      </c>
      <c r="Q41" s="293">
        <v>0.298292</v>
      </c>
      <c r="R41" s="293">
        <v>0.29944399999999999</v>
      </c>
      <c r="S41" s="293">
        <v>0.29972700000000002</v>
      </c>
      <c r="T41" s="293">
        <v>0.301095</v>
      </c>
      <c r="U41" s="293">
        <v>0.30102299999999999</v>
      </c>
      <c r="V41" s="293">
        <v>0.30064000000000002</v>
      </c>
      <c r="W41" s="293">
        <v>0.30251600000000001</v>
      </c>
      <c r="X41" s="293">
        <v>0.30219699999999999</v>
      </c>
      <c r="Y41" s="293">
        <v>0.30013899999999999</v>
      </c>
      <c r="Z41" s="293">
        <v>0.30297200000000002</v>
      </c>
      <c r="AA41" s="293">
        <v>0.30451</v>
      </c>
      <c r="AB41" s="293">
        <v>0.306419</v>
      </c>
      <c r="AC41" s="293">
        <v>0.30664000000000002</v>
      </c>
      <c r="AD41" s="293">
        <v>0.30698399999999998</v>
      </c>
      <c r="AE41" s="293">
        <v>0.308342</v>
      </c>
      <c r="AF41" s="293">
        <v>0.30915900000000002</v>
      </c>
      <c r="AG41" s="293">
        <v>0.30972699999999997</v>
      </c>
      <c r="AH41" s="293">
        <v>0.31073899999999999</v>
      </c>
      <c r="AI41" s="293">
        <v>0.31163999999999997</v>
      </c>
      <c r="AJ41" s="293">
        <v>0.31290899999999999</v>
      </c>
      <c r="AK41" s="294">
        <v>1.7999999999999999E-2</v>
      </c>
    </row>
    <row r="42" spans="1:38">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row>
    <row r="43" spans="1:38" s="18" customFormat="1">
      <c r="A43" s="17" t="s">
        <v>692</v>
      </c>
      <c r="B43" s="350">
        <v>20.697353363037099</v>
      </c>
      <c r="C43" s="350">
        <v>20.768030166626001</v>
      </c>
      <c r="D43" s="350">
        <v>19.647199630737301</v>
      </c>
      <c r="E43" s="350">
        <v>19.421310424804702</v>
      </c>
      <c r="F43" s="351">
        <v>19.587932586669901</v>
      </c>
      <c r="G43" s="248">
        <v>18.938583000000001</v>
      </c>
      <c r="H43" s="248">
        <v>18.592289000000001</v>
      </c>
      <c r="I43" s="248">
        <v>18.985319</v>
      </c>
      <c r="J43" s="248">
        <v>18.815241</v>
      </c>
      <c r="K43" s="248">
        <v>19.157446</v>
      </c>
      <c r="L43" s="248">
        <v>19.35895</v>
      </c>
      <c r="M43" s="248">
        <v>19.477530000000002</v>
      </c>
      <c r="N43" s="248">
        <v>19.527609000000002</v>
      </c>
      <c r="O43" s="248">
        <v>19.535461000000002</v>
      </c>
      <c r="P43" s="248">
        <v>19.520367</v>
      </c>
      <c r="Q43" s="248">
        <v>19.477088999999999</v>
      </c>
      <c r="R43" s="248">
        <v>19.437809000000001</v>
      </c>
      <c r="S43" s="248">
        <v>19.388767000000001</v>
      </c>
      <c r="T43" s="248">
        <v>19.330017000000002</v>
      </c>
      <c r="U43" s="248">
        <v>19.262318</v>
      </c>
      <c r="V43" s="248">
        <v>19.178843000000001</v>
      </c>
      <c r="W43" s="248">
        <v>19.119274000000001</v>
      </c>
      <c r="X43" s="248">
        <v>19.059887</v>
      </c>
      <c r="Y43" s="248">
        <v>18.980637000000002</v>
      </c>
      <c r="Z43" s="248">
        <v>18.926172000000001</v>
      </c>
      <c r="AA43" s="248">
        <v>18.880776999999998</v>
      </c>
      <c r="AB43" s="248">
        <v>18.838093000000001</v>
      </c>
      <c r="AC43" s="248">
        <v>18.795445999999998</v>
      </c>
      <c r="AD43" s="248">
        <v>18.768318000000001</v>
      </c>
      <c r="AE43" s="248">
        <v>18.751888000000001</v>
      </c>
      <c r="AF43" s="248">
        <v>18.731911</v>
      </c>
      <c r="AG43" s="248">
        <v>18.743359000000002</v>
      </c>
      <c r="AH43" s="248">
        <v>18.755479999999999</v>
      </c>
      <c r="AI43" s="248">
        <v>18.748524</v>
      </c>
      <c r="AJ43" s="248">
        <v>18.724962000000001</v>
      </c>
      <c r="AK43" s="249">
        <v>0</v>
      </c>
    </row>
    <row r="44" spans="1:38" s="259" customFormat="1">
      <c r="A44" s="258" t="s">
        <v>196</v>
      </c>
      <c r="B44" s="352">
        <f t="shared" ref="B44:H44" si="0">B43*365</f>
        <v>7554.5339775085413</v>
      </c>
      <c r="C44" s="352">
        <f t="shared" si="0"/>
        <v>7580.3310108184905</v>
      </c>
      <c r="D44" s="352">
        <f t="shared" si="0"/>
        <v>7171.2278652191153</v>
      </c>
      <c r="E44" s="352">
        <f t="shared" si="0"/>
        <v>7088.7783050537164</v>
      </c>
      <c r="F44" s="353">
        <f t="shared" si="0"/>
        <v>7149.5953941345133</v>
      </c>
      <c r="G44" s="303">
        <f t="shared" si="0"/>
        <v>6912.5827950000003</v>
      </c>
      <c r="H44" s="303">
        <f t="shared" si="0"/>
        <v>6786.185485</v>
      </c>
      <c r="I44" s="303">
        <f t="shared" ref="I44:AJ44" si="1">I43*365</f>
        <v>6929.6414350000005</v>
      </c>
      <c r="J44" s="303">
        <f t="shared" si="1"/>
        <v>6867.5629650000001</v>
      </c>
      <c r="K44" s="303">
        <f t="shared" si="1"/>
        <v>6992.4677899999997</v>
      </c>
      <c r="L44" s="303">
        <f t="shared" si="1"/>
        <v>7066.0167499999998</v>
      </c>
      <c r="M44" s="303">
        <f t="shared" si="1"/>
        <v>7109.2984500000002</v>
      </c>
      <c r="N44" s="303">
        <f t="shared" si="1"/>
        <v>7127.5772850000003</v>
      </c>
      <c r="O44" s="303">
        <f t="shared" si="1"/>
        <v>7130.4432650000008</v>
      </c>
      <c r="P44" s="303">
        <f t="shared" si="1"/>
        <v>7124.9339550000004</v>
      </c>
      <c r="Q44" s="303">
        <f t="shared" si="1"/>
        <v>7109.1374850000002</v>
      </c>
      <c r="R44" s="303">
        <f t="shared" si="1"/>
        <v>7094.8002850000003</v>
      </c>
      <c r="S44" s="303">
        <f t="shared" si="1"/>
        <v>7076.8999550000008</v>
      </c>
      <c r="T44" s="303">
        <f t="shared" si="1"/>
        <v>7055.4562050000004</v>
      </c>
      <c r="U44" s="303">
        <f t="shared" si="1"/>
        <v>7030.7460700000001</v>
      </c>
      <c r="V44" s="303">
        <f t="shared" si="1"/>
        <v>7000.2776949999998</v>
      </c>
      <c r="W44" s="303">
        <f t="shared" si="1"/>
        <v>6978.5350100000005</v>
      </c>
      <c r="X44" s="303">
        <f t="shared" si="1"/>
        <v>6956.8587550000002</v>
      </c>
      <c r="Y44" s="303">
        <f t="shared" si="1"/>
        <v>6927.9325050000007</v>
      </c>
      <c r="Z44" s="303">
        <f t="shared" si="1"/>
        <v>6908.05278</v>
      </c>
      <c r="AA44" s="303">
        <f t="shared" si="1"/>
        <v>6891.4836049999994</v>
      </c>
      <c r="AB44" s="303">
        <f t="shared" si="1"/>
        <v>6875.903945</v>
      </c>
      <c r="AC44" s="303">
        <f t="shared" si="1"/>
        <v>6860.3377899999996</v>
      </c>
      <c r="AD44" s="303">
        <f t="shared" si="1"/>
        <v>6850.4360700000007</v>
      </c>
      <c r="AE44" s="303">
        <f t="shared" si="1"/>
        <v>6844.43912</v>
      </c>
      <c r="AF44" s="303">
        <f t="shared" si="1"/>
        <v>6837.1475149999997</v>
      </c>
      <c r="AG44" s="303">
        <f t="shared" si="1"/>
        <v>6841.326035000001</v>
      </c>
      <c r="AH44" s="303">
        <f t="shared" si="1"/>
        <v>6845.7501999999995</v>
      </c>
      <c r="AI44" s="303">
        <f t="shared" si="1"/>
        <v>6843.21126</v>
      </c>
      <c r="AJ44" s="303">
        <f t="shared" si="1"/>
        <v>6834.6111300000002</v>
      </c>
      <c r="AK44" s="304"/>
    </row>
    <row r="45" spans="1:38" s="263" customFormat="1">
      <c r="A45" s="262" t="s">
        <v>187</v>
      </c>
      <c r="B45" s="354">
        <f>SUM(B33,B36,B40)</f>
        <v>0.28962799347937102</v>
      </c>
      <c r="C45" s="354">
        <f t="shared" ref="C45:AJ45" si="2">SUM(C33,C36,C40)</f>
        <v>0.43539400026202169</v>
      </c>
      <c r="D45" s="354">
        <f t="shared" si="2"/>
        <v>0.63372322544455517</v>
      </c>
      <c r="E45" s="354">
        <f t="shared" si="2"/>
        <v>0.75007860735058762</v>
      </c>
      <c r="F45" s="355">
        <f t="shared" si="2"/>
        <v>0.9057262316346173</v>
      </c>
      <c r="G45" s="305">
        <f t="shared" si="2"/>
        <v>0.94907600000000003</v>
      </c>
      <c r="H45" s="305">
        <f t="shared" si="2"/>
        <v>0.91023695269873739</v>
      </c>
      <c r="I45" s="305">
        <f t="shared" si="2"/>
        <v>0.92228495555433621</v>
      </c>
      <c r="J45" s="305">
        <f t="shared" si="2"/>
        <v>0.96492762480044358</v>
      </c>
      <c r="K45" s="305">
        <f t="shared" si="2"/>
        <v>0.91143528058296441</v>
      </c>
      <c r="L45" s="305">
        <f t="shared" si="2"/>
        <v>0.91577698834717269</v>
      </c>
      <c r="M45" s="305">
        <f t="shared" si="2"/>
        <v>0.93473461444938177</v>
      </c>
      <c r="N45" s="305">
        <f t="shared" si="2"/>
        <v>0.94681856741356851</v>
      </c>
      <c r="O45" s="305">
        <f t="shared" si="2"/>
        <v>0.96443668409037586</v>
      </c>
      <c r="P45" s="305">
        <f t="shared" si="2"/>
        <v>0.99222728428125384</v>
      </c>
      <c r="Q45" s="305">
        <f t="shared" si="2"/>
        <v>1.0172315333738331</v>
      </c>
      <c r="R45" s="305">
        <f t="shared" si="2"/>
        <v>1.0595427470493322</v>
      </c>
      <c r="S45" s="305">
        <f t="shared" si="2"/>
        <v>1.0990673746757511</v>
      </c>
      <c r="T45" s="305">
        <f t="shared" si="2"/>
        <v>1.1357882964591981</v>
      </c>
      <c r="U45" s="305">
        <f t="shared" si="2"/>
        <v>1.1671623605079651</v>
      </c>
      <c r="V45" s="305">
        <f t="shared" si="2"/>
        <v>1.1953814529209139</v>
      </c>
      <c r="W45" s="305">
        <f t="shared" si="2"/>
        <v>1.2190545287761689</v>
      </c>
      <c r="X45" s="305">
        <f t="shared" si="2"/>
        <v>1.2370769195156099</v>
      </c>
      <c r="Y45" s="305">
        <f t="shared" si="2"/>
        <v>1.2497896171054839</v>
      </c>
      <c r="Z45" s="305">
        <f t="shared" si="2"/>
        <v>1.2591873761386871</v>
      </c>
      <c r="AA45" s="305">
        <f t="shared" si="2"/>
        <v>0.93299300000000007</v>
      </c>
      <c r="AB45" s="305">
        <f t="shared" si="2"/>
        <v>0.93298100000000006</v>
      </c>
      <c r="AC45" s="305">
        <f t="shared" si="2"/>
        <v>0.93309600000000004</v>
      </c>
      <c r="AD45" s="305">
        <f t="shared" si="2"/>
        <v>0.93309600000000004</v>
      </c>
      <c r="AE45" s="305">
        <f t="shared" si="2"/>
        <v>0.93084500000000003</v>
      </c>
      <c r="AF45" s="305">
        <f t="shared" si="2"/>
        <v>0.92709399999999997</v>
      </c>
      <c r="AG45" s="305">
        <f t="shared" si="2"/>
        <v>0.92458599999999991</v>
      </c>
      <c r="AH45" s="305">
        <f t="shared" si="2"/>
        <v>0.92581500000000005</v>
      </c>
      <c r="AI45" s="305">
        <f t="shared" si="2"/>
        <v>0.93603499999999995</v>
      </c>
      <c r="AJ45" s="305">
        <f t="shared" si="2"/>
        <v>0.94016100000000002</v>
      </c>
      <c r="AK45" s="306"/>
    </row>
    <row r="46" spans="1:38" s="259" customFormat="1">
      <c r="A46" s="264" t="s">
        <v>193</v>
      </c>
      <c r="B46" s="350">
        <f>B45*365</f>
        <v>105.71421761997043</v>
      </c>
      <c r="C46" s="350">
        <f t="shared" ref="C46:AJ46" si="3">C45*365</f>
        <v>158.91881009563792</v>
      </c>
      <c r="D46" s="350">
        <f t="shared" si="3"/>
        <v>231.30897728726265</v>
      </c>
      <c r="E46" s="350">
        <f t="shared" si="3"/>
        <v>273.77869168296451</v>
      </c>
      <c r="F46" s="351">
        <f t="shared" si="3"/>
        <v>330.59007454663532</v>
      </c>
      <c r="G46" s="307">
        <f t="shared" si="3"/>
        <v>346.41273999999999</v>
      </c>
      <c r="H46" s="307">
        <f t="shared" si="3"/>
        <v>332.23648773503913</v>
      </c>
      <c r="I46" s="307">
        <f t="shared" si="3"/>
        <v>336.63400877733272</v>
      </c>
      <c r="J46" s="307">
        <f t="shared" si="3"/>
        <v>352.19858305216189</v>
      </c>
      <c r="K46" s="307">
        <f t="shared" si="3"/>
        <v>332.67387741278202</v>
      </c>
      <c r="L46" s="307">
        <f t="shared" si="3"/>
        <v>334.25860074671806</v>
      </c>
      <c r="M46" s="307">
        <f t="shared" si="3"/>
        <v>341.17813427402433</v>
      </c>
      <c r="N46" s="307">
        <f t="shared" si="3"/>
        <v>345.58877710595249</v>
      </c>
      <c r="O46" s="307">
        <f t="shared" si="3"/>
        <v>352.0193896929872</v>
      </c>
      <c r="P46" s="307">
        <f t="shared" si="3"/>
        <v>362.16295876265764</v>
      </c>
      <c r="Q46" s="307">
        <f t="shared" si="3"/>
        <v>371.28950968144909</v>
      </c>
      <c r="R46" s="307">
        <f t="shared" si="3"/>
        <v>386.73310267300621</v>
      </c>
      <c r="S46" s="307">
        <f t="shared" si="3"/>
        <v>401.15959175664915</v>
      </c>
      <c r="T46" s="307">
        <f t="shared" si="3"/>
        <v>414.56272820760728</v>
      </c>
      <c r="U46" s="307">
        <f t="shared" si="3"/>
        <v>426.01426158540727</v>
      </c>
      <c r="V46" s="307">
        <f t="shared" si="3"/>
        <v>436.3142303161336</v>
      </c>
      <c r="W46" s="307">
        <f t="shared" si="3"/>
        <v>444.95490300330164</v>
      </c>
      <c r="X46" s="307">
        <f t="shared" si="3"/>
        <v>451.53307562319765</v>
      </c>
      <c r="Y46" s="307">
        <f t="shared" si="3"/>
        <v>456.17321024350161</v>
      </c>
      <c r="Z46" s="307">
        <f t="shared" si="3"/>
        <v>459.60339229062083</v>
      </c>
      <c r="AA46" s="307">
        <f t="shared" si="3"/>
        <v>340.54244500000004</v>
      </c>
      <c r="AB46" s="307">
        <f t="shared" si="3"/>
        <v>340.53806500000002</v>
      </c>
      <c r="AC46" s="307">
        <f t="shared" si="3"/>
        <v>340.58004</v>
      </c>
      <c r="AD46" s="307">
        <f t="shared" si="3"/>
        <v>340.58004</v>
      </c>
      <c r="AE46" s="307">
        <f t="shared" si="3"/>
        <v>339.75842499999999</v>
      </c>
      <c r="AF46" s="307">
        <f t="shared" si="3"/>
        <v>338.38930999999997</v>
      </c>
      <c r="AG46" s="307">
        <f t="shared" si="3"/>
        <v>337.47388999999998</v>
      </c>
      <c r="AH46" s="307">
        <f t="shared" si="3"/>
        <v>337.92247500000002</v>
      </c>
      <c r="AI46" s="307">
        <f t="shared" si="3"/>
        <v>341.65277499999996</v>
      </c>
      <c r="AJ46" s="307">
        <f t="shared" si="3"/>
        <v>343.15876500000002</v>
      </c>
      <c r="AK46" s="304"/>
    </row>
    <row r="47" spans="1:38" s="259" customFormat="1">
      <c r="A47" s="264" t="s">
        <v>192</v>
      </c>
      <c r="B47" s="350"/>
      <c r="C47" s="356">
        <f>C46/B46-1</f>
        <v>0.50328700976562524</v>
      </c>
      <c r="D47" s="356">
        <f t="shared" ref="D47:Z47" si="4">D46/C46-1</f>
        <v>0.45551667010381003</v>
      </c>
      <c r="E47" s="356">
        <f t="shared" si="4"/>
        <v>0.1836059927019551</v>
      </c>
      <c r="F47" s="357">
        <f t="shared" si="4"/>
        <v>0.20750841679621423</v>
      </c>
      <c r="G47" s="308"/>
      <c r="H47" s="308">
        <f t="shared" si="4"/>
        <v>-4.0923010698050155E-2</v>
      </c>
      <c r="I47" s="308">
        <f t="shared" si="4"/>
        <v>1.32361170570785E-2</v>
      </c>
      <c r="J47" s="308">
        <f t="shared" si="4"/>
        <v>4.6235893786727766E-2</v>
      </c>
      <c r="K47" s="308">
        <f t="shared" si="4"/>
        <v>-5.5436638813757488E-2</v>
      </c>
      <c r="L47" s="308">
        <f t="shared" si="4"/>
        <v>4.7635941428900708E-3</v>
      </c>
      <c r="M47" s="308">
        <f t="shared" si="4"/>
        <v>2.0701138315807999E-2</v>
      </c>
      <c r="N47" s="308">
        <f t="shared" si="4"/>
        <v>1.2927683191988004E-2</v>
      </c>
      <c r="O47" s="308">
        <f t="shared" si="4"/>
        <v>1.8607700866001275E-2</v>
      </c>
      <c r="P47" s="308">
        <f t="shared" si="4"/>
        <v>2.8815370308201249E-2</v>
      </c>
      <c r="Q47" s="308">
        <f t="shared" si="4"/>
        <v>2.5200122480699472E-2</v>
      </c>
      <c r="R47" s="308">
        <f t="shared" si="4"/>
        <v>4.1594477055942436E-2</v>
      </c>
      <c r="S47" s="308">
        <f t="shared" si="4"/>
        <v>3.730347618016272E-2</v>
      </c>
      <c r="T47" s="308">
        <f t="shared" si="4"/>
        <v>3.3410983375137038E-2</v>
      </c>
      <c r="U47" s="308">
        <f t="shared" si="4"/>
        <v>2.762316194538661E-2</v>
      </c>
      <c r="V47" s="308">
        <f t="shared" si="4"/>
        <v>2.4177520941188968E-2</v>
      </c>
      <c r="W47" s="308">
        <f t="shared" si="4"/>
        <v>1.9803783802575969E-2</v>
      </c>
      <c r="X47" s="308">
        <f t="shared" si="4"/>
        <v>1.4783908606232909E-2</v>
      </c>
      <c r="Y47" s="308">
        <f t="shared" si="4"/>
        <v>1.0276400270123665E-2</v>
      </c>
      <c r="Z47" s="308">
        <f t="shared" si="4"/>
        <v>7.5194728013252554E-3</v>
      </c>
      <c r="AA47" s="308">
        <f t="shared" ref="AA47:AJ47" si="5">AA46/Z46-1</f>
        <v>-0.25905149806930716</v>
      </c>
      <c r="AB47" s="308">
        <f t="shared" si="5"/>
        <v>-1.2861832832666842E-5</v>
      </c>
      <c r="AC47" s="308">
        <f t="shared" si="5"/>
        <v>1.2326081667257682E-4</v>
      </c>
      <c r="AD47" s="308">
        <f t="shared" si="5"/>
        <v>0</v>
      </c>
      <c r="AE47" s="308">
        <f t="shared" si="5"/>
        <v>-2.412399152927458E-3</v>
      </c>
      <c r="AF47" s="308">
        <f t="shared" si="5"/>
        <v>-4.0296719647202606E-3</v>
      </c>
      <c r="AG47" s="308">
        <f t="shared" si="5"/>
        <v>-2.7052273016543449E-3</v>
      </c>
      <c r="AH47" s="308">
        <f t="shared" si="5"/>
        <v>1.3292435749623355E-3</v>
      </c>
      <c r="AI47" s="308">
        <f t="shared" si="5"/>
        <v>1.1038922462910827E-2</v>
      </c>
      <c r="AJ47" s="308">
        <f t="shared" si="5"/>
        <v>4.4079548307489613E-3</v>
      </c>
      <c r="AK47" s="304"/>
    </row>
    <row r="48" spans="1:38" s="265" customFormat="1">
      <c r="A48" s="262" t="s">
        <v>195</v>
      </c>
      <c r="B48" s="358">
        <f>SUM(B33,B36,B40)/B43</f>
        <v>1.3993479668594277E-2</v>
      </c>
      <c r="C48" s="358">
        <f t="shared" ref="C48:AJ48" si="6">SUM(C33,C36,C40)/C43</f>
        <v>2.0964626725248844E-2</v>
      </c>
      <c r="D48" s="358">
        <f t="shared" si="6"/>
        <v>3.2255142582921545E-2</v>
      </c>
      <c r="E48" s="358">
        <f t="shared" si="6"/>
        <v>3.8621421054708789E-2</v>
      </c>
      <c r="F48" s="359">
        <f t="shared" si="6"/>
        <v>4.6238990645239793E-2</v>
      </c>
      <c r="G48" s="309">
        <f t="shared" si="6"/>
        <v>5.0113358533740354E-2</v>
      </c>
      <c r="H48" s="309">
        <f t="shared" si="6"/>
        <v>4.8957766991398283E-2</v>
      </c>
      <c r="I48" s="309">
        <f t="shared" si="6"/>
        <v>4.8578849560248959E-2</v>
      </c>
      <c r="J48" s="309">
        <f t="shared" si="6"/>
        <v>5.1284361693822764E-2</v>
      </c>
      <c r="K48" s="309">
        <f t="shared" si="6"/>
        <v>4.7576032869045506E-2</v>
      </c>
      <c r="L48" s="309">
        <f t="shared" si="6"/>
        <v>4.7305096007127075E-2</v>
      </c>
      <c r="M48" s="309">
        <f t="shared" si="6"/>
        <v>4.7990408149769591E-2</v>
      </c>
      <c r="N48" s="309">
        <f t="shared" si="6"/>
        <v>4.8486149400757073E-2</v>
      </c>
      <c r="O48" s="309">
        <f t="shared" si="6"/>
        <v>4.9368514215783074E-2</v>
      </c>
      <c r="P48" s="309">
        <f t="shared" si="6"/>
        <v>5.0830360119830421E-2</v>
      </c>
      <c r="Q48" s="309">
        <f t="shared" si="6"/>
        <v>5.2227082464624625E-2</v>
      </c>
      <c r="R48" s="310">
        <f t="shared" si="6"/>
        <v>5.4509371249060634E-2</v>
      </c>
      <c r="S48" s="309">
        <f t="shared" si="6"/>
        <v>5.6685779692733994E-2</v>
      </c>
      <c r="T48" s="309">
        <f t="shared" si="6"/>
        <v>5.8757749486676503E-2</v>
      </c>
      <c r="U48" s="309">
        <f t="shared" si="6"/>
        <v>6.059303768673973E-2</v>
      </c>
      <c r="V48" s="309">
        <f t="shared" si="6"/>
        <v>6.2328131729370427E-2</v>
      </c>
      <c r="W48" s="309">
        <f t="shared" si="6"/>
        <v>6.3760503080617439E-2</v>
      </c>
      <c r="X48" s="309">
        <f t="shared" si="6"/>
        <v>6.4904735244002754E-2</v>
      </c>
      <c r="Y48" s="309">
        <f t="shared" si="6"/>
        <v>6.5845504400378327E-2</v>
      </c>
      <c r="Z48" s="310">
        <f t="shared" si="6"/>
        <v>6.6531540352623181E-2</v>
      </c>
      <c r="AA48" s="310">
        <f t="shared" si="6"/>
        <v>4.9414968462367842E-2</v>
      </c>
      <c r="AB48" s="310">
        <f t="shared" si="6"/>
        <v>4.9526297592861444E-2</v>
      </c>
      <c r="AC48" s="310">
        <f t="shared" si="6"/>
        <v>4.9644791616011673E-2</v>
      </c>
      <c r="AD48" s="310">
        <f t="shared" si="6"/>
        <v>4.9716548920366761E-2</v>
      </c>
      <c r="AE48" s="310">
        <f t="shared" si="6"/>
        <v>4.9640068242728409E-2</v>
      </c>
      <c r="AF48" s="310">
        <f t="shared" si="6"/>
        <v>4.9492761309831122E-2</v>
      </c>
      <c r="AG48" s="310">
        <f t="shared" si="6"/>
        <v>4.932872490998011E-2</v>
      </c>
      <c r="AH48" s="310">
        <f t="shared" si="6"/>
        <v>4.9362373023777592E-2</v>
      </c>
      <c r="AI48" s="310">
        <f t="shared" si="6"/>
        <v>4.9925796825392763E-2</v>
      </c>
      <c r="AJ48" s="310">
        <f t="shared" si="6"/>
        <v>5.0208967046234856E-2</v>
      </c>
      <c r="AK48" s="311"/>
    </row>
    <row r="49" spans="1:37" s="265" customFormat="1">
      <c r="A49" s="265" t="s">
        <v>186</v>
      </c>
      <c r="B49" s="360">
        <f>B33*365 * 42/1000</f>
        <v>4.1895202937722189</v>
      </c>
      <c r="C49" s="360">
        <f t="shared" ref="C49:AJ49" si="7">C33*365 * 42/1000</f>
        <v>6.1835701614618239</v>
      </c>
      <c r="D49" s="360">
        <f t="shared" si="7"/>
        <v>8.9300929445028281</v>
      </c>
      <c r="E49" s="360">
        <f t="shared" si="7"/>
        <v>10.57340813040733</v>
      </c>
      <c r="F49" s="361">
        <f t="shared" si="7"/>
        <v>12.90469492435456</v>
      </c>
      <c r="G49" s="312">
        <f t="shared" si="7"/>
        <v>13.58201208</v>
      </c>
      <c r="H49" s="312">
        <f t="shared" si="7"/>
        <v>12.933246479999999</v>
      </c>
      <c r="I49" s="312">
        <f t="shared" si="7"/>
        <v>12.815159489999999</v>
      </c>
      <c r="J49" s="312">
        <f t="shared" si="7"/>
        <v>13.33685472</v>
      </c>
      <c r="K49" s="312">
        <f t="shared" si="7"/>
        <v>12.572746199999999</v>
      </c>
      <c r="L49" s="312">
        <f t="shared" si="7"/>
        <v>12.606410879999997</v>
      </c>
      <c r="M49" s="312">
        <f t="shared" si="7"/>
        <v>12.7724961</v>
      </c>
      <c r="N49" s="312">
        <f t="shared" si="7"/>
        <v>12.79849578</v>
      </c>
      <c r="O49" s="312">
        <f t="shared" si="7"/>
        <v>12.799660859999999</v>
      </c>
      <c r="P49" s="312">
        <f t="shared" si="7"/>
        <v>12.883423980000002</v>
      </c>
      <c r="Q49" s="312">
        <f t="shared" si="7"/>
        <v>12.857041049999999</v>
      </c>
      <c r="R49" s="312">
        <f t="shared" si="7"/>
        <v>13.0113375</v>
      </c>
      <c r="S49" s="312">
        <f t="shared" si="7"/>
        <v>13.097829360000002</v>
      </c>
      <c r="T49" s="312">
        <f t="shared" si="7"/>
        <v>13.097599410000003</v>
      </c>
      <c r="U49" s="312">
        <f t="shared" si="7"/>
        <v>13.09776804</v>
      </c>
      <c r="V49" s="312">
        <f t="shared" si="7"/>
        <v>13.097829360000002</v>
      </c>
      <c r="W49" s="312">
        <f t="shared" si="7"/>
        <v>13.1106759</v>
      </c>
      <c r="X49" s="312">
        <f t="shared" si="7"/>
        <v>13.120134510000002</v>
      </c>
      <c r="Y49" s="312">
        <f t="shared" si="7"/>
        <v>13.11995055</v>
      </c>
      <c r="Z49" s="312">
        <f t="shared" si="7"/>
        <v>13.120134510000002</v>
      </c>
      <c r="AA49" s="312">
        <f t="shared" si="7"/>
        <v>13.120134510000002</v>
      </c>
      <c r="AB49" s="312">
        <f t="shared" si="7"/>
        <v>13.11995055</v>
      </c>
      <c r="AC49" s="312">
        <f t="shared" si="7"/>
        <v>13.11995055</v>
      </c>
      <c r="AD49" s="312">
        <f t="shared" si="7"/>
        <v>13.11995055</v>
      </c>
      <c r="AE49" s="312">
        <f t="shared" si="7"/>
        <v>13.08544272</v>
      </c>
      <c r="AF49" s="312">
        <f t="shared" si="7"/>
        <v>13.027939889999997</v>
      </c>
      <c r="AG49" s="312">
        <f t="shared" si="7"/>
        <v>12.993324749999999</v>
      </c>
      <c r="AH49" s="312">
        <f t="shared" si="7"/>
        <v>13.008332820000001</v>
      </c>
      <c r="AI49" s="312">
        <f t="shared" si="7"/>
        <v>13.168837920000001</v>
      </c>
      <c r="AJ49" s="312">
        <f t="shared" si="7"/>
        <v>13.226494050000001</v>
      </c>
      <c r="AK49" s="313"/>
    </row>
    <row r="50" spans="1:37">
      <c r="A50" s="6" t="s">
        <v>160</v>
      </c>
      <c r="R50" s="299" t="s">
        <v>0</v>
      </c>
    </row>
    <row r="51" spans="1:37">
      <c r="A51" s="6" t="s">
        <v>159</v>
      </c>
    </row>
    <row r="52" spans="1:37">
      <c r="A52" s="6" t="s">
        <v>694</v>
      </c>
      <c r="B52" s="348">
        <v>2.0520000457763699</v>
      </c>
      <c r="C52" s="348">
        <v>2.08500003814697</v>
      </c>
      <c r="D52" s="348">
        <v>2.02300000190735</v>
      </c>
      <c r="E52" s="348">
        <v>1.9900000095367401</v>
      </c>
      <c r="F52" s="349">
        <v>1.9984494447708101</v>
      </c>
      <c r="G52" s="293">
        <v>2.3039999999999998</v>
      </c>
      <c r="H52" s="293">
        <v>2.3239999999999998</v>
      </c>
      <c r="I52" s="293">
        <v>2.407</v>
      </c>
      <c r="J52" s="293">
        <v>2.4159999999999999</v>
      </c>
      <c r="K52" s="293">
        <v>2.4498690000000001</v>
      </c>
      <c r="L52" s="293">
        <v>2.5403880000000001</v>
      </c>
      <c r="M52" s="293">
        <v>2.599494</v>
      </c>
      <c r="N52" s="293">
        <v>2.6464240000000001</v>
      </c>
      <c r="O52" s="293">
        <v>2.693587</v>
      </c>
      <c r="P52" s="293">
        <v>2.7283230000000001</v>
      </c>
      <c r="Q52" s="293">
        <v>2.742324</v>
      </c>
      <c r="R52" s="293">
        <v>2.7799209999999999</v>
      </c>
      <c r="S52" s="293">
        <v>2.8150529999999998</v>
      </c>
      <c r="T52" s="293">
        <v>2.8347359999999999</v>
      </c>
      <c r="U52" s="293">
        <v>2.8433090000000001</v>
      </c>
      <c r="V52" s="293">
        <v>2.840814</v>
      </c>
      <c r="W52" s="293">
        <v>2.844868</v>
      </c>
      <c r="X52" s="293">
        <v>2.8578079999999999</v>
      </c>
      <c r="Y52" s="293">
        <v>2.8486820000000002</v>
      </c>
      <c r="Z52" s="293">
        <v>2.8402569999999998</v>
      </c>
      <c r="AA52" s="293">
        <v>2.8361179999999999</v>
      </c>
      <c r="AB52" s="293">
        <v>2.8308490000000002</v>
      </c>
      <c r="AC52" s="293">
        <v>2.8180170000000002</v>
      </c>
      <c r="AD52" s="293">
        <v>2.7924669999999998</v>
      </c>
      <c r="AE52" s="293">
        <v>2.7826710000000001</v>
      </c>
      <c r="AF52" s="293">
        <v>2.76675</v>
      </c>
      <c r="AG52" s="293">
        <v>2.7715809999999999</v>
      </c>
      <c r="AH52" s="293">
        <v>2.7629000000000001</v>
      </c>
      <c r="AI52" s="293">
        <v>2.7495129999999999</v>
      </c>
      <c r="AJ52" s="293">
        <v>2.7286790000000001</v>
      </c>
      <c r="AK52" s="294">
        <v>6.0000000000000001E-3</v>
      </c>
    </row>
    <row r="53" spans="1:37">
      <c r="A53" s="6" t="s">
        <v>693</v>
      </c>
      <c r="B53" s="348">
        <v>8.6600880604237296E-4</v>
      </c>
      <c r="C53" s="348">
        <v>1.0510511929169299E-3</v>
      </c>
      <c r="D53" s="348">
        <v>8.0768426414579196E-4</v>
      </c>
      <c r="E53" s="348">
        <v>4.3171385186724403E-4</v>
      </c>
      <c r="F53" s="349">
        <v>1.8219171324744801E-3</v>
      </c>
      <c r="G53" s="293">
        <v>1.882E-3</v>
      </c>
      <c r="H53" s="293">
        <v>9.8740000000000008E-3</v>
      </c>
      <c r="I53" s="293">
        <v>1.3136999999999999E-2</v>
      </c>
      <c r="J53" s="293">
        <v>1.4973999999999999E-2</v>
      </c>
      <c r="K53" s="293">
        <v>1.2047E-2</v>
      </c>
      <c r="L53" s="293">
        <v>2.5141E-2</v>
      </c>
      <c r="M53" s="293">
        <v>5.3563E-2</v>
      </c>
      <c r="N53" s="293">
        <v>8.0305000000000001E-2</v>
      </c>
      <c r="O53" s="293">
        <v>0.10901</v>
      </c>
      <c r="P53" s="293">
        <v>0.13106100000000001</v>
      </c>
      <c r="Q53" s="293">
        <v>0.162138</v>
      </c>
      <c r="R53" s="293">
        <v>0.20447299999999999</v>
      </c>
      <c r="S53" s="293">
        <v>0.22256600000000001</v>
      </c>
      <c r="T53" s="293">
        <v>0.242672</v>
      </c>
      <c r="U53" s="293">
        <v>0.26248500000000002</v>
      </c>
      <c r="V53" s="293">
        <v>0.279335</v>
      </c>
      <c r="W53" s="293">
        <v>0.29406700000000002</v>
      </c>
      <c r="X53" s="293">
        <v>0.30546400000000001</v>
      </c>
      <c r="Y53" s="293">
        <v>0.31323699999999999</v>
      </c>
      <c r="Z53" s="293">
        <v>0.31872699999999998</v>
      </c>
      <c r="AA53" s="293">
        <v>0.321052</v>
      </c>
      <c r="AB53" s="293">
        <v>0.31902700000000001</v>
      </c>
      <c r="AC53" s="293">
        <v>0.31467200000000001</v>
      </c>
      <c r="AD53" s="293">
        <v>0.30996699999999999</v>
      </c>
      <c r="AE53" s="293">
        <v>0.29748400000000003</v>
      </c>
      <c r="AF53" s="293">
        <v>0.28148600000000001</v>
      </c>
      <c r="AG53" s="293">
        <v>0.26450099999999999</v>
      </c>
      <c r="AH53" s="293">
        <v>0.245667</v>
      </c>
      <c r="AI53" s="293">
        <v>0.23741399999999999</v>
      </c>
      <c r="AJ53" s="293">
        <v>0.22813</v>
      </c>
      <c r="AK53" s="294">
        <v>0.11899999999999999</v>
      </c>
    </row>
    <row r="54" spans="1:37">
      <c r="A54" s="6" t="s">
        <v>695</v>
      </c>
      <c r="B54" s="348">
        <v>9.2527751922607404</v>
      </c>
      <c r="C54" s="348">
        <v>9.2857265472412092</v>
      </c>
      <c r="D54" s="348">
        <v>9.0097904205322301</v>
      </c>
      <c r="E54" s="348">
        <v>8.9638872146606392</v>
      </c>
      <c r="F54" s="349">
        <v>9.3608798980712908</v>
      </c>
      <c r="G54" s="293">
        <v>8.7543939999999996</v>
      </c>
      <c r="H54" s="293">
        <v>8.7103070000000002</v>
      </c>
      <c r="I54" s="293">
        <v>8.7047209999999993</v>
      </c>
      <c r="J54" s="293">
        <v>8.6720810000000004</v>
      </c>
      <c r="K54" s="293">
        <v>8.7711889999999997</v>
      </c>
      <c r="L54" s="293">
        <v>8.7249210000000001</v>
      </c>
      <c r="M54" s="293">
        <v>8.665521</v>
      </c>
      <c r="N54" s="293">
        <v>8.5782380000000007</v>
      </c>
      <c r="O54" s="293">
        <v>8.4654989999999994</v>
      </c>
      <c r="P54" s="293">
        <v>8.3493230000000001</v>
      </c>
      <c r="Q54" s="293">
        <v>8.2274130000000003</v>
      </c>
      <c r="R54" s="293">
        <v>8.1002519999999993</v>
      </c>
      <c r="S54" s="293">
        <v>7.9630890000000001</v>
      </c>
      <c r="T54" s="293">
        <v>7.8215009999999996</v>
      </c>
      <c r="U54" s="293">
        <v>7.6724129999999997</v>
      </c>
      <c r="V54" s="293">
        <v>7.5382249999999997</v>
      </c>
      <c r="W54" s="293">
        <v>7.4181600000000003</v>
      </c>
      <c r="X54" s="293">
        <v>7.3157300000000003</v>
      </c>
      <c r="Y54" s="293">
        <v>7.224996</v>
      </c>
      <c r="Z54" s="293">
        <v>7.1462729999999999</v>
      </c>
      <c r="AA54" s="293">
        <v>7.080946</v>
      </c>
      <c r="AB54" s="293">
        <v>7.0268600000000001</v>
      </c>
      <c r="AC54" s="293">
        <v>6.9825390000000001</v>
      </c>
      <c r="AD54" s="293">
        <v>6.943378</v>
      </c>
      <c r="AE54" s="293">
        <v>6.9093359999999997</v>
      </c>
      <c r="AF54" s="293">
        <v>6.8818789999999996</v>
      </c>
      <c r="AG54" s="293">
        <v>6.8622290000000001</v>
      </c>
      <c r="AH54" s="293">
        <v>6.8497510000000004</v>
      </c>
      <c r="AI54" s="293">
        <v>6.8444979999999997</v>
      </c>
      <c r="AJ54" s="293">
        <v>6.8408179999999996</v>
      </c>
      <c r="AK54" s="294">
        <v>-8.9999999999999993E-3</v>
      </c>
    </row>
    <row r="55" spans="1:37">
      <c r="A55" s="6" t="s">
        <v>696</v>
      </c>
      <c r="B55" s="348">
        <v>1.63300001621246</v>
      </c>
      <c r="C55" s="348">
        <v>1.6219999790191699</v>
      </c>
      <c r="D55" s="348">
        <v>1.5329999923706099</v>
      </c>
      <c r="E55" s="348">
        <v>1.47300004959106</v>
      </c>
      <c r="F55" s="349">
        <v>1.45558297634125</v>
      </c>
      <c r="G55" s="293">
        <v>1.425</v>
      </c>
      <c r="H55" s="293">
        <v>1.399</v>
      </c>
      <c r="I55" s="293">
        <v>1.4039999999999999</v>
      </c>
      <c r="J55" s="293">
        <v>1.4059999999999999</v>
      </c>
      <c r="K55" s="293">
        <v>1.459821</v>
      </c>
      <c r="L55" s="293">
        <v>1.466666</v>
      </c>
      <c r="M55" s="293">
        <v>1.4738910000000001</v>
      </c>
      <c r="N55" s="293">
        <v>1.4802960000000001</v>
      </c>
      <c r="O55" s="293">
        <v>1.4860789999999999</v>
      </c>
      <c r="P55" s="293">
        <v>1.491026</v>
      </c>
      <c r="Q55" s="293">
        <v>1.496483</v>
      </c>
      <c r="R55" s="293">
        <v>1.5023390000000001</v>
      </c>
      <c r="S55" s="293">
        <v>1.5080819999999999</v>
      </c>
      <c r="T55" s="293">
        <v>1.514818</v>
      </c>
      <c r="U55" s="293">
        <v>1.5222910000000001</v>
      </c>
      <c r="V55" s="293">
        <v>1.529134</v>
      </c>
      <c r="W55" s="293">
        <v>1.5350699999999999</v>
      </c>
      <c r="X55" s="293">
        <v>1.540705</v>
      </c>
      <c r="Y55" s="293">
        <v>1.5457909999999999</v>
      </c>
      <c r="Z55" s="293">
        <v>1.550583</v>
      </c>
      <c r="AA55" s="293">
        <v>1.555024</v>
      </c>
      <c r="AB55" s="293">
        <v>1.559142</v>
      </c>
      <c r="AC55" s="293">
        <v>1.562889</v>
      </c>
      <c r="AD55" s="293">
        <v>1.5661639999999999</v>
      </c>
      <c r="AE55" s="293">
        <v>1.5691090000000001</v>
      </c>
      <c r="AF55" s="293">
        <v>1.5733360000000001</v>
      </c>
      <c r="AG55" s="293">
        <v>1.577515</v>
      </c>
      <c r="AH55" s="293">
        <v>1.5816300000000001</v>
      </c>
      <c r="AI55" s="293">
        <v>1.585529</v>
      </c>
      <c r="AJ55" s="293">
        <v>1.5896079999999999</v>
      </c>
      <c r="AK55" s="294">
        <v>5.0000000000000001E-3</v>
      </c>
    </row>
    <row r="56" spans="1:37">
      <c r="A56" s="6" t="s">
        <v>697</v>
      </c>
      <c r="B56" s="348">
        <v>4.1690001487731898</v>
      </c>
      <c r="C56" s="348">
        <v>4.1960000991821298</v>
      </c>
      <c r="D56" s="348">
        <v>3.9430000782012899</v>
      </c>
      <c r="E56" s="348">
        <v>3.90199995040894</v>
      </c>
      <c r="F56" s="349">
        <v>4.0923304557800302</v>
      </c>
      <c r="G56" s="293">
        <v>3.899</v>
      </c>
      <c r="H56" s="293">
        <v>3.7429999999999999</v>
      </c>
      <c r="I56" s="293">
        <v>3.859</v>
      </c>
      <c r="J56" s="293">
        <v>3.9089999999999998</v>
      </c>
      <c r="K56" s="293">
        <v>4.0858679999999996</v>
      </c>
      <c r="L56" s="293">
        <v>4.177359</v>
      </c>
      <c r="M56" s="293">
        <v>4.228364</v>
      </c>
      <c r="N56" s="293">
        <v>4.2508220000000003</v>
      </c>
      <c r="O56" s="293">
        <v>4.2730649999999999</v>
      </c>
      <c r="P56" s="293">
        <v>4.295331</v>
      </c>
      <c r="Q56" s="293">
        <v>4.319947</v>
      </c>
      <c r="R56" s="293">
        <v>4.3484850000000002</v>
      </c>
      <c r="S56" s="293">
        <v>4.3784619999999999</v>
      </c>
      <c r="T56" s="293">
        <v>4.4044730000000003</v>
      </c>
      <c r="U56" s="293">
        <v>4.436998</v>
      </c>
      <c r="V56" s="293">
        <v>4.460839</v>
      </c>
      <c r="W56" s="293">
        <v>4.4796500000000004</v>
      </c>
      <c r="X56" s="293">
        <v>4.4870289999999997</v>
      </c>
      <c r="Y56" s="293">
        <v>4.4989540000000003</v>
      </c>
      <c r="Z56" s="293">
        <v>4.5163840000000004</v>
      </c>
      <c r="AA56" s="293">
        <v>4.5280180000000003</v>
      </c>
      <c r="AB56" s="293">
        <v>4.5344899999999999</v>
      </c>
      <c r="AC56" s="293">
        <v>4.5444589999999998</v>
      </c>
      <c r="AD56" s="293">
        <v>4.5662190000000002</v>
      </c>
      <c r="AE56" s="293">
        <v>4.5865479999999996</v>
      </c>
      <c r="AF56" s="293">
        <v>4.5978500000000002</v>
      </c>
      <c r="AG56" s="293">
        <v>4.6070399999999996</v>
      </c>
      <c r="AH56" s="293">
        <v>4.6156879999999996</v>
      </c>
      <c r="AI56" s="293">
        <v>4.6224400000000001</v>
      </c>
      <c r="AJ56" s="293">
        <v>4.6207630000000002</v>
      </c>
      <c r="AK56" s="294">
        <v>8.0000000000000002E-3</v>
      </c>
    </row>
    <row r="57" spans="1:37">
      <c r="A57" s="6" t="s">
        <v>158</v>
      </c>
      <c r="B57" s="348">
        <v>3.21000003814697</v>
      </c>
      <c r="C57" s="348">
        <v>3.4670000076293901</v>
      </c>
      <c r="D57" s="348">
        <v>3.46799993515015</v>
      </c>
      <c r="E57" s="348">
        <v>3.4189999103546098</v>
      </c>
      <c r="F57" s="349">
        <v>3.47832202911377</v>
      </c>
      <c r="G57" s="293">
        <v>3.5059999999999998</v>
      </c>
      <c r="H57" s="293">
        <v>3.448</v>
      </c>
      <c r="I57" s="293">
        <v>3.5550000000000002</v>
      </c>
      <c r="J57" s="293">
        <v>3.601</v>
      </c>
      <c r="K57" s="293">
        <v>3.6780590000000002</v>
      </c>
      <c r="L57" s="293">
        <v>3.788999</v>
      </c>
      <c r="M57" s="293">
        <v>3.841418</v>
      </c>
      <c r="N57" s="293">
        <v>3.888255</v>
      </c>
      <c r="O57" s="293">
        <v>3.9148960000000002</v>
      </c>
      <c r="P57" s="293">
        <v>3.942434</v>
      </c>
      <c r="Q57" s="293">
        <v>3.9721639999999998</v>
      </c>
      <c r="R57" s="293">
        <v>4.005528</v>
      </c>
      <c r="S57" s="293">
        <v>4.0400039999999997</v>
      </c>
      <c r="T57" s="293">
        <v>4.0698509999999999</v>
      </c>
      <c r="U57" s="293">
        <v>4.1063919999999996</v>
      </c>
      <c r="V57" s="293">
        <v>4.1354759999999997</v>
      </c>
      <c r="W57" s="293">
        <v>4.1591009999999997</v>
      </c>
      <c r="X57" s="293">
        <v>4.1709329999999998</v>
      </c>
      <c r="Y57" s="293">
        <v>4.1869290000000001</v>
      </c>
      <c r="Z57" s="293">
        <v>4.2079300000000002</v>
      </c>
      <c r="AA57" s="293">
        <v>4.2245819999999998</v>
      </c>
      <c r="AB57" s="293">
        <v>4.2349610000000002</v>
      </c>
      <c r="AC57" s="293">
        <v>4.2486269999999999</v>
      </c>
      <c r="AD57" s="293">
        <v>4.2736000000000001</v>
      </c>
      <c r="AE57" s="293">
        <v>4.2970110000000004</v>
      </c>
      <c r="AF57" s="293">
        <v>4.3111389999999998</v>
      </c>
      <c r="AG57" s="293">
        <v>4.3229870000000004</v>
      </c>
      <c r="AH57" s="293">
        <v>4.3342970000000003</v>
      </c>
      <c r="AI57" s="293">
        <v>4.3436260000000004</v>
      </c>
      <c r="AJ57" s="293">
        <v>4.344544</v>
      </c>
      <c r="AK57" s="294">
        <v>8.0000000000000002E-3</v>
      </c>
    </row>
    <row r="58" spans="1:37">
      <c r="A58" s="6" t="s">
        <v>157</v>
      </c>
      <c r="B58" s="348">
        <v>0.68900001049041704</v>
      </c>
      <c r="C58" s="348">
        <v>0.72299998998642001</v>
      </c>
      <c r="D58" s="348">
        <v>0.60799998044967696</v>
      </c>
      <c r="E58" s="348">
        <v>0.58099997043609597</v>
      </c>
      <c r="F58" s="349">
        <v>0.63298153877258301</v>
      </c>
      <c r="G58" s="293">
        <v>0.46100000000000002</v>
      </c>
      <c r="H58" s="293">
        <v>0.34499999999999997</v>
      </c>
      <c r="I58" s="293">
        <v>0.32200000000000001</v>
      </c>
      <c r="J58" s="293">
        <v>0.35</v>
      </c>
      <c r="K58" s="293">
        <v>0.38553500000000002</v>
      </c>
      <c r="L58" s="293">
        <v>0.39021600000000001</v>
      </c>
      <c r="M58" s="293">
        <v>0.38447300000000001</v>
      </c>
      <c r="N58" s="293">
        <v>0.390044</v>
      </c>
      <c r="O58" s="293">
        <v>0.38984200000000002</v>
      </c>
      <c r="P58" s="293">
        <v>0.38874799999999998</v>
      </c>
      <c r="Q58" s="293">
        <v>0.38986300000000002</v>
      </c>
      <c r="R58" s="293">
        <v>0.38962000000000002</v>
      </c>
      <c r="S58" s="293">
        <v>0.390509</v>
      </c>
      <c r="T58" s="293">
        <v>0.392071</v>
      </c>
      <c r="U58" s="293">
        <v>0.392706</v>
      </c>
      <c r="V58" s="293">
        <v>0.39272899999999999</v>
      </c>
      <c r="W58" s="293">
        <v>0.39312000000000002</v>
      </c>
      <c r="X58" s="293">
        <v>0.39413599999999999</v>
      </c>
      <c r="Y58" s="293">
        <v>0.39485900000000002</v>
      </c>
      <c r="Z58" s="293">
        <v>0.396202</v>
      </c>
      <c r="AA58" s="293">
        <v>0.39659499999999998</v>
      </c>
      <c r="AB58" s="293">
        <v>0.39696300000000001</v>
      </c>
      <c r="AC58" s="293">
        <v>0.398011</v>
      </c>
      <c r="AD58" s="293">
        <v>0.39871400000000001</v>
      </c>
      <c r="AE58" s="293">
        <v>0.39992499999999997</v>
      </c>
      <c r="AF58" s="293">
        <v>0.40121899999999999</v>
      </c>
      <c r="AG58" s="293">
        <v>0.40172999999999998</v>
      </c>
      <c r="AH58" s="293">
        <v>0.402443</v>
      </c>
      <c r="AI58" s="293">
        <v>0.40342099999999997</v>
      </c>
      <c r="AJ58" s="293">
        <v>0.40445900000000001</v>
      </c>
      <c r="AK58" s="294">
        <v>6.0000000000000001E-3</v>
      </c>
    </row>
    <row r="59" spans="1:37">
      <c r="A59" s="6" t="s">
        <v>698</v>
      </c>
      <c r="B59" s="348">
        <v>2.8580451011657702</v>
      </c>
      <c r="C59" s="348">
        <v>2.73703241348267</v>
      </c>
      <c r="D59" s="348">
        <v>2.4269983768463099</v>
      </c>
      <c r="E59" s="348">
        <v>2.3350048065185498</v>
      </c>
      <c r="F59" s="349">
        <v>2.2457344532012899</v>
      </c>
      <c r="G59" s="293">
        <v>2.0800260000000002</v>
      </c>
      <c r="H59" s="293">
        <v>1.965076</v>
      </c>
      <c r="I59" s="293">
        <v>1.942002</v>
      </c>
      <c r="J59" s="293">
        <v>1.9470000000000001</v>
      </c>
      <c r="K59" s="293">
        <v>2.0148790000000001</v>
      </c>
      <c r="L59" s="293">
        <v>2.0685479999999998</v>
      </c>
      <c r="M59" s="293">
        <v>2.1349170000000002</v>
      </c>
      <c r="N59" s="293">
        <v>2.1911809999999998</v>
      </c>
      <c r="O59" s="293">
        <v>2.2368299999999999</v>
      </c>
      <c r="P59" s="293">
        <v>2.276913</v>
      </c>
      <c r="Q59" s="293">
        <v>2.3108819999999999</v>
      </c>
      <c r="R59" s="293">
        <v>2.3269329999999999</v>
      </c>
      <c r="S59" s="293">
        <v>2.343264</v>
      </c>
      <c r="T59" s="293">
        <v>2.3722750000000001</v>
      </c>
      <c r="U59" s="293">
        <v>2.404312</v>
      </c>
      <c r="V59" s="293">
        <v>2.4265159999999999</v>
      </c>
      <c r="W59" s="293">
        <v>2.458132</v>
      </c>
      <c r="X59" s="293">
        <v>2.474024</v>
      </c>
      <c r="Y59" s="293">
        <v>2.4762659999999999</v>
      </c>
      <c r="Z59" s="293">
        <v>2.4857459999999998</v>
      </c>
      <c r="AA59" s="293">
        <v>2.4935139999999998</v>
      </c>
      <c r="AB59" s="293">
        <v>2.4994040000000002</v>
      </c>
      <c r="AC59" s="293">
        <v>2.4986790000000001</v>
      </c>
      <c r="AD59" s="293">
        <v>2.5103719999999998</v>
      </c>
      <c r="AE59" s="293">
        <v>2.5131139999999998</v>
      </c>
      <c r="AF59" s="293">
        <v>2.519142</v>
      </c>
      <c r="AG59" s="293">
        <v>2.531539</v>
      </c>
      <c r="AH59" s="293">
        <v>2.5507759999999999</v>
      </c>
      <c r="AI59" s="293">
        <v>2.550128</v>
      </c>
      <c r="AJ59" s="293">
        <v>2.5471759999999999</v>
      </c>
      <c r="AK59" s="294">
        <v>8.9999999999999993E-3</v>
      </c>
    </row>
    <row r="60" spans="1:37">
      <c r="A60" s="6" t="s">
        <v>156</v>
      </c>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1:37">
      <c r="A61" s="6" t="s">
        <v>155</v>
      </c>
      <c r="B61" s="348">
        <v>1.0618205070495601</v>
      </c>
      <c r="C61" s="348">
        <v>1.1093590259552</v>
      </c>
      <c r="D61" s="348">
        <v>1.0993635654449501</v>
      </c>
      <c r="E61" s="348">
        <v>1.10606873035431</v>
      </c>
      <c r="F61" s="349">
        <v>1.0538341999053999</v>
      </c>
      <c r="G61" s="293">
        <v>0.96948900000000005</v>
      </c>
      <c r="H61" s="293">
        <v>0.94076099999999996</v>
      </c>
      <c r="I61" s="293">
        <v>0.95062599999999997</v>
      </c>
      <c r="J61" s="293">
        <v>0.94062699999999999</v>
      </c>
      <c r="K61" s="293">
        <v>0.91689699999999996</v>
      </c>
      <c r="L61" s="293">
        <v>0.91578099999999996</v>
      </c>
      <c r="M61" s="293">
        <v>0.90966899999999995</v>
      </c>
      <c r="N61" s="293">
        <v>0.90114399999999995</v>
      </c>
      <c r="O61" s="293">
        <v>0.89199799999999996</v>
      </c>
      <c r="P61" s="293">
        <v>0.88283199999999995</v>
      </c>
      <c r="Q61" s="293">
        <v>0.87347300000000005</v>
      </c>
      <c r="R61" s="293">
        <v>0.86438899999999996</v>
      </c>
      <c r="S61" s="293">
        <v>0.85625499999999999</v>
      </c>
      <c r="T61" s="293">
        <v>0.84867599999999999</v>
      </c>
      <c r="U61" s="293">
        <v>0.84107299999999996</v>
      </c>
      <c r="V61" s="293">
        <v>0.83371399999999996</v>
      </c>
      <c r="W61" s="293">
        <v>0.82639200000000002</v>
      </c>
      <c r="X61" s="293">
        <v>0.81992799999999999</v>
      </c>
      <c r="Y61" s="293">
        <v>0.81319300000000005</v>
      </c>
      <c r="Z61" s="293">
        <v>0.80710899999999997</v>
      </c>
      <c r="AA61" s="293">
        <v>0.80122000000000004</v>
      </c>
      <c r="AB61" s="293">
        <v>0.795458</v>
      </c>
      <c r="AC61" s="293">
        <v>0.79006900000000002</v>
      </c>
      <c r="AD61" s="293">
        <v>0.78411900000000001</v>
      </c>
      <c r="AE61" s="293">
        <v>0.77970600000000001</v>
      </c>
      <c r="AF61" s="293">
        <v>0.77555200000000002</v>
      </c>
      <c r="AG61" s="293">
        <v>0.771922</v>
      </c>
      <c r="AH61" s="293">
        <v>0.76868800000000004</v>
      </c>
      <c r="AI61" s="293">
        <v>0.76499200000000001</v>
      </c>
      <c r="AJ61" s="293">
        <v>0.76103399999999999</v>
      </c>
      <c r="AK61" s="294">
        <v>-8.0000000000000002E-3</v>
      </c>
    </row>
    <row r="62" spans="1:37">
      <c r="A62" s="6" t="s">
        <v>699</v>
      </c>
      <c r="B62" s="348">
        <v>5.3221449851989702</v>
      </c>
      <c r="C62" s="348">
        <v>5.2595095634460396</v>
      </c>
      <c r="D62" s="348">
        <v>4.9765362739562997</v>
      </c>
      <c r="E62" s="348">
        <v>4.70910596847534</v>
      </c>
      <c r="F62" s="349">
        <v>4.5219602584838903</v>
      </c>
      <c r="G62" s="293">
        <v>4.4511919999999998</v>
      </c>
      <c r="H62" s="293">
        <v>4.421297</v>
      </c>
      <c r="I62" s="293">
        <v>4.5209929999999998</v>
      </c>
      <c r="J62" s="293">
        <v>4.6163509999999999</v>
      </c>
      <c r="K62" s="293">
        <v>4.7672689999999998</v>
      </c>
      <c r="L62" s="293">
        <v>4.940448</v>
      </c>
      <c r="M62" s="293">
        <v>5.0828059999999997</v>
      </c>
      <c r="N62" s="293">
        <v>5.1973799999999999</v>
      </c>
      <c r="O62" s="293">
        <v>5.2962569999999998</v>
      </c>
      <c r="P62" s="293">
        <v>5.3737599999999999</v>
      </c>
      <c r="Q62" s="293">
        <v>5.42516</v>
      </c>
      <c r="R62" s="293">
        <v>5.4817600000000004</v>
      </c>
      <c r="S62" s="293">
        <v>5.536664</v>
      </c>
      <c r="T62" s="293">
        <v>5.5895760000000001</v>
      </c>
      <c r="U62" s="293">
        <v>5.635637</v>
      </c>
      <c r="V62" s="293">
        <v>5.6575449999999998</v>
      </c>
      <c r="W62" s="293">
        <v>5.6945290000000002</v>
      </c>
      <c r="X62" s="293">
        <v>5.724005</v>
      </c>
      <c r="Y62" s="293">
        <v>5.7184200000000001</v>
      </c>
      <c r="Z62" s="293">
        <v>5.7229380000000001</v>
      </c>
      <c r="AA62" s="293">
        <v>5.7270849999999998</v>
      </c>
      <c r="AB62" s="293">
        <v>5.7279549999999997</v>
      </c>
      <c r="AC62" s="293">
        <v>5.7151949999999996</v>
      </c>
      <c r="AD62" s="293">
        <v>5.7039289999999996</v>
      </c>
      <c r="AE62" s="293">
        <v>5.6985010000000003</v>
      </c>
      <c r="AF62" s="293">
        <v>5.6904269999999997</v>
      </c>
      <c r="AG62" s="293">
        <v>5.7088890000000001</v>
      </c>
      <c r="AH62" s="293">
        <v>5.7191020000000004</v>
      </c>
      <c r="AI62" s="293">
        <v>5.7061400000000004</v>
      </c>
      <c r="AJ62" s="293">
        <v>5.6839209999999998</v>
      </c>
      <c r="AK62" s="294">
        <v>8.9999999999999993E-3</v>
      </c>
    </row>
    <row r="63" spans="1:37">
      <c r="A63" s="6" t="s">
        <v>154</v>
      </c>
      <c r="B63" s="348">
        <v>14.205528259277299</v>
      </c>
      <c r="C63" s="348">
        <v>14.253752708435099</v>
      </c>
      <c r="D63" s="348">
        <v>13.661909103393601</v>
      </c>
      <c r="E63" s="348">
        <v>13.477608680725099</v>
      </c>
      <c r="F63" s="349">
        <v>13.9932947158813</v>
      </c>
      <c r="G63" s="293">
        <v>13.653123000000001</v>
      </c>
      <c r="H63" s="293">
        <v>13.443807</v>
      </c>
      <c r="I63" s="293">
        <v>13.46326</v>
      </c>
      <c r="J63" s="293">
        <v>13.410075000000001</v>
      </c>
      <c r="K63" s="293">
        <v>13.391593</v>
      </c>
      <c r="L63" s="293">
        <v>13.423278</v>
      </c>
      <c r="M63" s="293">
        <v>13.416093</v>
      </c>
      <c r="N63" s="293">
        <v>13.359128999999999</v>
      </c>
      <c r="O63" s="293">
        <v>13.277658000000001</v>
      </c>
      <c r="P63" s="293">
        <v>13.193913999999999</v>
      </c>
      <c r="Q63" s="293">
        <v>13.108468</v>
      </c>
      <c r="R63" s="293">
        <v>13.021044</v>
      </c>
      <c r="S63" s="293">
        <v>12.924597</v>
      </c>
      <c r="T63" s="293">
        <v>12.819832</v>
      </c>
      <c r="U63" s="293">
        <v>12.713536</v>
      </c>
      <c r="V63" s="293">
        <v>12.616394</v>
      </c>
      <c r="W63" s="293">
        <v>12.527696000000001</v>
      </c>
      <c r="X63" s="293">
        <v>12.445028000000001</v>
      </c>
      <c r="Y63" s="293">
        <v>12.377145000000001</v>
      </c>
      <c r="Z63" s="293">
        <v>12.324268</v>
      </c>
      <c r="AA63" s="293">
        <v>12.281888</v>
      </c>
      <c r="AB63" s="293">
        <v>12.244210000000001</v>
      </c>
      <c r="AC63" s="293">
        <v>12.219082999999999</v>
      </c>
      <c r="AD63" s="293">
        <v>12.208591999999999</v>
      </c>
      <c r="AE63" s="293">
        <v>12.201549</v>
      </c>
      <c r="AF63" s="293">
        <v>12.192887000000001</v>
      </c>
      <c r="AG63" s="293">
        <v>12.189211999999999</v>
      </c>
      <c r="AH63" s="293">
        <v>12.193395000000001</v>
      </c>
      <c r="AI63" s="293">
        <v>12.201965</v>
      </c>
      <c r="AJ63" s="293">
        <v>12.203708000000001</v>
      </c>
      <c r="AK63" s="294">
        <v>-3.0000000000000001E-3</v>
      </c>
    </row>
    <row r="64" spans="1:37">
      <c r="A64" s="6" t="s">
        <v>700</v>
      </c>
      <c r="B64" s="348">
        <v>0.28576692938804599</v>
      </c>
      <c r="C64" s="348">
        <v>0.295045405626297</v>
      </c>
      <c r="D64" s="348">
        <v>0.215673848986626</v>
      </c>
      <c r="E64" s="348">
        <v>0.21838557720184301</v>
      </c>
      <c r="F64" s="349">
        <v>0.21773074567317999</v>
      </c>
      <c r="G64" s="293">
        <v>0.13995199999999999</v>
      </c>
      <c r="H64" s="293">
        <v>0.10258100000000001</v>
      </c>
      <c r="I64" s="293">
        <v>9.1968999999999995E-2</v>
      </c>
      <c r="J64" s="293">
        <v>9.2428999999999997E-2</v>
      </c>
      <c r="K64" s="293">
        <v>9.2261999999999997E-2</v>
      </c>
      <c r="L64" s="293">
        <v>8.9524000000000006E-2</v>
      </c>
      <c r="M64" s="293">
        <v>7.9076999999999995E-2</v>
      </c>
      <c r="N64" s="293">
        <v>8.0381999999999995E-2</v>
      </c>
      <c r="O64" s="293">
        <v>8.0076999999999995E-2</v>
      </c>
      <c r="P64" s="293">
        <v>8.0298999999999995E-2</v>
      </c>
      <c r="Q64" s="293">
        <v>8.0979999999999996E-2</v>
      </c>
      <c r="R64" s="293">
        <v>8.1548999999999996E-2</v>
      </c>
      <c r="S64" s="293">
        <v>8.2155000000000006E-2</v>
      </c>
      <c r="T64" s="293">
        <v>8.3019999999999997E-2</v>
      </c>
      <c r="U64" s="293">
        <v>8.3024000000000001E-2</v>
      </c>
      <c r="V64" s="293">
        <v>8.1849000000000005E-2</v>
      </c>
      <c r="W64" s="293">
        <v>8.1641000000000005E-2</v>
      </c>
      <c r="X64" s="293">
        <v>8.1735000000000002E-2</v>
      </c>
      <c r="Y64" s="293">
        <v>8.2040000000000002E-2</v>
      </c>
      <c r="Z64" s="293">
        <v>8.2365999999999995E-2</v>
      </c>
      <c r="AA64" s="293">
        <v>8.1250000000000003E-2</v>
      </c>
      <c r="AB64" s="293">
        <v>8.1303E-2</v>
      </c>
      <c r="AC64" s="293">
        <v>8.1448999999999994E-2</v>
      </c>
      <c r="AD64" s="293">
        <v>8.1864999999999993E-2</v>
      </c>
      <c r="AE64" s="293">
        <v>8.2123000000000002E-2</v>
      </c>
      <c r="AF64" s="293">
        <v>8.2472000000000004E-2</v>
      </c>
      <c r="AG64" s="293">
        <v>8.2769999999999996E-2</v>
      </c>
      <c r="AH64" s="293">
        <v>8.3155000000000007E-2</v>
      </c>
      <c r="AI64" s="293">
        <v>8.3571999999999994E-2</v>
      </c>
      <c r="AJ64" s="293">
        <v>8.3961999999999995E-2</v>
      </c>
      <c r="AK64" s="294">
        <v>-7.0000000000000001E-3</v>
      </c>
    </row>
    <row r="65" spans="1:37">
      <c r="A65" s="6" t="s">
        <v>153</v>
      </c>
      <c r="B65" s="348">
        <v>20.654685974121101</v>
      </c>
      <c r="C65" s="348">
        <v>20.6498107910156</v>
      </c>
      <c r="D65" s="348">
        <v>19.5445957183838</v>
      </c>
      <c r="E65" s="348">
        <v>19.245325088501001</v>
      </c>
      <c r="F65" s="349">
        <v>19.787778854370099</v>
      </c>
      <c r="G65" s="248">
        <v>18.92342</v>
      </c>
      <c r="H65" s="248">
        <v>18.486381999999999</v>
      </c>
      <c r="I65" s="248">
        <v>18.638722999999999</v>
      </c>
      <c r="J65" s="248">
        <v>18.700082999999999</v>
      </c>
      <c r="K65" s="248">
        <v>19.167159999999999</v>
      </c>
      <c r="L65" s="248">
        <v>19.368099000000001</v>
      </c>
      <c r="M65" s="248">
        <v>19.486657999999998</v>
      </c>
      <c r="N65" s="248">
        <v>19.537004</v>
      </c>
      <c r="O65" s="248">
        <v>19.544903000000001</v>
      </c>
      <c r="P65" s="248">
        <v>19.529665000000001</v>
      </c>
      <c r="Q65" s="248">
        <v>19.486916000000001</v>
      </c>
      <c r="R65" s="248">
        <v>19.44755</v>
      </c>
      <c r="S65" s="248">
        <v>19.398457000000001</v>
      </c>
      <c r="T65" s="248">
        <v>19.339873999999998</v>
      </c>
      <c r="U65" s="248">
        <v>19.272027999999999</v>
      </c>
      <c r="V65" s="248">
        <v>19.188255000000002</v>
      </c>
      <c r="W65" s="248">
        <v>19.129000000000001</v>
      </c>
      <c r="X65" s="248">
        <v>19.069431000000002</v>
      </c>
      <c r="Y65" s="248">
        <v>18.989547999999999</v>
      </c>
      <c r="Z65" s="248">
        <v>18.935445999999999</v>
      </c>
      <c r="AA65" s="248">
        <v>18.890217</v>
      </c>
      <c r="AB65" s="248">
        <v>18.847709999999999</v>
      </c>
      <c r="AC65" s="248">
        <v>18.804594000000002</v>
      </c>
      <c r="AD65" s="248">
        <v>18.777315000000002</v>
      </c>
      <c r="AE65" s="248">
        <v>18.760704</v>
      </c>
      <c r="AF65" s="248">
        <v>18.740176999999999</v>
      </c>
      <c r="AG65" s="248">
        <v>18.751633000000002</v>
      </c>
      <c r="AH65" s="248">
        <v>18.763190999999999</v>
      </c>
      <c r="AI65" s="248">
        <v>18.755531000000001</v>
      </c>
      <c r="AJ65" s="248">
        <v>18.731504000000001</v>
      </c>
      <c r="AK65" s="249">
        <v>0</v>
      </c>
    </row>
    <row r="66" spans="1:3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c r="A67" s="6" t="s">
        <v>701</v>
      </c>
      <c r="B67" s="348">
        <v>4.2667388916015597E-2</v>
      </c>
      <c r="C67" s="348">
        <v>0.11821937561035201</v>
      </c>
      <c r="D67" s="348">
        <v>0.102603912353516</v>
      </c>
      <c r="E67" s="348">
        <v>0.17598533630371099</v>
      </c>
      <c r="F67" s="349">
        <v>-0.19984626770019501</v>
      </c>
      <c r="G67" s="293">
        <v>1.5162999999999999E-2</v>
      </c>
      <c r="H67" s="293">
        <v>0.105907</v>
      </c>
      <c r="I67" s="293">
        <v>0.34659600000000002</v>
      </c>
      <c r="J67" s="293">
        <v>0.115158</v>
      </c>
      <c r="K67" s="293">
        <v>-9.7140000000000004E-3</v>
      </c>
      <c r="L67" s="293">
        <v>-9.1500000000000001E-3</v>
      </c>
      <c r="M67" s="293">
        <v>-9.129E-3</v>
      </c>
      <c r="N67" s="293">
        <v>-9.3959999999999998E-3</v>
      </c>
      <c r="O67" s="293">
        <v>-9.4409999999999997E-3</v>
      </c>
      <c r="P67" s="293">
        <v>-9.2980000000000007E-3</v>
      </c>
      <c r="Q67" s="293">
        <v>-9.8270000000000007E-3</v>
      </c>
      <c r="R67" s="293">
        <v>-9.7409999999999997E-3</v>
      </c>
      <c r="S67" s="293">
        <v>-9.6889999999999997E-3</v>
      </c>
      <c r="T67" s="293">
        <v>-9.8569999999999994E-3</v>
      </c>
      <c r="U67" s="293">
        <v>-9.7099999999999999E-3</v>
      </c>
      <c r="V67" s="293">
        <v>-9.4129999999999995E-3</v>
      </c>
      <c r="W67" s="293">
        <v>-9.7260000000000003E-3</v>
      </c>
      <c r="X67" s="293">
        <v>-9.5440000000000004E-3</v>
      </c>
      <c r="Y67" s="293">
        <v>-8.9110000000000005E-3</v>
      </c>
      <c r="Z67" s="293">
        <v>-9.2739999999999993E-3</v>
      </c>
      <c r="AA67" s="293">
        <v>-9.4389999999999995E-3</v>
      </c>
      <c r="AB67" s="293">
        <v>-9.6170000000000005E-3</v>
      </c>
      <c r="AC67" s="293">
        <v>-9.1479999999999999E-3</v>
      </c>
      <c r="AD67" s="293">
        <v>-8.9969999999999998E-3</v>
      </c>
      <c r="AE67" s="293">
        <v>-8.8159999999999992E-3</v>
      </c>
      <c r="AF67" s="293">
        <v>-8.2660000000000008E-3</v>
      </c>
      <c r="AG67" s="293">
        <v>-8.2740000000000001E-3</v>
      </c>
      <c r="AH67" s="293">
        <v>-7.711E-3</v>
      </c>
      <c r="AI67" s="293">
        <v>-7.0080000000000003E-3</v>
      </c>
      <c r="AJ67" s="293">
        <v>-6.5420000000000001E-3</v>
      </c>
      <c r="AK67" s="293" t="s">
        <v>41</v>
      </c>
    </row>
    <row r="68" spans="1:3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c r="A69" s="6" t="s">
        <v>702</v>
      </c>
      <c r="B69" s="362">
        <v>17.3390007019043</v>
      </c>
      <c r="C69" s="362">
        <v>17.4409999847412</v>
      </c>
      <c r="D69" s="362">
        <v>17.5890007019043</v>
      </c>
      <c r="E69" s="362">
        <v>17.5890007019043</v>
      </c>
      <c r="F69" s="363">
        <v>17.994850158691399</v>
      </c>
      <c r="G69" s="293">
        <v>17.704999999999998</v>
      </c>
      <c r="H69" s="293">
        <v>17.315000999999999</v>
      </c>
      <c r="I69" s="293">
        <v>17.818999999999999</v>
      </c>
      <c r="J69" s="293">
        <v>17.818999999999999</v>
      </c>
      <c r="K69" s="293">
        <v>18.114657999999999</v>
      </c>
      <c r="L69" s="293">
        <v>18.129657999999999</v>
      </c>
      <c r="M69" s="293">
        <v>18.129657999999999</v>
      </c>
      <c r="N69" s="293">
        <v>18.129657999999999</v>
      </c>
      <c r="O69" s="293">
        <v>18.129657999999999</v>
      </c>
      <c r="P69" s="293">
        <v>18.129657999999999</v>
      </c>
      <c r="Q69" s="293">
        <v>18.129657999999999</v>
      </c>
      <c r="R69" s="293">
        <v>18.129657999999999</v>
      </c>
      <c r="S69" s="293">
        <v>18.129657999999999</v>
      </c>
      <c r="T69" s="293">
        <v>18.129657999999999</v>
      </c>
      <c r="U69" s="293">
        <v>18.129657999999999</v>
      </c>
      <c r="V69" s="293">
        <v>18.129657999999999</v>
      </c>
      <c r="W69" s="293">
        <v>18.129657999999999</v>
      </c>
      <c r="X69" s="293">
        <v>18.129657999999999</v>
      </c>
      <c r="Y69" s="293">
        <v>18.129657999999999</v>
      </c>
      <c r="Z69" s="293">
        <v>18.129657999999999</v>
      </c>
      <c r="AA69" s="293">
        <v>18.129657999999999</v>
      </c>
      <c r="AB69" s="293">
        <v>18.129657999999999</v>
      </c>
      <c r="AC69" s="293">
        <v>18.129657999999999</v>
      </c>
      <c r="AD69" s="293">
        <v>18.129657999999999</v>
      </c>
      <c r="AE69" s="293">
        <v>18.129657999999999</v>
      </c>
      <c r="AF69" s="293">
        <v>18.129657999999999</v>
      </c>
      <c r="AG69" s="293">
        <v>18.129657999999999</v>
      </c>
      <c r="AH69" s="293">
        <v>18.129657999999999</v>
      </c>
      <c r="AI69" s="293">
        <v>18.129657999999999</v>
      </c>
      <c r="AJ69" s="293">
        <v>18.129657999999999</v>
      </c>
      <c r="AK69" s="294">
        <v>2E-3</v>
      </c>
    </row>
    <row r="70" spans="1:37">
      <c r="A70" s="6" t="s">
        <v>703</v>
      </c>
      <c r="B70" s="362">
        <v>90</v>
      </c>
      <c r="C70" s="362">
        <v>89</v>
      </c>
      <c r="D70" s="362">
        <v>85</v>
      </c>
      <c r="E70" s="362">
        <v>84</v>
      </c>
      <c r="F70" s="363">
        <v>78.951698303222699</v>
      </c>
      <c r="G70" s="293">
        <v>86</v>
      </c>
      <c r="H70" s="293">
        <v>89</v>
      </c>
      <c r="I70" s="293">
        <v>87</v>
      </c>
      <c r="J70" s="293">
        <v>87</v>
      </c>
      <c r="K70" s="293">
        <v>83.929221999999996</v>
      </c>
      <c r="L70" s="293">
        <v>84.444526999999994</v>
      </c>
      <c r="M70" s="293">
        <v>84.784676000000005</v>
      </c>
      <c r="N70" s="293">
        <v>84.856537000000003</v>
      </c>
      <c r="O70" s="293">
        <v>84.762580999999997</v>
      </c>
      <c r="P70" s="293">
        <v>84.610602999999998</v>
      </c>
      <c r="Q70" s="293">
        <v>84.422150000000002</v>
      </c>
      <c r="R70" s="293">
        <v>84.011527999999998</v>
      </c>
      <c r="S70" s="293">
        <v>83.650841</v>
      </c>
      <c r="T70" s="293">
        <v>83.337349000000003</v>
      </c>
      <c r="U70" s="293">
        <v>83.051040999999998</v>
      </c>
      <c r="V70" s="293">
        <v>82.852858999999995</v>
      </c>
      <c r="W70" s="293">
        <v>82.751807999999997</v>
      </c>
      <c r="X70" s="293">
        <v>82.579086000000004</v>
      </c>
      <c r="Y70" s="293">
        <v>82.446686</v>
      </c>
      <c r="Z70" s="293">
        <v>82.407532000000003</v>
      </c>
      <c r="AA70" s="293">
        <v>82.401390000000006</v>
      </c>
      <c r="AB70" s="293">
        <v>82.379172999999994</v>
      </c>
      <c r="AC70" s="293">
        <v>82.419548000000006</v>
      </c>
      <c r="AD70" s="293">
        <v>82.643226999999996</v>
      </c>
      <c r="AE70" s="293">
        <v>82.856575000000007</v>
      </c>
      <c r="AF70" s="293">
        <v>83.059607999999997</v>
      </c>
      <c r="AG70" s="293">
        <v>83.321395999999993</v>
      </c>
      <c r="AH70" s="293">
        <v>83.713463000000004</v>
      </c>
      <c r="AI70" s="293">
        <v>83.800713000000002</v>
      </c>
      <c r="AJ70" s="293">
        <v>83.967208999999997</v>
      </c>
      <c r="AK70" s="294">
        <v>-2E-3</v>
      </c>
    </row>
    <row r="71" spans="1:37">
      <c r="A71" s="6" t="s">
        <v>152</v>
      </c>
      <c r="B71" s="362">
        <v>60.165718078613303</v>
      </c>
      <c r="C71" s="362">
        <v>58.3234672546387</v>
      </c>
      <c r="D71" s="362">
        <v>56.096931457519503</v>
      </c>
      <c r="E71" s="362">
        <v>53.113201141357401</v>
      </c>
      <c r="F71" s="363">
        <v>50.657768249511697</v>
      </c>
      <c r="G71" s="293">
        <v>45.229275000000001</v>
      </c>
      <c r="H71" s="293">
        <v>40.315280999999999</v>
      </c>
      <c r="I71" s="293">
        <v>33.537674000000003</v>
      </c>
      <c r="J71" s="293">
        <v>28.732861</v>
      </c>
      <c r="K71" s="293">
        <v>27.439371000000001</v>
      </c>
      <c r="L71" s="293">
        <v>25.212821999999999</v>
      </c>
      <c r="M71" s="293">
        <v>25.371447</v>
      </c>
      <c r="N71" s="293">
        <v>25.397780999999998</v>
      </c>
      <c r="O71" s="293">
        <v>25.272306</v>
      </c>
      <c r="P71" s="293">
        <v>25.605276</v>
      </c>
      <c r="Q71" s="293">
        <v>26.339932999999998</v>
      </c>
      <c r="R71" s="293">
        <v>26.391024000000002</v>
      </c>
      <c r="S71" s="293">
        <v>26.330031999999999</v>
      </c>
      <c r="T71" s="293">
        <v>26.557704999999999</v>
      </c>
      <c r="U71" s="293">
        <v>26.574638</v>
      </c>
      <c r="V71" s="293">
        <v>27.074511000000001</v>
      </c>
      <c r="W71" s="293">
        <v>27.628391000000001</v>
      </c>
      <c r="X71" s="293">
        <v>28.164417</v>
      </c>
      <c r="Y71" s="293">
        <v>28.574669</v>
      </c>
      <c r="Z71" s="293">
        <v>28.600802999999999</v>
      </c>
      <c r="AA71" s="293">
        <v>29.035553</v>
      </c>
      <c r="AB71" s="293">
        <v>29.225125999999999</v>
      </c>
      <c r="AC71" s="293">
        <v>29.185209</v>
      </c>
      <c r="AD71" s="293">
        <v>29.338975999999999</v>
      </c>
      <c r="AE71" s="293">
        <v>29.911650000000002</v>
      </c>
      <c r="AF71" s="293">
        <v>30.578768</v>
      </c>
      <c r="AG71" s="293">
        <v>30.764973000000001</v>
      </c>
      <c r="AH71" s="293">
        <v>31.641760000000001</v>
      </c>
      <c r="AI71" s="293">
        <v>31.827915000000001</v>
      </c>
      <c r="AJ71" s="293">
        <v>32.156517000000001</v>
      </c>
      <c r="AK71" s="294">
        <v>-8.0000000000000002E-3</v>
      </c>
    </row>
    <row r="72" spans="1:37" s="268" customFormat="1">
      <c r="A72" s="267" t="s">
        <v>151</v>
      </c>
      <c r="B72" s="348">
        <v>15.605100631713899</v>
      </c>
      <c r="C72" s="348">
        <v>15.522489547729499</v>
      </c>
      <c r="D72" s="348">
        <v>14.950650215148899</v>
      </c>
      <c r="E72" s="348">
        <v>14.7747602462769</v>
      </c>
      <c r="F72" s="349">
        <v>14.2072401046753</v>
      </c>
      <c r="G72" s="314">
        <v>14.3342885971069</v>
      </c>
      <c r="H72" s="314">
        <v>14.411810874939</v>
      </c>
      <c r="I72" s="314">
        <v>14.427806854248001</v>
      </c>
      <c r="J72" s="314">
        <v>14.247616767883301</v>
      </c>
      <c r="K72" s="314">
        <v>14.1760416030884</v>
      </c>
      <c r="L72" s="314">
        <v>14.1692085266113</v>
      </c>
      <c r="M72" s="314">
        <v>14.217811584472701</v>
      </c>
      <c r="N72" s="314">
        <v>14.219580650329601</v>
      </c>
      <c r="O72" s="314">
        <v>14.2103576660156</v>
      </c>
      <c r="P72" s="314">
        <v>14.200039863586399</v>
      </c>
      <c r="Q72" s="314">
        <v>14.1303453445435</v>
      </c>
      <c r="R72" s="314">
        <v>14.095740318298301</v>
      </c>
      <c r="S72" s="314">
        <v>14.0861167907715</v>
      </c>
      <c r="T72" s="314">
        <v>14.1125946044922</v>
      </c>
      <c r="U72" s="314">
        <v>14.163477897644</v>
      </c>
      <c r="V72" s="314">
        <v>14.242433547973601</v>
      </c>
      <c r="W72" s="314">
        <v>14.2973442077637</v>
      </c>
      <c r="X72" s="314">
        <v>14.4011936187744</v>
      </c>
      <c r="Y72" s="314">
        <v>14.4425506591797</v>
      </c>
      <c r="Z72" s="314">
        <v>14.573932647705099</v>
      </c>
      <c r="AA72" s="314"/>
      <c r="AB72" s="314"/>
      <c r="AC72" s="314"/>
      <c r="AD72" s="314"/>
      <c r="AE72" s="314"/>
      <c r="AF72" s="314"/>
      <c r="AG72" s="314"/>
      <c r="AH72" s="314"/>
      <c r="AI72" s="314"/>
      <c r="AJ72" s="314"/>
      <c r="AK72" s="315">
        <v>-2.73776054382324E-3</v>
      </c>
    </row>
    <row r="73" spans="1:37">
      <c r="A73" s="6" t="s">
        <v>150</v>
      </c>
    </row>
    <row r="74" spans="1:37">
      <c r="A74" s="6" t="s">
        <v>594</v>
      </c>
      <c r="B74" s="348">
        <v>272.80218505859398</v>
      </c>
      <c r="C74" s="348">
        <v>280.12564086914102</v>
      </c>
      <c r="D74" s="348">
        <v>321.28717041015602</v>
      </c>
      <c r="E74" s="348">
        <v>195.51596069335901</v>
      </c>
      <c r="F74" s="349">
        <v>246.62348937988301</v>
      </c>
      <c r="G74" s="293">
        <v>494.73007200000001</v>
      </c>
      <c r="H74" s="293">
        <v>313.70205700000002</v>
      </c>
      <c r="I74" s="293">
        <v>257.058716</v>
      </c>
      <c r="J74" s="293">
        <v>219.518845</v>
      </c>
      <c r="K74" s="293">
        <v>213.13346899999999</v>
      </c>
      <c r="L74" s="293">
        <v>192.04028299999999</v>
      </c>
      <c r="M74" s="293">
        <v>190.19305399999999</v>
      </c>
      <c r="N74" s="293">
        <v>190.97583</v>
      </c>
      <c r="O74" s="293">
        <v>193.05748</v>
      </c>
      <c r="P74" s="293">
        <v>198.85289</v>
      </c>
      <c r="Q74" s="293">
        <v>207.326324</v>
      </c>
      <c r="R74" s="293">
        <v>214.50224299999999</v>
      </c>
      <c r="S74" s="293">
        <v>220.992096</v>
      </c>
      <c r="T74" s="293">
        <v>228.38960299999999</v>
      </c>
      <c r="U74" s="293">
        <v>234.269226</v>
      </c>
      <c r="V74" s="293">
        <v>243.98199500000001</v>
      </c>
      <c r="W74" s="293">
        <v>254.790054</v>
      </c>
      <c r="X74" s="293">
        <v>263.61831699999999</v>
      </c>
      <c r="Y74" s="293">
        <v>272.543701</v>
      </c>
      <c r="Z74" s="293">
        <v>278.59802200000001</v>
      </c>
      <c r="AA74" s="293">
        <v>289.04888899999997</v>
      </c>
      <c r="AB74" s="293">
        <v>297.603973</v>
      </c>
      <c r="AC74" s="293">
        <v>305.14331099999998</v>
      </c>
      <c r="AD74" s="293">
        <v>315.75491299999999</v>
      </c>
      <c r="AE74" s="293">
        <v>327.328461</v>
      </c>
      <c r="AF74" s="293">
        <v>338.67947400000003</v>
      </c>
      <c r="AG74" s="293">
        <v>347.810272</v>
      </c>
      <c r="AH74" s="293">
        <v>363.35360700000001</v>
      </c>
      <c r="AI74" s="293">
        <v>372.92919899999998</v>
      </c>
      <c r="AJ74" s="293">
        <v>385.39370700000001</v>
      </c>
      <c r="AK74" s="294">
        <v>7.0000000000000001E-3</v>
      </c>
    </row>
    <row r="78" spans="1:37" s="266" customFormat="1" ht="15" customHeight="1">
      <c r="A78" s="564" t="s">
        <v>595</v>
      </c>
      <c r="B78" s="564"/>
      <c r="C78" s="564"/>
      <c r="D78" s="564"/>
      <c r="E78" s="564"/>
      <c r="F78" s="564"/>
      <c r="G78" s="564"/>
      <c r="H78" s="564"/>
      <c r="I78" s="564"/>
      <c r="J78" s="564"/>
      <c r="K78" s="564"/>
      <c r="L78" s="564"/>
      <c r="M78" s="564"/>
      <c r="N78" s="564"/>
      <c r="O78" s="564"/>
      <c r="P78" s="564"/>
      <c r="Q78" s="564"/>
      <c r="R78" s="564"/>
      <c r="S78" s="564"/>
      <c r="T78" s="564"/>
      <c r="U78" s="564"/>
      <c r="V78" s="564"/>
      <c r="W78" s="564"/>
      <c r="X78" s="564"/>
      <c r="Y78" s="564"/>
      <c r="Z78" s="564"/>
      <c r="AA78" s="564"/>
      <c r="AB78" s="564"/>
      <c r="AC78" s="564"/>
      <c r="AD78" s="564"/>
      <c r="AE78" s="564"/>
      <c r="AF78" s="564"/>
      <c r="AG78" s="298"/>
      <c r="AH78" s="298"/>
      <c r="AI78" s="298"/>
      <c r="AJ78" s="298"/>
      <c r="AK78" s="298"/>
    </row>
    <row r="79" spans="1:37" customFormat="1" ht="15" customHeight="1">
      <c r="A79" s="563" t="s">
        <v>596</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297"/>
      <c r="AH79" s="297"/>
      <c r="AI79" s="297"/>
      <c r="AJ79" s="297"/>
      <c r="AK79" s="297"/>
    </row>
    <row r="80" spans="1:37" customFormat="1" ht="15" customHeight="1">
      <c r="A80" s="563" t="s">
        <v>597</v>
      </c>
      <c r="B80" s="563"/>
      <c r="C80" s="563"/>
      <c r="D80" s="563"/>
      <c r="E80" s="563"/>
      <c r="F80" s="563"/>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297"/>
      <c r="AH80" s="297"/>
      <c r="AI80" s="297"/>
      <c r="AJ80" s="297"/>
      <c r="AK80" s="297"/>
    </row>
    <row r="81" spans="1:37" customFormat="1" ht="15" customHeight="1">
      <c r="A81" s="563" t="s">
        <v>598</v>
      </c>
      <c r="B81" s="563"/>
      <c r="C81" s="563"/>
      <c r="D81" s="563"/>
      <c r="E81" s="563"/>
      <c r="F81" s="563"/>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297"/>
      <c r="AH81" s="297"/>
      <c r="AI81" s="297"/>
      <c r="AJ81" s="297"/>
      <c r="AK81" s="297"/>
    </row>
    <row r="82" spans="1:37" customFormat="1" ht="15" customHeight="1">
      <c r="A82" s="563" t="s">
        <v>599</v>
      </c>
      <c r="B82" s="563"/>
      <c r="C82" s="563"/>
      <c r="D82" s="563"/>
      <c r="E82" s="563"/>
      <c r="F82" s="563"/>
      <c r="G82" s="563"/>
      <c r="H82" s="563"/>
      <c r="I82" s="563"/>
      <c r="J82" s="563"/>
      <c r="K82" s="563"/>
      <c r="L82" s="563"/>
      <c r="M82" s="563"/>
      <c r="N82" s="563"/>
      <c r="O82" s="563"/>
      <c r="P82" s="563"/>
      <c r="Q82" s="563"/>
      <c r="R82" s="563"/>
      <c r="S82" s="563"/>
      <c r="T82" s="563"/>
      <c r="U82" s="563"/>
      <c r="V82" s="563"/>
      <c r="W82" s="563"/>
      <c r="X82" s="563"/>
      <c r="Y82" s="563"/>
      <c r="Z82" s="563"/>
      <c r="AA82" s="563"/>
      <c r="AB82" s="563"/>
      <c r="AC82" s="563"/>
      <c r="AD82" s="563"/>
      <c r="AE82" s="563"/>
      <c r="AF82" s="563"/>
      <c r="AG82" s="297"/>
      <c r="AH82" s="297"/>
      <c r="AI82" s="297"/>
      <c r="AJ82" s="297"/>
      <c r="AK82" s="297"/>
    </row>
    <row r="83" spans="1:37" customFormat="1" ht="15" customHeight="1">
      <c r="A83" s="563" t="s">
        <v>600</v>
      </c>
      <c r="B83" s="563"/>
      <c r="C83" s="563"/>
      <c r="D83" s="563"/>
      <c r="E83" s="563"/>
      <c r="F83" s="563"/>
      <c r="G83" s="563"/>
      <c r="H83" s="563"/>
      <c r="I83" s="563"/>
      <c r="J83" s="563"/>
      <c r="K83" s="563"/>
      <c r="L83" s="563"/>
      <c r="M83" s="563"/>
      <c r="N83" s="563"/>
      <c r="O83" s="563"/>
      <c r="P83" s="563"/>
      <c r="Q83" s="563"/>
      <c r="R83" s="563"/>
      <c r="S83" s="563"/>
      <c r="T83" s="563"/>
      <c r="U83" s="563"/>
      <c r="V83" s="563"/>
      <c r="W83" s="563"/>
      <c r="X83" s="563"/>
      <c r="Y83" s="563"/>
      <c r="Z83" s="563"/>
      <c r="AA83" s="563"/>
      <c r="AB83" s="563"/>
      <c r="AC83" s="563"/>
      <c r="AD83" s="563"/>
      <c r="AE83" s="563"/>
      <c r="AF83" s="563"/>
      <c r="AG83" s="297"/>
      <c r="AH83" s="297"/>
      <c r="AI83" s="297"/>
      <c r="AJ83" s="297"/>
      <c r="AK83" s="297"/>
    </row>
    <row r="84" spans="1:37" customFormat="1" ht="15" customHeight="1">
      <c r="A84" s="563" t="s">
        <v>601</v>
      </c>
      <c r="B84" s="563"/>
      <c r="C84" s="563"/>
      <c r="D84" s="563"/>
      <c r="E84" s="563"/>
      <c r="F84" s="563"/>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297"/>
      <c r="AH84" s="297"/>
      <c r="AI84" s="297"/>
      <c r="AJ84" s="297"/>
      <c r="AK84" s="297"/>
    </row>
    <row r="85" spans="1:37" customFormat="1" ht="15" customHeight="1">
      <c r="A85" s="563" t="s">
        <v>602</v>
      </c>
      <c r="B85" s="563"/>
      <c r="C85" s="563"/>
      <c r="D85" s="563"/>
      <c r="E85" s="563"/>
      <c r="F85" s="563"/>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297"/>
      <c r="AH85" s="297"/>
      <c r="AI85" s="297"/>
      <c r="AJ85" s="297"/>
      <c r="AK85" s="297"/>
    </row>
    <row r="86" spans="1:37" customFormat="1" ht="15" customHeight="1">
      <c r="A86" s="563" t="s">
        <v>603</v>
      </c>
      <c r="B86" s="563"/>
      <c r="C86" s="563"/>
      <c r="D86" s="563"/>
      <c r="E86" s="563"/>
      <c r="F86" s="563"/>
      <c r="G86" s="563"/>
      <c r="H86" s="563"/>
      <c r="I86" s="563"/>
      <c r="J86" s="563"/>
      <c r="K86" s="563"/>
      <c r="L86" s="563"/>
      <c r="M86" s="563"/>
      <c r="N86" s="563"/>
      <c r="O86" s="563"/>
      <c r="P86" s="563"/>
      <c r="Q86" s="563"/>
      <c r="R86" s="563"/>
      <c r="S86" s="563"/>
      <c r="T86" s="563"/>
      <c r="U86" s="563"/>
      <c r="V86" s="563"/>
      <c r="W86" s="563"/>
      <c r="X86" s="563"/>
      <c r="Y86" s="563"/>
      <c r="Z86" s="563"/>
      <c r="AA86" s="563"/>
      <c r="AB86" s="563"/>
      <c r="AC86" s="563"/>
      <c r="AD86" s="563"/>
      <c r="AE86" s="563"/>
      <c r="AF86" s="563"/>
      <c r="AG86" s="297"/>
      <c r="AH86" s="297"/>
      <c r="AI86" s="297"/>
      <c r="AJ86" s="297"/>
      <c r="AK86" s="297"/>
    </row>
    <row r="87" spans="1:37" customFormat="1" ht="15" customHeight="1">
      <c r="A87" s="563" t="s">
        <v>604</v>
      </c>
      <c r="B87" s="563"/>
      <c r="C87" s="563"/>
      <c r="D87" s="563"/>
      <c r="E87" s="563"/>
      <c r="F87" s="563"/>
      <c r="G87" s="563"/>
      <c r="H87" s="563"/>
      <c r="I87" s="563"/>
      <c r="J87" s="563"/>
      <c r="K87" s="563"/>
      <c r="L87" s="563"/>
      <c r="M87" s="563"/>
      <c r="N87" s="563"/>
      <c r="O87" s="563"/>
      <c r="P87" s="563"/>
      <c r="Q87" s="563"/>
      <c r="R87" s="563"/>
      <c r="S87" s="563"/>
      <c r="T87" s="563"/>
      <c r="U87" s="563"/>
      <c r="V87" s="563"/>
      <c r="W87" s="563"/>
      <c r="X87" s="563"/>
      <c r="Y87" s="563"/>
      <c r="Z87" s="563"/>
      <c r="AA87" s="563"/>
      <c r="AB87" s="563"/>
      <c r="AC87" s="563"/>
      <c r="AD87" s="563"/>
      <c r="AE87" s="563"/>
      <c r="AF87" s="563"/>
      <c r="AG87" s="297"/>
      <c r="AH87" s="297"/>
      <c r="AI87" s="297"/>
      <c r="AJ87" s="297"/>
      <c r="AK87" s="297"/>
    </row>
    <row r="88" spans="1:37" customFormat="1" ht="15" customHeight="1">
      <c r="A88" s="563" t="s">
        <v>605</v>
      </c>
      <c r="B88" s="563"/>
      <c r="C88" s="563"/>
      <c r="D88" s="563"/>
      <c r="E88" s="563"/>
      <c r="F88" s="563"/>
      <c r="G88" s="563"/>
      <c r="H88" s="563"/>
      <c r="I88" s="563"/>
      <c r="J88" s="563"/>
      <c r="K88" s="563"/>
      <c r="L88" s="563"/>
      <c r="M88" s="563"/>
      <c r="N88" s="563"/>
      <c r="O88" s="563"/>
      <c r="P88" s="563"/>
      <c r="Q88" s="563"/>
      <c r="R88" s="563"/>
      <c r="S88" s="563"/>
      <c r="T88" s="563"/>
      <c r="U88" s="563"/>
      <c r="V88" s="563"/>
      <c r="W88" s="563"/>
      <c r="X88" s="563"/>
      <c r="Y88" s="563"/>
      <c r="Z88" s="563"/>
      <c r="AA88" s="563"/>
      <c r="AB88" s="563"/>
      <c r="AC88" s="563"/>
      <c r="AD88" s="563"/>
      <c r="AE88" s="563"/>
      <c r="AF88" s="563"/>
      <c r="AG88" s="297"/>
      <c r="AH88" s="297"/>
      <c r="AI88" s="297"/>
      <c r="AJ88" s="297"/>
      <c r="AK88" s="297"/>
    </row>
    <row r="89" spans="1:37" customFormat="1" ht="15" customHeight="1">
      <c r="A89" s="563" t="s">
        <v>606</v>
      </c>
      <c r="B89" s="563"/>
      <c r="C89" s="563"/>
      <c r="D89" s="563"/>
      <c r="E89" s="563"/>
      <c r="F89" s="563"/>
      <c r="G89" s="563"/>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297"/>
      <c r="AH89" s="297"/>
      <c r="AI89" s="297"/>
      <c r="AJ89" s="297"/>
      <c r="AK89" s="297"/>
    </row>
    <row r="90" spans="1:37" customFormat="1" ht="15" customHeight="1">
      <c r="A90" s="563" t="s">
        <v>607</v>
      </c>
      <c r="B90" s="563"/>
      <c r="C90" s="563"/>
      <c r="D90" s="563"/>
      <c r="E90" s="563"/>
      <c r="F90" s="563"/>
      <c r="G90" s="563"/>
      <c r="H90" s="563"/>
      <c r="I90" s="563"/>
      <c r="J90" s="563"/>
      <c r="K90" s="563"/>
      <c r="L90" s="563"/>
      <c r="M90" s="563"/>
      <c r="N90" s="563"/>
      <c r="O90" s="563"/>
      <c r="P90" s="563"/>
      <c r="Q90" s="563"/>
      <c r="R90" s="563"/>
      <c r="S90" s="563"/>
      <c r="T90" s="563"/>
      <c r="U90" s="563"/>
      <c r="V90" s="563"/>
      <c r="W90" s="563"/>
      <c r="X90" s="563"/>
      <c r="Y90" s="563"/>
      <c r="Z90" s="563"/>
      <c r="AA90" s="563"/>
      <c r="AB90" s="563"/>
      <c r="AC90" s="563"/>
      <c r="AD90" s="563"/>
      <c r="AE90" s="563"/>
      <c r="AF90" s="563"/>
      <c r="AG90" s="297"/>
      <c r="AH90" s="297"/>
      <c r="AI90" s="297"/>
      <c r="AJ90" s="297"/>
      <c r="AK90" s="297"/>
    </row>
    <row r="91" spans="1:37" customFormat="1" ht="15" customHeight="1">
      <c r="A91" s="563" t="s">
        <v>608</v>
      </c>
      <c r="B91" s="563"/>
      <c r="C91" s="563"/>
      <c r="D91" s="563"/>
      <c r="E91" s="563"/>
      <c r="F91" s="563"/>
      <c r="G91" s="563"/>
      <c r="H91" s="563"/>
      <c r="I91" s="563"/>
      <c r="J91" s="563"/>
      <c r="K91" s="563"/>
      <c r="L91" s="563"/>
      <c r="M91" s="563"/>
      <c r="N91" s="563"/>
      <c r="O91" s="563"/>
      <c r="P91" s="563"/>
      <c r="Q91" s="563"/>
      <c r="R91" s="563"/>
      <c r="S91" s="563"/>
      <c r="T91" s="563"/>
      <c r="U91" s="563"/>
      <c r="V91" s="563"/>
      <c r="W91" s="563"/>
      <c r="X91" s="563"/>
      <c r="Y91" s="563"/>
      <c r="Z91" s="563"/>
      <c r="AA91" s="563"/>
      <c r="AB91" s="563"/>
      <c r="AC91" s="563"/>
      <c r="AD91" s="563"/>
      <c r="AE91" s="563"/>
      <c r="AF91" s="563"/>
      <c r="AG91" s="297"/>
      <c r="AH91" s="297"/>
      <c r="AI91" s="297"/>
      <c r="AJ91" s="297"/>
      <c r="AK91" s="297"/>
    </row>
    <row r="92" spans="1:37" customFormat="1" ht="15" customHeight="1">
      <c r="A92" s="563" t="s">
        <v>609</v>
      </c>
      <c r="B92" s="563"/>
      <c r="C92" s="563"/>
      <c r="D92" s="563"/>
      <c r="E92" s="563"/>
      <c r="F92" s="563"/>
      <c r="G92" s="563"/>
      <c r="H92" s="563"/>
      <c r="I92" s="563"/>
      <c r="J92" s="563"/>
      <c r="K92" s="563"/>
      <c r="L92" s="563"/>
      <c r="M92" s="563"/>
      <c r="N92" s="563"/>
      <c r="O92" s="563"/>
      <c r="P92" s="563"/>
      <c r="Q92" s="563"/>
      <c r="R92" s="563"/>
      <c r="S92" s="563"/>
      <c r="T92" s="563"/>
      <c r="U92" s="563"/>
      <c r="V92" s="563"/>
      <c r="W92" s="563"/>
      <c r="X92" s="563"/>
      <c r="Y92" s="563"/>
      <c r="Z92" s="563"/>
      <c r="AA92" s="563"/>
      <c r="AB92" s="563"/>
      <c r="AC92" s="563"/>
      <c r="AD92" s="563"/>
      <c r="AE92" s="563"/>
      <c r="AF92" s="563"/>
      <c r="AG92" s="297"/>
      <c r="AH92" s="297"/>
      <c r="AI92" s="297"/>
      <c r="AJ92" s="297"/>
      <c r="AK92" s="297"/>
    </row>
    <row r="93" spans="1:37" customFormat="1" ht="15" customHeight="1">
      <c r="A93" s="563" t="s">
        <v>610</v>
      </c>
      <c r="B93" s="563"/>
      <c r="C93" s="563"/>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297"/>
      <c r="AH93" s="297"/>
      <c r="AI93" s="297"/>
      <c r="AJ93" s="297"/>
      <c r="AK93" s="297"/>
    </row>
    <row r="94" spans="1:37" customFormat="1" ht="15" customHeight="1">
      <c r="A94" s="563" t="s">
        <v>611</v>
      </c>
      <c r="B94" s="563"/>
      <c r="C94" s="563"/>
      <c r="D94" s="563"/>
      <c r="E94" s="563"/>
      <c r="F94" s="563"/>
      <c r="G94" s="563"/>
      <c r="H94" s="563"/>
      <c r="I94" s="563"/>
      <c r="J94" s="563"/>
      <c r="K94" s="563"/>
      <c r="L94" s="563"/>
      <c r="M94" s="563"/>
      <c r="N94" s="563"/>
      <c r="O94" s="563"/>
      <c r="P94" s="563"/>
      <c r="Q94" s="563"/>
      <c r="R94" s="563"/>
      <c r="S94" s="563"/>
      <c r="T94" s="563"/>
      <c r="U94" s="563"/>
      <c r="V94" s="563"/>
      <c r="W94" s="563"/>
      <c r="X94" s="563"/>
      <c r="Y94" s="563"/>
      <c r="Z94" s="563"/>
      <c r="AA94" s="563"/>
      <c r="AB94" s="563"/>
      <c r="AC94" s="563"/>
      <c r="AD94" s="563"/>
      <c r="AE94" s="563"/>
      <c r="AF94" s="563"/>
      <c r="AG94" s="297"/>
      <c r="AH94" s="297"/>
      <c r="AI94" s="297"/>
      <c r="AJ94" s="297"/>
      <c r="AK94" s="297"/>
    </row>
    <row r="95" spans="1:37" customFormat="1" ht="15" customHeight="1">
      <c r="A95" s="563" t="s">
        <v>612</v>
      </c>
      <c r="B95" s="563"/>
      <c r="C95" s="563"/>
      <c r="D95" s="563"/>
      <c r="E95" s="563"/>
      <c r="F95" s="563"/>
      <c r="G95" s="563"/>
      <c r="H95" s="563"/>
      <c r="I95" s="563"/>
      <c r="J95" s="563"/>
      <c r="K95" s="563"/>
      <c r="L95" s="563"/>
      <c r="M95" s="563"/>
      <c r="N95" s="563"/>
      <c r="O95" s="563"/>
      <c r="P95" s="563"/>
      <c r="Q95" s="563"/>
      <c r="R95" s="563"/>
      <c r="S95" s="563"/>
      <c r="T95" s="563"/>
      <c r="U95" s="563"/>
      <c r="V95" s="563"/>
      <c r="W95" s="563"/>
      <c r="X95" s="563"/>
      <c r="Y95" s="563"/>
      <c r="Z95" s="563"/>
      <c r="AA95" s="563"/>
      <c r="AB95" s="563"/>
      <c r="AC95" s="563"/>
      <c r="AD95" s="563"/>
      <c r="AE95" s="563"/>
      <c r="AF95" s="563"/>
      <c r="AG95" s="297"/>
      <c r="AH95" s="297"/>
      <c r="AI95" s="297"/>
      <c r="AJ95" s="297"/>
      <c r="AK95" s="297"/>
    </row>
    <row r="96" spans="1:37" customFormat="1" ht="15" customHeight="1">
      <c r="A96" s="563" t="s">
        <v>613</v>
      </c>
      <c r="B96" s="563"/>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297"/>
      <c r="AH96" s="297"/>
      <c r="AI96" s="297"/>
      <c r="AJ96" s="297"/>
      <c r="AK96" s="297"/>
    </row>
    <row r="97" spans="1:37" customFormat="1" ht="15" customHeight="1">
      <c r="A97" s="563" t="s">
        <v>614</v>
      </c>
      <c r="B97" s="563"/>
      <c r="C97" s="563"/>
      <c r="D97" s="563"/>
      <c r="E97" s="563"/>
      <c r="F97" s="563"/>
      <c r="G97" s="563"/>
      <c r="H97" s="563"/>
      <c r="I97" s="563"/>
      <c r="J97" s="563"/>
      <c r="K97" s="563"/>
      <c r="L97" s="563"/>
      <c r="M97" s="563"/>
      <c r="N97" s="563"/>
      <c r="O97" s="563"/>
      <c r="P97" s="563"/>
      <c r="Q97" s="563"/>
      <c r="R97" s="563"/>
      <c r="S97" s="563"/>
      <c r="T97" s="563"/>
      <c r="U97" s="563"/>
      <c r="V97" s="563"/>
      <c r="W97" s="563"/>
      <c r="X97" s="563"/>
      <c r="Y97" s="563"/>
      <c r="Z97" s="563"/>
      <c r="AA97" s="563"/>
      <c r="AB97" s="563"/>
      <c r="AC97" s="563"/>
      <c r="AD97" s="563"/>
      <c r="AE97" s="563"/>
      <c r="AF97" s="563"/>
      <c r="AG97" s="297"/>
      <c r="AH97" s="297"/>
      <c r="AI97" s="297"/>
      <c r="AJ97" s="297"/>
      <c r="AK97" s="297"/>
    </row>
    <row r="98" spans="1:37" customFormat="1" ht="15" customHeight="1">
      <c r="A98" s="563" t="s">
        <v>615</v>
      </c>
      <c r="B98" s="563"/>
      <c r="C98" s="563"/>
      <c r="D98" s="563"/>
      <c r="E98" s="563"/>
      <c r="F98" s="563"/>
      <c r="G98" s="563"/>
      <c r="H98" s="563"/>
      <c r="I98" s="563"/>
      <c r="J98" s="563"/>
      <c r="K98" s="563"/>
      <c r="L98" s="563"/>
      <c r="M98" s="563"/>
      <c r="N98" s="563"/>
      <c r="O98" s="563"/>
      <c r="P98" s="563"/>
      <c r="Q98" s="563"/>
      <c r="R98" s="563"/>
      <c r="S98" s="563"/>
      <c r="T98" s="563"/>
      <c r="U98" s="563"/>
      <c r="V98" s="563"/>
      <c r="W98" s="563"/>
      <c r="X98" s="563"/>
      <c r="Y98" s="563"/>
      <c r="Z98" s="563"/>
      <c r="AA98" s="563"/>
      <c r="AB98" s="563"/>
      <c r="AC98" s="563"/>
      <c r="AD98" s="563"/>
      <c r="AE98" s="563"/>
      <c r="AF98" s="563"/>
      <c r="AG98" s="297"/>
      <c r="AH98" s="297"/>
      <c r="AI98" s="297"/>
      <c r="AJ98" s="297"/>
      <c r="AK98" s="297"/>
    </row>
    <row r="99" spans="1:37" customFormat="1" ht="15" customHeight="1">
      <c r="A99" s="563" t="s">
        <v>616</v>
      </c>
      <c r="B99" s="563"/>
      <c r="C99" s="563"/>
      <c r="D99" s="563"/>
      <c r="E99" s="563"/>
      <c r="F99" s="563"/>
      <c r="G99" s="563"/>
      <c r="H99" s="563"/>
      <c r="I99" s="563"/>
      <c r="J99" s="563"/>
      <c r="K99" s="563"/>
      <c r="L99" s="563"/>
      <c r="M99" s="563"/>
      <c r="N99" s="563"/>
      <c r="O99" s="563"/>
      <c r="P99" s="563"/>
      <c r="Q99" s="563"/>
      <c r="R99" s="563"/>
      <c r="S99" s="563"/>
      <c r="T99" s="563"/>
      <c r="U99" s="563"/>
      <c r="V99" s="563"/>
      <c r="W99" s="563"/>
      <c r="X99" s="563"/>
      <c r="Y99" s="563"/>
      <c r="Z99" s="563"/>
      <c r="AA99" s="563"/>
      <c r="AB99" s="563"/>
      <c r="AC99" s="563"/>
      <c r="AD99" s="563"/>
      <c r="AE99" s="563"/>
      <c r="AF99" s="563"/>
      <c r="AG99" s="297"/>
      <c r="AH99" s="297"/>
      <c r="AI99" s="297"/>
      <c r="AJ99" s="297"/>
      <c r="AK99" s="297"/>
    </row>
    <row r="100" spans="1:37" customFormat="1" ht="15" customHeight="1">
      <c r="A100" s="563" t="s">
        <v>617</v>
      </c>
      <c r="B100" s="563"/>
      <c r="C100" s="563"/>
      <c r="D100" s="563"/>
      <c r="E100" s="563"/>
      <c r="F100" s="563"/>
      <c r="G100" s="563"/>
      <c r="H100" s="563"/>
      <c r="I100" s="563"/>
      <c r="J100" s="563"/>
      <c r="K100" s="563"/>
      <c r="L100" s="563"/>
      <c r="M100" s="563"/>
      <c r="N100" s="563"/>
      <c r="O100" s="563"/>
      <c r="P100" s="563"/>
      <c r="Q100" s="563"/>
      <c r="R100" s="563"/>
      <c r="S100" s="563"/>
      <c r="T100" s="563"/>
      <c r="U100" s="563"/>
      <c r="V100" s="563"/>
      <c r="W100" s="563"/>
      <c r="X100" s="563"/>
      <c r="Y100" s="563"/>
      <c r="Z100" s="563"/>
      <c r="AA100" s="563"/>
      <c r="AB100" s="563"/>
      <c r="AC100" s="563"/>
      <c r="AD100" s="563"/>
      <c r="AE100" s="563"/>
      <c r="AF100" s="563"/>
      <c r="AG100" s="297"/>
      <c r="AH100" s="297"/>
      <c r="AI100" s="297"/>
      <c r="AJ100" s="297"/>
      <c r="AK100" s="297"/>
    </row>
    <row r="101" spans="1:37" customFormat="1" ht="15" customHeight="1">
      <c r="A101" s="563" t="s">
        <v>618</v>
      </c>
      <c r="B101" s="563"/>
      <c r="C101" s="563"/>
      <c r="D101" s="563"/>
      <c r="E101" s="563"/>
      <c r="F101" s="563"/>
      <c r="G101" s="563"/>
      <c r="H101" s="563"/>
      <c r="I101" s="563"/>
      <c r="J101" s="563"/>
      <c r="K101" s="563"/>
      <c r="L101" s="563"/>
      <c r="M101" s="563"/>
      <c r="N101" s="563"/>
      <c r="O101" s="563"/>
      <c r="P101" s="563"/>
      <c r="Q101" s="563"/>
      <c r="R101" s="563"/>
      <c r="S101" s="563"/>
      <c r="T101" s="563"/>
      <c r="U101" s="563"/>
      <c r="V101" s="563"/>
      <c r="W101" s="563"/>
      <c r="X101" s="563"/>
      <c r="Y101" s="563"/>
      <c r="Z101" s="563"/>
      <c r="AA101" s="563"/>
      <c r="AB101" s="563"/>
      <c r="AC101" s="563"/>
      <c r="AD101" s="563"/>
      <c r="AE101" s="563"/>
      <c r="AF101" s="563"/>
      <c r="AG101" s="297"/>
      <c r="AH101" s="297"/>
      <c r="AI101" s="297"/>
      <c r="AJ101" s="297"/>
      <c r="AK101" s="297"/>
    </row>
    <row r="102" spans="1:37" customFormat="1" ht="15" customHeight="1">
      <c r="A102" s="563" t="s">
        <v>619</v>
      </c>
      <c r="B102" s="563"/>
      <c r="C102" s="563"/>
      <c r="D102" s="563"/>
      <c r="E102" s="563"/>
      <c r="F102" s="563"/>
      <c r="G102" s="563"/>
      <c r="H102" s="563"/>
      <c r="I102" s="563"/>
      <c r="J102" s="563"/>
      <c r="K102" s="563"/>
      <c r="L102" s="563"/>
      <c r="M102" s="563"/>
      <c r="N102" s="563"/>
      <c r="O102" s="563"/>
      <c r="P102" s="563"/>
      <c r="Q102" s="563"/>
      <c r="R102" s="563"/>
      <c r="S102" s="563"/>
      <c r="T102" s="563"/>
      <c r="U102" s="563"/>
      <c r="V102" s="563"/>
      <c r="W102" s="563"/>
      <c r="X102" s="563"/>
      <c r="Y102" s="563"/>
      <c r="Z102" s="563"/>
      <c r="AA102" s="563"/>
      <c r="AB102" s="563"/>
      <c r="AC102" s="563"/>
      <c r="AD102" s="563"/>
      <c r="AE102" s="563"/>
      <c r="AF102" s="563"/>
      <c r="AG102" s="297"/>
      <c r="AH102" s="297"/>
      <c r="AI102" s="297"/>
      <c r="AJ102" s="297"/>
      <c r="AK102" s="297"/>
    </row>
    <row r="103" spans="1:37" customFormat="1" ht="15" customHeight="1">
      <c r="A103" s="563" t="s">
        <v>620</v>
      </c>
      <c r="B103" s="563"/>
      <c r="C103" s="563"/>
      <c r="D103" s="563"/>
      <c r="E103" s="563"/>
      <c r="F103" s="563"/>
      <c r="G103" s="563"/>
      <c r="H103" s="563"/>
      <c r="I103" s="563"/>
      <c r="J103" s="563"/>
      <c r="K103" s="563"/>
      <c r="L103" s="563"/>
      <c r="M103" s="563"/>
      <c r="N103" s="563"/>
      <c r="O103" s="563"/>
      <c r="P103" s="563"/>
      <c r="Q103" s="563"/>
      <c r="R103" s="563"/>
      <c r="S103" s="563"/>
      <c r="T103" s="563"/>
      <c r="U103" s="563"/>
      <c r="V103" s="563"/>
      <c r="W103" s="563"/>
      <c r="X103" s="563"/>
      <c r="Y103" s="563"/>
      <c r="Z103" s="563"/>
      <c r="AA103" s="563"/>
      <c r="AB103" s="563"/>
      <c r="AC103" s="563"/>
      <c r="AD103" s="563"/>
      <c r="AE103" s="563"/>
      <c r="AF103" s="563"/>
      <c r="AG103" s="297"/>
      <c r="AH103" s="297"/>
      <c r="AI103" s="297"/>
      <c r="AJ103" s="297"/>
      <c r="AK103" s="297"/>
    </row>
    <row r="104" spans="1:37" customFormat="1" ht="15" customHeight="1">
      <c r="A104" s="563" t="s">
        <v>621</v>
      </c>
      <c r="B104" s="563"/>
      <c r="C104" s="563"/>
      <c r="D104" s="563"/>
      <c r="E104" s="563"/>
      <c r="F104" s="563"/>
      <c r="G104" s="563"/>
      <c r="H104" s="563"/>
      <c r="I104" s="563"/>
      <c r="J104" s="563"/>
      <c r="K104" s="563"/>
      <c r="L104" s="563"/>
      <c r="M104" s="563"/>
      <c r="N104" s="563"/>
      <c r="O104" s="563"/>
      <c r="P104" s="563"/>
      <c r="Q104" s="563"/>
      <c r="R104" s="563"/>
      <c r="S104" s="563"/>
      <c r="T104" s="563"/>
      <c r="U104" s="563"/>
      <c r="V104" s="563"/>
      <c r="W104" s="563"/>
      <c r="X104" s="563"/>
      <c r="Y104" s="563"/>
      <c r="Z104" s="563"/>
      <c r="AA104" s="563"/>
      <c r="AB104" s="563"/>
      <c r="AC104" s="563"/>
      <c r="AD104" s="563"/>
      <c r="AE104" s="563"/>
      <c r="AF104" s="563"/>
      <c r="AG104" s="297"/>
      <c r="AH104" s="297"/>
      <c r="AI104" s="297"/>
      <c r="AJ104" s="297"/>
      <c r="AK104" s="297"/>
    </row>
    <row r="105" spans="1:37" customFormat="1" ht="15" customHeight="1">
      <c r="A105" s="563" t="s">
        <v>622</v>
      </c>
      <c r="B105" s="563"/>
      <c r="C105" s="563"/>
      <c r="D105" s="563"/>
      <c r="E105" s="563"/>
      <c r="F105" s="563"/>
      <c r="G105" s="563"/>
      <c r="H105" s="563"/>
      <c r="I105" s="563"/>
      <c r="J105" s="563"/>
      <c r="K105" s="563"/>
      <c r="L105" s="563"/>
      <c r="M105" s="563"/>
      <c r="N105" s="563"/>
      <c r="O105" s="563"/>
      <c r="P105" s="563"/>
      <c r="Q105" s="563"/>
      <c r="R105" s="563"/>
      <c r="S105" s="563"/>
      <c r="T105" s="563"/>
      <c r="U105" s="563"/>
      <c r="V105" s="563"/>
      <c r="W105" s="563"/>
      <c r="X105" s="563"/>
      <c r="Y105" s="563"/>
      <c r="Z105" s="563"/>
      <c r="AA105" s="563"/>
      <c r="AB105" s="563"/>
      <c r="AC105" s="563"/>
      <c r="AD105" s="563"/>
      <c r="AE105" s="563"/>
      <c r="AF105" s="563"/>
      <c r="AG105" s="297"/>
      <c r="AH105" s="297"/>
      <c r="AI105" s="297"/>
      <c r="AJ105" s="297"/>
      <c r="AK105" s="297"/>
    </row>
    <row r="106" spans="1:37" customFormat="1" ht="15" customHeight="1">
      <c r="A106" s="563" t="s">
        <v>623</v>
      </c>
      <c r="B106" s="563"/>
      <c r="C106" s="563"/>
      <c r="D106" s="563"/>
      <c r="E106" s="563"/>
      <c r="F106" s="563"/>
      <c r="G106" s="563"/>
      <c r="H106" s="563"/>
      <c r="I106" s="563"/>
      <c r="J106" s="563"/>
      <c r="K106" s="563"/>
      <c r="L106" s="563"/>
      <c r="M106" s="563"/>
      <c r="N106" s="563"/>
      <c r="O106" s="563"/>
      <c r="P106" s="563"/>
      <c r="Q106" s="563"/>
      <c r="R106" s="563"/>
      <c r="S106" s="563"/>
      <c r="T106" s="563"/>
      <c r="U106" s="563"/>
      <c r="V106" s="563"/>
      <c r="W106" s="563"/>
      <c r="X106" s="563"/>
      <c r="Y106" s="563"/>
      <c r="Z106" s="563"/>
      <c r="AA106" s="563"/>
      <c r="AB106" s="563"/>
      <c r="AC106" s="563"/>
      <c r="AD106" s="563"/>
      <c r="AE106" s="563"/>
      <c r="AF106" s="563"/>
      <c r="AG106" s="297"/>
      <c r="AH106" s="297"/>
      <c r="AI106" s="297"/>
      <c r="AJ106" s="297"/>
      <c r="AK106" s="297"/>
    </row>
    <row r="107" spans="1:37" customFormat="1" ht="15" customHeight="1">
      <c r="A107" s="563" t="s">
        <v>624</v>
      </c>
      <c r="B107" s="563"/>
      <c r="C107" s="563"/>
      <c r="D107" s="563"/>
      <c r="E107" s="563"/>
      <c r="F107" s="563"/>
      <c r="G107" s="563"/>
      <c r="H107" s="563"/>
      <c r="I107" s="563"/>
      <c r="J107" s="563"/>
      <c r="K107" s="563"/>
      <c r="L107" s="563"/>
      <c r="M107" s="563"/>
      <c r="N107" s="563"/>
      <c r="O107" s="563"/>
      <c r="P107" s="563"/>
      <c r="Q107" s="563"/>
      <c r="R107" s="563"/>
      <c r="S107" s="563"/>
      <c r="T107" s="563"/>
      <c r="U107" s="563"/>
      <c r="V107" s="563"/>
      <c r="W107" s="563"/>
      <c r="X107" s="563"/>
      <c r="Y107" s="563"/>
      <c r="Z107" s="563"/>
      <c r="AA107" s="563"/>
      <c r="AB107" s="563"/>
      <c r="AC107" s="563"/>
      <c r="AD107" s="563"/>
      <c r="AE107" s="563"/>
      <c r="AF107" s="563"/>
      <c r="AG107" s="297"/>
      <c r="AH107" s="297"/>
      <c r="AI107" s="297"/>
      <c r="AJ107" s="297"/>
      <c r="AK107" s="297"/>
    </row>
    <row r="108" spans="1:37" customFormat="1" ht="15" customHeight="1">
      <c r="A108" s="563" t="s">
        <v>625</v>
      </c>
      <c r="B108" s="563"/>
      <c r="C108" s="563"/>
      <c r="D108" s="563"/>
      <c r="E108" s="563"/>
      <c r="F108" s="563"/>
      <c r="G108" s="563"/>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563"/>
      <c r="AD108" s="563"/>
      <c r="AE108" s="563"/>
      <c r="AF108" s="563"/>
      <c r="AG108" s="297"/>
      <c r="AH108" s="297"/>
      <c r="AI108" s="297"/>
      <c r="AJ108" s="297"/>
      <c r="AK108" s="297"/>
    </row>
    <row r="109" spans="1:37" customFormat="1" ht="15" customHeight="1">
      <c r="A109" s="563" t="s">
        <v>626</v>
      </c>
      <c r="B109" s="563"/>
      <c r="C109" s="563"/>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563"/>
      <c r="AD109" s="563"/>
      <c r="AE109" s="563"/>
      <c r="AF109" s="563"/>
      <c r="AG109" s="297"/>
      <c r="AH109" s="297"/>
      <c r="AI109" s="297"/>
      <c r="AJ109" s="297"/>
      <c r="AK109" s="297"/>
    </row>
  </sheetData>
  <mergeCells count="32">
    <mergeCell ref="A78:AF78"/>
    <mergeCell ref="A79:AF79"/>
    <mergeCell ref="A80:AF80"/>
    <mergeCell ref="A81:AF81"/>
    <mergeCell ref="A82:AF82"/>
    <mergeCell ref="A83:AF83"/>
    <mergeCell ref="A84:AF84"/>
    <mergeCell ref="A85:AF85"/>
    <mergeCell ref="A86:AF8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8:AF108"/>
    <mergeCell ref="A109:AF109"/>
    <mergeCell ref="A102:AF102"/>
    <mergeCell ref="A103:AF103"/>
    <mergeCell ref="A104:AF104"/>
    <mergeCell ref="A105:AF105"/>
    <mergeCell ref="A106:AF106"/>
    <mergeCell ref="A107:AF10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528</v>
      </c>
    </row>
    <row r="4" spans="1:2">
      <c r="A4" t="s">
        <v>551</v>
      </c>
    </row>
    <row r="5" spans="1:2">
      <c r="B5" t="s">
        <v>527</v>
      </c>
    </row>
    <row r="7" spans="1:2">
      <c r="A7" t="s">
        <v>715</v>
      </c>
    </row>
    <row r="9" spans="1:2">
      <c r="A9" t="s">
        <v>526</v>
      </c>
    </row>
    <row r="10" spans="1:2">
      <c r="B10" t="s">
        <v>520</v>
      </c>
    </row>
    <row r="12" spans="1:2">
      <c r="A12" t="s">
        <v>709</v>
      </c>
    </row>
    <row r="14" spans="1:2">
      <c r="A14" t="s">
        <v>519</v>
      </c>
    </row>
    <row r="15" spans="1:2">
      <c r="B15" t="s">
        <v>521</v>
      </c>
    </row>
    <row r="17" spans="1:1">
      <c r="A17" t="s">
        <v>524</v>
      </c>
    </row>
    <row r="19" spans="1:1">
      <c r="A19" t="s">
        <v>525</v>
      </c>
    </row>
    <row r="21" spans="1:1">
      <c r="A21" t="s">
        <v>550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74"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27" customWidth="1"/>
    <col min="6" max="6" width="17" style="327" customWidth="1"/>
    <col min="7" max="7" width="15.5" style="327" customWidth="1"/>
    <col min="8" max="8" width="16.1640625" style="399"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6"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0" customWidth="1"/>
    <col min="35" max="35" width="20.6640625" bestFit="1" customWidth="1"/>
    <col min="36" max="36" width="15.33203125" bestFit="1" customWidth="1"/>
    <col min="37" max="37" width="13.33203125" bestFit="1" customWidth="1"/>
    <col min="38" max="38" width="13.83203125" customWidth="1"/>
  </cols>
  <sheetData>
    <row r="1" spans="1:38" hidden="1">
      <c r="A1" s="534"/>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row>
    <row r="2" spans="1:38" hidden="1">
      <c r="A2" s="534"/>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row>
    <row r="3" spans="1:38" hidden="1">
      <c r="A3" s="534"/>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row>
    <row r="4" spans="1:38" hidden="1">
      <c r="A4" s="534"/>
      <c r="B4" s="534"/>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row>
    <row r="5" spans="1:38" hidden="1">
      <c r="A5" s="534"/>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row>
    <row r="6" spans="1:38" hidden="1">
      <c r="A6" s="534"/>
      <c r="B6" s="534"/>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row>
    <row r="7" spans="1:38" ht="23.25" hidden="1" customHeight="1">
      <c r="A7" s="534"/>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row>
    <row r="8" spans="1:38" s="160" customFormat="1" ht="15.75" hidden="1" customHeight="1">
      <c r="A8" s="534"/>
      <c r="B8" s="534"/>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row>
    <row r="9" spans="1:38" ht="21" hidden="1" customHeight="1">
      <c r="A9" s="534"/>
      <c r="B9" s="534"/>
      <c r="C9" s="534"/>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row>
    <row r="10" spans="1:38">
      <c r="A10" t="s">
        <v>188</v>
      </c>
      <c r="B10" s="33" t="s">
        <v>127</v>
      </c>
      <c r="Y10" s="20"/>
      <c r="Z10" s="20"/>
      <c r="AA10" s="20"/>
      <c r="AB10" s="20"/>
      <c r="AC10" s="20"/>
      <c r="AD10" s="20"/>
      <c r="AE10" s="20"/>
      <c r="AF10" s="20"/>
      <c r="AG10" s="20"/>
      <c r="AH10" s="279"/>
    </row>
    <row r="11" spans="1:38" s="1" customFormat="1">
      <c r="B11" s="13"/>
      <c r="C11" s="328">
        <v>2009</v>
      </c>
      <c r="D11" s="328">
        <v>2010</v>
      </c>
      <c r="E11" s="328">
        <v>2011</v>
      </c>
      <c r="F11" s="328">
        <v>2012</v>
      </c>
      <c r="G11" s="328">
        <v>2013</v>
      </c>
      <c r="H11" s="400">
        <v>2014</v>
      </c>
      <c r="I11" s="13">
        <v>2015</v>
      </c>
      <c r="J11" s="13">
        <v>2016</v>
      </c>
      <c r="K11" s="13">
        <v>2017</v>
      </c>
      <c r="L11" s="13">
        <v>2018</v>
      </c>
      <c r="M11" s="13">
        <v>2019</v>
      </c>
      <c r="N11" s="177">
        <v>2020</v>
      </c>
      <c r="O11" s="13">
        <v>2021</v>
      </c>
      <c r="P11" s="13">
        <v>2022</v>
      </c>
      <c r="Q11" s="13">
        <v>2023</v>
      </c>
      <c r="R11" s="13">
        <v>2024</v>
      </c>
      <c r="S11" s="13">
        <v>2025</v>
      </c>
      <c r="T11" s="13">
        <v>2026</v>
      </c>
      <c r="U11" s="13">
        <v>2027</v>
      </c>
      <c r="V11" s="13">
        <v>2028</v>
      </c>
      <c r="W11" s="13">
        <v>2029</v>
      </c>
      <c r="X11" s="177">
        <v>2030</v>
      </c>
      <c r="Y11" s="13">
        <v>2031</v>
      </c>
      <c r="Z11" s="13">
        <v>2032</v>
      </c>
      <c r="AA11" s="13">
        <v>2033</v>
      </c>
      <c r="AB11" s="13">
        <v>2034</v>
      </c>
      <c r="AC11" s="13">
        <v>2035</v>
      </c>
      <c r="AD11" s="13">
        <v>2036</v>
      </c>
      <c r="AE11" s="13">
        <v>2037</v>
      </c>
      <c r="AF11" s="13">
        <v>2038</v>
      </c>
      <c r="AG11" s="13">
        <v>2039</v>
      </c>
      <c r="AH11" s="177">
        <v>2040</v>
      </c>
      <c r="AJ11" s="167">
        <v>1.0299073916679518E-2</v>
      </c>
      <c r="AK11" s="168">
        <f>AJ11/2</f>
        <v>5.1495369583397588E-3</v>
      </c>
    </row>
    <row r="12" spans="1:38" s="1" customFormat="1">
      <c r="A12" s="1" t="s">
        <v>62</v>
      </c>
      <c r="B12" s="33"/>
      <c r="C12" s="328"/>
      <c r="D12" s="328"/>
      <c r="E12" s="328"/>
      <c r="F12" s="328"/>
      <c r="G12" s="328"/>
      <c r="H12" s="400"/>
      <c r="I12" s="13"/>
      <c r="J12" s="13"/>
      <c r="K12" s="13"/>
      <c r="L12" s="13"/>
      <c r="M12" s="13"/>
      <c r="N12" s="176"/>
      <c r="O12" s="13"/>
      <c r="P12" s="13"/>
      <c r="Q12" s="13"/>
      <c r="R12" s="13"/>
      <c r="S12" s="13"/>
      <c r="T12" s="13"/>
      <c r="U12" s="13"/>
      <c r="V12" s="13"/>
      <c r="W12" s="13"/>
      <c r="X12" s="177"/>
      <c r="Y12" s="20"/>
      <c r="Z12" s="20"/>
      <c r="AA12" s="20"/>
      <c r="AB12" s="20"/>
      <c r="AC12" s="20"/>
      <c r="AD12" s="20"/>
      <c r="AE12" s="20"/>
      <c r="AF12" s="20"/>
      <c r="AG12" s="20"/>
      <c r="AH12" s="279"/>
    </row>
    <row r="13" spans="1:38" s="20" customFormat="1">
      <c r="A13" s="20" t="s">
        <v>130</v>
      </c>
      <c r="B13" s="33"/>
      <c r="C13" s="330">
        <f>EIA_electricity_aeo2014!E58*1000</f>
        <v>39500</v>
      </c>
      <c r="D13" s="330">
        <f>EIA_electricity_aeo2014!F58*1000</f>
        <v>43143</v>
      </c>
      <c r="E13" s="330">
        <f>EIA_electricity_aeo2014!G58*1000</f>
        <v>38598.541112005543</v>
      </c>
      <c r="F13" s="330">
        <f>EIA_electricity_aeo2014!H58*1000</f>
        <v>36415.367698492315</v>
      </c>
      <c r="G13" s="330">
        <f>EIA_electricity_aeo2014!I58*1000</f>
        <v>35794.915221636365</v>
      </c>
      <c r="H13" s="286">
        <f>EIA_electricity_aeo2014!J58*1000</f>
        <v>36845.974817296832</v>
      </c>
      <c r="I13" s="83">
        <f>EIA_electricity_aeo2014!K58*1000</f>
        <v>37405.69050043264</v>
      </c>
      <c r="J13" s="83">
        <f>EIA_electricity_aeo2014!L58*1000</f>
        <v>36740.202648405051</v>
      </c>
      <c r="K13" s="83">
        <f>EIA_electricity_aeo2014!M58*1000</f>
        <v>38287.899986245997</v>
      </c>
      <c r="L13" s="83">
        <f>EIA_electricity_aeo2014!N58*1000</f>
        <v>39495.151340391225</v>
      </c>
      <c r="M13" s="83">
        <f>EIA_electricity_aeo2014!O58*1000</f>
        <v>39836.465756305297</v>
      </c>
      <c r="N13" s="178">
        <f>EIA_electricity_aeo2014!P58*1000</f>
        <v>39367.163575185012</v>
      </c>
      <c r="O13" s="83">
        <f>EIA_electricity_aeo2014!Q58*1000</f>
        <v>39144.515142864861</v>
      </c>
      <c r="P13" s="83">
        <f>EIA_electricity_aeo2014!R58*1000</f>
        <v>38410.054718584688</v>
      </c>
      <c r="Q13" s="83">
        <f>EIA_electricity_aeo2014!S58*1000</f>
        <v>37922.045951434186</v>
      </c>
      <c r="R13" s="83">
        <f>EIA_electricity_aeo2014!T58*1000</f>
        <v>37719.267136465816</v>
      </c>
      <c r="S13" s="83">
        <f>EIA_electricity_aeo2014!U58*1000</f>
        <v>37652.391620059694</v>
      </c>
      <c r="T13" s="83">
        <f>EIA_electricity_aeo2014!V58*1000</f>
        <v>36898.541901575438</v>
      </c>
      <c r="U13" s="83">
        <f>EIA_electricity_aeo2014!W58*1000</f>
        <v>37415.712893355638</v>
      </c>
      <c r="V13" s="83">
        <f>EIA_electricity_aeo2014!X58*1000</f>
        <v>37941.871806568495</v>
      </c>
      <c r="W13" s="83">
        <f>EIA_electricity_aeo2014!Y58*1000</f>
        <v>37193.269225347809</v>
      </c>
      <c r="X13" s="185">
        <f>EIA_electricity_aeo2014!Z58*1000</f>
        <v>37611.783008181053</v>
      </c>
      <c r="Y13" s="175">
        <f>EIA_electricity_aeo2014!AA58*1000</f>
        <v>37948.509173931445</v>
      </c>
      <c r="Z13" s="175">
        <f>EIA_electricity_aeo2014!AB58*1000</f>
        <v>38128.489670351904</v>
      </c>
      <c r="AA13" s="175">
        <f>EIA_electricity_aeo2014!AC58*1000</f>
        <v>38789.46770612432</v>
      </c>
      <c r="AB13" s="175">
        <f>EIA_electricity_aeo2014!AD58*1000</f>
        <v>39087.690355125946</v>
      </c>
      <c r="AC13" s="175">
        <f>EIA_electricity_aeo2014!AE58*1000</f>
        <v>38733.580060915854</v>
      </c>
      <c r="AD13" s="175">
        <f>EIA_electricity_aeo2014!AF58*1000</f>
        <v>39156.541666592151</v>
      </c>
      <c r="AE13" s="175">
        <f>EIA_electricity_aeo2014!AG58*1000</f>
        <v>39001.072679253237</v>
      </c>
      <c r="AF13" s="175">
        <f>EIA_electricity_aeo2014!AH58*1000</f>
        <v>38878.086838903102</v>
      </c>
      <c r="AG13" s="175">
        <f>EIA_electricity_aeo2014!AI58*1000</f>
        <v>38591.878381061586</v>
      </c>
      <c r="AH13" s="185">
        <f>EIA_electricity_aeo2014!AJ58*1000</f>
        <v>37835.77751291688</v>
      </c>
      <c r="AI13" s="115">
        <f>X13/C13-1</f>
        <v>-4.7802961818201206E-2</v>
      </c>
      <c r="AJ13" s="166">
        <f>(1+AJ11)^21-1</f>
        <v>0.24007814276920247</v>
      </c>
      <c r="AK13" s="169">
        <f>(1+AK11)^21-1</f>
        <v>0.11389489977934208</v>
      </c>
      <c r="AL13" s="121"/>
    </row>
    <row r="14" spans="1:38" s="20" customFormat="1">
      <c r="A14" s="20" t="s">
        <v>131</v>
      </c>
      <c r="B14" s="33"/>
      <c r="C14" s="330">
        <f>EIA_electricity_aeo2014!E58 * 1000</f>
        <v>39500</v>
      </c>
      <c r="D14" s="330">
        <f>IF(Inputs!$C$7="BAU",'Output -Jobs vs Yr'!D13,C14+($X$14-$C$14)/($X$11-$C$11) )</f>
        <v>43143</v>
      </c>
      <c r="E14" s="330">
        <f>IF(Inputs!$C$7="BAU",'Output -Jobs vs Yr'!E13,D14+($X$14-$C$14)/($X$11-$C$11) )</f>
        <v>38598.541112005543</v>
      </c>
      <c r="F14" s="330">
        <f>IF(Inputs!$C$7="BAU",'Output -Jobs vs Yr'!F13,E14+($X$14-$C$14)/($X$11-$C$11) )</f>
        <v>36415.367698492315</v>
      </c>
      <c r="G14" s="330">
        <f>IF(Inputs!$C$7="BAU",'Output -Jobs vs Yr'!G13,F14+($X$14-$C$14)/($X$11-$C$11) )</f>
        <v>35794.915221636365</v>
      </c>
      <c r="H14" s="286">
        <f>EIA_electricity_aeo2014!J58*1000</f>
        <v>36845.974817296832</v>
      </c>
      <c r="I14" s="83">
        <f>IF(Inputs!$C$7="BAU",'Output -Jobs vs Yr'!I13,H14+($X$14-$C$14)/($X$11-$C$11) )</f>
        <v>37405.69050043264</v>
      </c>
      <c r="J14" s="83">
        <f>IF(Inputs!$C$7="BAU",'Output -Jobs vs Yr'!J13,I14+($X$14-$C$14)/($X$11-$C$11) )</f>
        <v>36740.202648405051</v>
      </c>
      <c r="K14" s="83">
        <f>IF(Inputs!$C$7="BAU",'Output -Jobs vs Yr'!K13,J14+($X$14-$C$14)/($X$11-$C$11) )</f>
        <v>38287.899986245997</v>
      </c>
      <c r="L14" s="83">
        <f>IF(Inputs!$C$7="BAU",'Output -Jobs vs Yr'!L13,K14+($X$14-$C$14)/($X$11-$C$11) )</f>
        <v>39495.151340391225</v>
      </c>
      <c r="M14" s="83">
        <f>IF(Inputs!$C$7="BAU",'Output -Jobs vs Yr'!M13,L14+($X$14-$C$14)/($X$11-$C$11) )</f>
        <v>39836.465756305297</v>
      </c>
      <c r="N14" s="178">
        <f>IF(Inputs!$C$7="BAU",'Output -Jobs vs Yr'!N13,M14+($X$14-$C$14)/($X$11-$C$11) )</f>
        <v>39367.163575185012</v>
      </c>
      <c r="O14" s="83">
        <f>IF(Inputs!$C$7="BAU",'Output -Jobs vs Yr'!O13,N14+($X$14-$C$14)/($X$11-$C$11) )</f>
        <v>39144.515142864861</v>
      </c>
      <c r="P14" s="83">
        <f>IF(Inputs!$C$7="BAU",'Output -Jobs vs Yr'!P13,O14+($X$14-$C$14)/($X$11-$C$11) )</f>
        <v>38410.054718584688</v>
      </c>
      <c r="Q14" s="83">
        <f>IF(Inputs!$C$7="BAU",'Output -Jobs vs Yr'!Q13,P14+($X$14-$C$14)/($X$11-$C$11) )</f>
        <v>37922.045951434186</v>
      </c>
      <c r="R14" s="83">
        <f>IF(Inputs!$C$7="BAU",'Output -Jobs vs Yr'!R13,Q14+($X$14-$C$14)/($X$11-$C$11) )</f>
        <v>37719.267136465816</v>
      </c>
      <c r="S14" s="83">
        <f>IF(Inputs!$C$7="BAU",'Output -Jobs vs Yr'!S13,R14+($X$14-$C$14)/($X$11-$C$11) )</f>
        <v>37652.391620059694</v>
      </c>
      <c r="T14" s="83">
        <f>IF(Inputs!$C$7="BAU",'Output -Jobs vs Yr'!T13,S14+($X$14-$C$14)/($X$11-$C$11) )</f>
        <v>36898.541901575438</v>
      </c>
      <c r="U14" s="83">
        <f>IF(Inputs!$C$7="BAU",'Output -Jobs vs Yr'!U13,T14+($X$14-$C$14)/($X$11-$C$11) )</f>
        <v>37415.712893355638</v>
      </c>
      <c r="V14" s="83">
        <f>IF(Inputs!$C$7="BAU",'Output -Jobs vs Yr'!V13,U14+($X$14-$C$14)/($X$11-$C$11) )</f>
        <v>37941.871806568495</v>
      </c>
      <c r="W14" s="83">
        <f>IF(Inputs!$C$7="BAU",'Output -Jobs vs Yr'!W13,V14+($X$14-$C$14)/($X$11-$C$11) )</f>
        <v>37193.269225347809</v>
      </c>
      <c r="X14" s="185">
        <f>IF(Inputs!$C$7="BAU",'Output -Jobs vs Yr'!X13,C14*(1+Inputs!C7) )</f>
        <v>37611.783008181053</v>
      </c>
      <c r="Y14" s="175">
        <f>IF(Inputs!$C$7="BAU",'Output -Jobs vs Yr'!Y13,D14*(1+Inputs!D7) )</f>
        <v>37948.509173931445</v>
      </c>
      <c r="Z14" s="175">
        <f>IF(Inputs!$C$7="BAU",'Output -Jobs vs Yr'!Z13,E14*(1+Inputs!E7) )</f>
        <v>38128.489670351904</v>
      </c>
      <c r="AA14" s="175">
        <f>IF(Inputs!$C$7="BAU",'Output -Jobs vs Yr'!AA13,F14*(1+Inputs!F7) )</f>
        <v>38789.46770612432</v>
      </c>
      <c r="AB14" s="175">
        <f>IF(Inputs!$C$7="BAU",'Output -Jobs vs Yr'!AB13,G14*(1+Inputs!G7) )</f>
        <v>39087.690355125946</v>
      </c>
      <c r="AC14" s="175">
        <f>IF(Inputs!$C$7="BAU",'Output -Jobs vs Yr'!AC13,H14*(1+Inputs!H7) )</f>
        <v>38733.580060915854</v>
      </c>
      <c r="AD14" s="175">
        <f>IF(Inputs!$C$7="BAU",'Output -Jobs vs Yr'!AD13,I14*(1+Inputs!L7) )</f>
        <v>39156.541666592151</v>
      </c>
      <c r="AE14" s="175">
        <f>IF(Inputs!$C$7="BAU",'Output -Jobs vs Yr'!AE13,J14*(1+Inputs!M7) )</f>
        <v>39001.072679253237</v>
      </c>
      <c r="AF14" s="175">
        <f>IF(Inputs!$C$7="BAU",'Output -Jobs vs Yr'!AF13,K14*(1+Inputs!N7) )</f>
        <v>38878.086838903102</v>
      </c>
      <c r="AG14" s="175">
        <f>IF(Inputs!$C$7="BAU",'Output -Jobs vs Yr'!AG13,L14*(1+Inputs!O7) )</f>
        <v>38591.878381061586</v>
      </c>
      <c r="AH14" s="185">
        <f>IF(Inputs!$C$7="BAU",'Output -Jobs vs Yr'!AH13,M14*(1+Inputs!P7) )</f>
        <v>37835.77751291688</v>
      </c>
      <c r="AI14" s="99"/>
      <c r="AJ14" s="166" t="s">
        <v>0</v>
      </c>
      <c r="AK14" s="30" t="s">
        <v>0</v>
      </c>
      <c r="AL14" s="121"/>
    </row>
    <row r="15" spans="1:38" s="20" customFormat="1">
      <c r="A15" s="20" t="s">
        <v>208</v>
      </c>
      <c r="B15" s="33"/>
      <c r="C15" s="330">
        <f>C14-C13</f>
        <v>0</v>
      </c>
      <c r="D15" s="330">
        <f>D13-D14</f>
        <v>0</v>
      </c>
      <c r="E15" s="330">
        <f t="shared" ref="E15:AH15" si="0">E13-E14</f>
        <v>0</v>
      </c>
      <c r="F15" s="330">
        <f t="shared" si="0"/>
        <v>0</v>
      </c>
      <c r="G15" s="330">
        <f t="shared" si="0"/>
        <v>0</v>
      </c>
      <c r="H15" s="286">
        <f t="shared" si="0"/>
        <v>0</v>
      </c>
      <c r="I15" s="83">
        <f t="shared" si="0"/>
        <v>0</v>
      </c>
      <c r="J15" s="83">
        <f t="shared" si="0"/>
        <v>0</v>
      </c>
      <c r="K15" s="83">
        <f t="shared" si="0"/>
        <v>0</v>
      </c>
      <c r="L15" s="83">
        <f t="shared" si="0"/>
        <v>0</v>
      </c>
      <c r="M15" s="83">
        <f t="shared" si="0"/>
        <v>0</v>
      </c>
      <c r="N15" s="178">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5">
        <f t="shared" si="0"/>
        <v>0</v>
      </c>
      <c r="Y15" s="175">
        <f t="shared" si="0"/>
        <v>0</v>
      </c>
      <c r="Z15" s="175">
        <f t="shared" si="0"/>
        <v>0</v>
      </c>
      <c r="AA15" s="175">
        <f t="shared" si="0"/>
        <v>0</v>
      </c>
      <c r="AB15" s="175">
        <f t="shared" si="0"/>
        <v>0</v>
      </c>
      <c r="AC15" s="175">
        <f t="shared" si="0"/>
        <v>0</v>
      </c>
      <c r="AD15" s="175">
        <f t="shared" si="0"/>
        <v>0</v>
      </c>
      <c r="AE15" s="175">
        <f t="shared" si="0"/>
        <v>0</v>
      </c>
      <c r="AF15" s="175">
        <f t="shared" si="0"/>
        <v>0</v>
      </c>
      <c r="AG15" s="175">
        <f t="shared" si="0"/>
        <v>0</v>
      </c>
      <c r="AH15" s="185">
        <f t="shared" si="0"/>
        <v>0</v>
      </c>
      <c r="AI15" s="120"/>
      <c r="AJ15" s="122"/>
      <c r="AK15" s="30"/>
      <c r="AL15" s="123"/>
    </row>
    <row r="16" spans="1:38" s="379" customFormat="1">
      <c r="A16" s="379" t="s">
        <v>123</v>
      </c>
      <c r="B16" s="380"/>
      <c r="C16" s="381">
        <f t="shared" ref="C16:M16" si="1">C95</f>
        <v>3.1012911392405064E-2</v>
      </c>
      <c r="D16" s="381">
        <f t="shared" si="1"/>
        <v>3.7757832532046454E-2</v>
      </c>
      <c r="E16" s="381">
        <f t="shared" si="1"/>
        <v>4.5331541237126148E-2</v>
      </c>
      <c r="F16" s="381">
        <f t="shared" si="1"/>
        <v>5.3598825219363877E-2</v>
      </c>
      <c r="G16" s="381">
        <f t="shared" si="1"/>
        <v>6.4679880247370397E-2</v>
      </c>
      <c r="H16" s="381">
        <f t="shared" si="1"/>
        <v>4.3216649718947495E-2</v>
      </c>
      <c r="I16" s="381">
        <f t="shared" si="1"/>
        <v>5.3182435099603582E-2</v>
      </c>
      <c r="J16" s="381">
        <f t="shared" si="1"/>
        <v>6.4570475732053212E-2</v>
      </c>
      <c r="K16" s="381">
        <f t="shared" si="1"/>
        <v>7.6803492397256534E-2</v>
      </c>
      <c r="L16" s="381">
        <f t="shared" si="1"/>
        <v>9.3230943366925764E-2</v>
      </c>
      <c r="M16" s="381">
        <f t="shared" si="1"/>
        <v>0.11405528373532618</v>
      </c>
      <c r="N16" s="381">
        <f>Inputs!C11</f>
        <v>0.14000000000000001</v>
      </c>
      <c r="O16" s="381">
        <f t="shared" ref="O16:W16" si="2">O95</f>
        <v>0.14856177752301608</v>
      </c>
      <c r="P16" s="381">
        <f t="shared" si="2"/>
        <v>0.15744802863488777</v>
      </c>
      <c r="Q16" s="381">
        <f t="shared" si="2"/>
        <v>0.1668624062834429</v>
      </c>
      <c r="R16" s="381">
        <f t="shared" si="2"/>
        <v>0.1768355722925978</v>
      </c>
      <c r="S16" s="381">
        <f t="shared" si="2"/>
        <v>0.1874015741933871</v>
      </c>
      <c r="T16" s="381">
        <f t="shared" si="2"/>
        <v>0.1986032411425043</v>
      </c>
      <c r="U16" s="381">
        <f t="shared" si="2"/>
        <v>0.21045983791535328</v>
      </c>
      <c r="V16" s="381">
        <f t="shared" si="2"/>
        <v>0.22302222883696582</v>
      </c>
      <c r="W16" s="381">
        <f t="shared" si="2"/>
        <v>0.23634695418407028</v>
      </c>
      <c r="X16" s="382">
        <f>Inputs!C12</f>
        <v>0.25</v>
      </c>
      <c r="Y16" s="383">
        <f>Y95</f>
        <v>0.25507417097058893</v>
      </c>
      <c r="Z16" s="383">
        <f t="shared" ref="Z16:AG16" si="3">Z95</f>
        <v>0.2597826373779592</v>
      </c>
      <c r="AA16" s="383">
        <f t="shared" si="3"/>
        <v>0.26457059598846339</v>
      </c>
      <c r="AB16" s="383">
        <f t="shared" si="3"/>
        <v>0.26945069277279177</v>
      </c>
      <c r="AC16" s="383">
        <f t="shared" si="3"/>
        <v>0.27442926136522572</v>
      </c>
      <c r="AD16" s="383">
        <f t="shared" si="3"/>
        <v>0.27948754132051212</v>
      </c>
      <c r="AE16" s="383">
        <f t="shared" si="3"/>
        <v>0.28464711198966702</v>
      </c>
      <c r="AF16" s="383">
        <f t="shared" si="3"/>
        <v>0.28990078695775828</v>
      </c>
      <c r="AG16" s="383">
        <f t="shared" si="3"/>
        <v>0.29525363025126294</v>
      </c>
      <c r="AH16" s="382">
        <f>Inputs!C13</f>
        <v>0.3</v>
      </c>
      <c r="AI16" s="384" t="s">
        <v>0</v>
      </c>
      <c r="AJ16" s="385"/>
      <c r="AK16" s="386"/>
      <c r="AL16" s="387"/>
    </row>
    <row r="17" spans="1:37" s="281" customFormat="1">
      <c r="A17" s="281" t="s">
        <v>115</v>
      </c>
      <c r="B17" s="282"/>
      <c r="C17" s="337"/>
      <c r="D17" s="332">
        <f>D16/C16-1</f>
        <v>0.21748751848216341</v>
      </c>
      <c r="E17" s="332">
        <f t="shared" ref="E17:M17" si="4">E16/D16-1</f>
        <v>0.20058642663483428</v>
      </c>
      <c r="F17" s="332">
        <f t="shared" si="4"/>
        <v>0.1823737679465196</v>
      </c>
      <c r="G17" s="332">
        <f t="shared" si="4"/>
        <v>0.20674063251675934</v>
      </c>
      <c r="H17" s="284"/>
      <c r="I17" s="284">
        <f t="shared" si="4"/>
        <v>0.23060060058951737</v>
      </c>
      <c r="J17" s="284">
        <f t="shared" si="4"/>
        <v>0.21413161340057774</v>
      </c>
      <c r="K17" s="284">
        <f t="shared" si="4"/>
        <v>0.18945216875846516</v>
      </c>
      <c r="L17" s="284">
        <f t="shared" si="4"/>
        <v>0.21388937477869208</v>
      </c>
      <c r="M17" s="284">
        <f t="shared" si="4"/>
        <v>0.22336296959307589</v>
      </c>
      <c r="N17" s="284">
        <f>N16/M16-1</f>
        <v>0.22747491755735294</v>
      </c>
      <c r="O17" s="284">
        <f>O16/N16-1</f>
        <v>6.1155553735829038E-2</v>
      </c>
      <c r="P17" s="284">
        <f t="shared" ref="P17:X17" si="5">P16/O16-1</f>
        <v>5.9815191094458875E-2</v>
      </c>
      <c r="Q17" s="284">
        <f t="shared" si="5"/>
        <v>5.9793556833833028E-2</v>
      </c>
      <c r="R17" s="284">
        <f t="shared" si="5"/>
        <v>5.9768801321334442E-2</v>
      </c>
      <c r="S17" s="284">
        <f t="shared" si="5"/>
        <v>5.9750432358182115E-2</v>
      </c>
      <c r="T17" s="284">
        <f t="shared" si="5"/>
        <v>5.9773601141459798E-2</v>
      </c>
      <c r="U17" s="284">
        <f t="shared" si="5"/>
        <v>5.9699915795137892E-2</v>
      </c>
      <c r="V17" s="284">
        <f t="shared" si="5"/>
        <v>5.9690205247925343E-2</v>
      </c>
      <c r="W17" s="284">
        <f t="shared" si="5"/>
        <v>5.9746176049765509E-2</v>
      </c>
      <c r="X17" s="283">
        <f t="shared" si="5"/>
        <v>5.7766963247161351E-2</v>
      </c>
      <c r="Y17" s="288">
        <v>2.9000000000000001E-2</v>
      </c>
      <c r="Z17" s="288">
        <v>2.9000000000000001E-2</v>
      </c>
      <c r="AA17" s="288">
        <v>2.9000000000000001E-2</v>
      </c>
      <c r="AB17" s="288">
        <v>2.9000000000000001E-2</v>
      </c>
      <c r="AC17" s="288">
        <v>2.9000000000000001E-2</v>
      </c>
      <c r="AD17" s="288">
        <v>2.9000000000000001E-2</v>
      </c>
      <c r="AE17" s="288">
        <v>2.9000000000000001E-2</v>
      </c>
      <c r="AF17" s="288">
        <v>2.9000000000000001E-2</v>
      </c>
      <c r="AG17" s="288">
        <v>2.9000000000000001E-2</v>
      </c>
      <c r="AH17" s="372">
        <v>2.9000000000000001E-2</v>
      </c>
    </row>
    <row r="18" spans="1:37" s="20" customFormat="1">
      <c r="A18" s="20" t="s">
        <v>135</v>
      </c>
      <c r="B18" s="33"/>
      <c r="C18" s="332">
        <f>C32/C14</f>
        <v>0.13660759493670885</v>
      </c>
      <c r="D18" s="332">
        <f t="shared" ref="D18:G18" si="6">($N$18-$C$18)/($N$11-$C$11)+C18</f>
        <v>0.13542322356745623</v>
      </c>
      <c r="E18" s="332">
        <f t="shared" si="6"/>
        <v>0.13423885219820361</v>
      </c>
      <c r="F18" s="332">
        <f t="shared" si="6"/>
        <v>0.13305448082895099</v>
      </c>
      <c r="G18" s="332">
        <f t="shared" si="6"/>
        <v>0.13187010945969838</v>
      </c>
      <c r="H18" s="284">
        <f>H32/H14</f>
        <v>0.14576524745441374</v>
      </c>
      <c r="I18" s="173">
        <f>($N$18-$H$18)/($N$11-$H$11)+H18</f>
        <v>0.14206762452449978</v>
      </c>
      <c r="J18" s="173">
        <f t="shared" ref="J18:M18" si="7">($N$18-$H$18)/($N$11-$H$11)+I18</f>
        <v>0.13837000159458582</v>
      </c>
      <c r="K18" s="173">
        <f t="shared" si="7"/>
        <v>0.13467237866467185</v>
      </c>
      <c r="L18" s="173">
        <f t="shared" si="7"/>
        <v>0.13097475573475789</v>
      </c>
      <c r="M18" s="173">
        <f t="shared" si="7"/>
        <v>0.12727713280484393</v>
      </c>
      <c r="N18" s="181">
        <f>Inputs!C36</f>
        <v>0.12357950987492995</v>
      </c>
      <c r="O18" s="91">
        <f t="shared" ref="O18:W18" si="8">($X$18-$N$18)/($X$11-$N$11)+N18</f>
        <v>0.1242983256998787</v>
      </c>
      <c r="P18" s="91">
        <f t="shared" si="8"/>
        <v>0.12501714152482746</v>
      </c>
      <c r="Q18" s="91">
        <f t="shared" si="8"/>
        <v>0.12573595734977622</v>
      </c>
      <c r="R18" s="91">
        <f t="shared" si="8"/>
        <v>0.12645477317472498</v>
      </c>
      <c r="S18" s="22">
        <f t="shared" si="8"/>
        <v>0.12717358899967374</v>
      </c>
      <c r="T18" s="91">
        <f t="shared" si="8"/>
        <v>0.1278924048246225</v>
      </c>
      <c r="U18" s="91">
        <f t="shared" si="8"/>
        <v>0.12861122064957126</v>
      </c>
      <c r="V18" s="91">
        <f t="shared" si="8"/>
        <v>0.12933003647452002</v>
      </c>
      <c r="W18" s="91">
        <f t="shared" si="8"/>
        <v>0.13004885229946878</v>
      </c>
      <c r="X18" s="186">
        <f>Inputs!F36</f>
        <v>0.13076766812441748</v>
      </c>
      <c r="Y18" s="173">
        <f>($AH$18-$X$18)/($AH$11-$X$11)+X18</f>
        <v>0.13070192377093662</v>
      </c>
      <c r="Z18" s="173">
        <f t="shared" ref="Z18:AG18" si="9">($AH$18-$X$18)/($AH$11-$X$11)+Y18</f>
        <v>0.13063617941745576</v>
      </c>
      <c r="AA18" s="173">
        <f t="shared" si="9"/>
        <v>0.13057043506397489</v>
      </c>
      <c r="AB18" s="173">
        <f t="shared" si="9"/>
        <v>0.13050469071049403</v>
      </c>
      <c r="AC18" s="173">
        <f t="shared" si="9"/>
        <v>0.13043894635701317</v>
      </c>
      <c r="AD18" s="173">
        <f t="shared" si="9"/>
        <v>0.13037320200353231</v>
      </c>
      <c r="AE18" s="173">
        <f t="shared" si="9"/>
        <v>0.13030745765005144</v>
      </c>
      <c r="AF18" s="173">
        <f t="shared" si="9"/>
        <v>0.13024171329657058</v>
      </c>
      <c r="AG18" s="173">
        <f t="shared" si="9"/>
        <v>0.13017596894308972</v>
      </c>
      <c r="AH18" s="186">
        <f>Inputs!H36</f>
        <v>0.13011022458960891</v>
      </c>
      <c r="AK18"/>
    </row>
    <row r="19" spans="1:37" s="281" customFormat="1">
      <c r="A19" s="281" t="s">
        <v>114</v>
      </c>
      <c r="B19" s="285"/>
      <c r="C19" s="330">
        <f t="shared" ref="C19:AH19" si="10">C16*C14</f>
        <v>1225.01</v>
      </c>
      <c r="D19" s="330">
        <f t="shared" si="10"/>
        <v>1628.9861689300801</v>
      </c>
      <c r="E19" s="330">
        <f t="shared" si="10"/>
        <v>1749.7313581117883</v>
      </c>
      <c r="F19" s="330">
        <f t="shared" si="10"/>
        <v>1951.8209285703585</v>
      </c>
      <c r="G19" s="330">
        <f t="shared" si="10"/>
        <v>2315.210830000216</v>
      </c>
      <c r="H19" s="286">
        <f t="shared" si="10"/>
        <v>1592.3595872322776</v>
      </c>
      <c r="I19" s="286">
        <f t="shared" si="10"/>
        <v>1989.3257073951172</v>
      </c>
      <c r="J19" s="286">
        <f t="shared" si="10"/>
        <v>2372.3323634995554</v>
      </c>
      <c r="K19" s="286">
        <f t="shared" si="10"/>
        <v>2940.6444355005628</v>
      </c>
      <c r="L19" s="286">
        <f t="shared" si="10"/>
        <v>3682.1702178841765</v>
      </c>
      <c r="M19" s="286">
        <f t="shared" si="10"/>
        <v>4543.5594048480061</v>
      </c>
      <c r="N19" s="287">
        <f t="shared" si="10"/>
        <v>5511.4029005259017</v>
      </c>
      <c r="O19" s="286">
        <f t="shared" si="10"/>
        <v>5815.378749900623</v>
      </c>
      <c r="P19" s="286">
        <f t="shared" si="10"/>
        <v>6047.5873951993281</v>
      </c>
      <c r="Q19" s="286">
        <f t="shared" si="10"/>
        <v>6327.7638386476019</v>
      </c>
      <c r="R19" s="286">
        <f t="shared" si="10"/>
        <v>6670.108190534309</v>
      </c>
      <c r="S19" s="286">
        <f t="shared" si="10"/>
        <v>7056.1174617450833</v>
      </c>
      <c r="T19" s="286">
        <f t="shared" si="10"/>
        <v>7328.1700150853858</v>
      </c>
      <c r="U19" s="286">
        <f t="shared" si="10"/>
        <v>7874.5048710230212</v>
      </c>
      <c r="V19" s="286">
        <f t="shared" si="10"/>
        <v>8461.8808165473401</v>
      </c>
      <c r="W19" s="286">
        <f t="shared" si="10"/>
        <v>8790.5158975590693</v>
      </c>
      <c r="X19" s="287">
        <f>Inputs!C12*'Output -Jobs vs Yr'!X14</f>
        <v>9402.9457520452634</v>
      </c>
      <c r="Y19" s="286">
        <f t="shared" si="10"/>
        <v>9679.6845171103523</v>
      </c>
      <c r="Z19" s="286">
        <f t="shared" si="10"/>
        <v>9905.1196058022924</v>
      </c>
      <c r="AA19" s="286">
        <f t="shared" si="10"/>
        <v>10262.552589084566</v>
      </c>
      <c r="AB19" s="286">
        <f t="shared" si="10"/>
        <v>10532.205245077057</v>
      </c>
      <c r="AC19" s="286">
        <f t="shared" si="10"/>
        <v>10629.627766147973</v>
      </c>
      <c r="AD19" s="286">
        <f t="shared" si="10"/>
        <v>10943.765557010029</v>
      </c>
      <c r="AE19" s="286">
        <f t="shared" si="10"/>
        <v>11101.542702648539</v>
      </c>
      <c r="AF19" s="286">
        <f t="shared" si="10"/>
        <v>11270.787970010075</v>
      </c>
      <c r="AG19" s="286">
        <f t="shared" si="10"/>
        <v>11394.392190223665</v>
      </c>
      <c r="AH19" s="287">
        <f t="shared" si="10"/>
        <v>11350.733253875063</v>
      </c>
    </row>
    <row r="20" spans="1:37" s="20" customFormat="1">
      <c r="A20" s="20" t="s">
        <v>211</v>
      </c>
      <c r="B20" s="33"/>
      <c r="C20" s="330">
        <f>'Output - Jobs vs Yr (BAU)'!C18</f>
        <v>1225.01</v>
      </c>
      <c r="D20" s="330">
        <f>'Output - Jobs vs Yr (BAU)'!D18</f>
        <v>1301.3003435589999</v>
      </c>
      <c r="E20" s="330">
        <f>'Output - Jobs vs Yr (BAU)'!E18</f>
        <v>1320.056658523185</v>
      </c>
      <c r="F20" s="330">
        <f>'Output - Jobs vs Yr (BAU)'!F18</f>
        <v>1368.8115538788295</v>
      </c>
      <c r="G20" s="330">
        <f>'Output - Jobs vs Yr (BAU)'!G18</f>
        <v>1542.0316934663647</v>
      </c>
      <c r="H20" s="286">
        <f>'Output - Jobs vs Yr (BAU)'!H18</f>
        <v>1591.3595872322778</v>
      </c>
      <c r="I20" s="83">
        <f>'Output - Jobs vs Yr (BAU)'!I18</f>
        <v>1709.4808346640393</v>
      </c>
      <c r="J20" s="83">
        <f>'Output - Jobs vs Yr (BAU)'!J18</f>
        <v>1846.2337291681997</v>
      </c>
      <c r="K20" s="83">
        <f>'Output - Jobs vs Yr (BAU)'!K18</f>
        <v>1917.2235170712611</v>
      </c>
      <c r="L20" s="83">
        <f>'Output - Jobs vs Yr (BAU)'!L18</f>
        <v>1930.861973303892</v>
      </c>
      <c r="M20" s="83">
        <f>'Output - Jobs vs Yr (BAU)'!M18</f>
        <v>1937.9397178473903</v>
      </c>
      <c r="N20" s="178">
        <f>'Output - Jobs vs Yr (BAU)'!N18</f>
        <v>1937.5610977434039</v>
      </c>
      <c r="O20" s="83">
        <f>'Output - Jobs vs Yr (BAU)'!O18</f>
        <v>1947.3896993576031</v>
      </c>
      <c r="P20" s="83">
        <f>'Output - Jobs vs Yr (BAU)'!P18</f>
        <v>1941.2752473161368</v>
      </c>
      <c r="Q20" s="83">
        <f>'Output - Jobs vs Yr (BAU)'!Q18</f>
        <v>1937.0923338872617</v>
      </c>
      <c r="R20" s="83">
        <f>'Output - Jobs vs Yr (BAU)'!R18</f>
        <v>1936.8617071231758</v>
      </c>
      <c r="S20" s="83">
        <f>'Output - Jobs vs Yr (BAU)'!S18</f>
        <v>1940.4597162272437</v>
      </c>
      <c r="T20" s="83">
        <f>'Output - Jobs vs Yr (BAU)'!T18</f>
        <v>1935.6126827088128</v>
      </c>
      <c r="U20" s="83">
        <f>'Output - Jobs vs Yr (BAU)'!U18</f>
        <v>1943.1418974761586</v>
      </c>
      <c r="V20" s="83">
        <f>'Output - Jobs vs Yr (BAU)'!V18</f>
        <v>1963.1837514769968</v>
      </c>
      <c r="W20" s="83">
        <f>'Output - Jobs vs Yr (BAU)'!W18</f>
        <v>1952.827659994374</v>
      </c>
      <c r="X20" s="185">
        <f>'Output - Jobs vs Yr (BAU)'!X18</f>
        <v>1957.201269370518</v>
      </c>
      <c r="Y20" s="175">
        <f>'Output - Jobs vs Yr (BAU)'!Y18</f>
        <v>1966.153830584424</v>
      </c>
      <c r="Z20" s="175">
        <f>'Output - Jobs vs Yr (BAU)'!Z18</f>
        <v>1967.5914162850986</v>
      </c>
      <c r="AA20" s="175">
        <f>'Output - Jobs vs Yr (BAU)'!AA18</f>
        <v>1977.1005663886585</v>
      </c>
      <c r="AB20" s="175">
        <f>'Output - Jobs vs Yr (BAU)'!AB18</f>
        <v>1979.6297675815611</v>
      </c>
      <c r="AC20" s="175">
        <f>'Output - Jobs vs Yr (BAU)'!AC18</f>
        <v>1978.0116926726853</v>
      </c>
      <c r="AD20" s="175">
        <f>'Output - Jobs vs Yr (BAU)'!AD18</f>
        <v>1990.7988287757407</v>
      </c>
      <c r="AE20" s="175">
        <f>'Output - Jobs vs Yr (BAU)'!AE18</f>
        <v>1999.2240294607757</v>
      </c>
      <c r="AF20" s="175">
        <f>'Output - Jobs vs Yr (BAU)'!AF18</f>
        <v>1999.9384990865103</v>
      </c>
      <c r="AG20" s="175">
        <f>'Output - Jobs vs Yr (BAU)'!AG18</f>
        <v>1996.2695959605126</v>
      </c>
      <c r="AH20" s="185">
        <f>'Output - Jobs vs Yr (BAU)'!AH18</f>
        <v>1992.8447559769656</v>
      </c>
    </row>
    <row r="21" spans="1:37" s="20" customFormat="1">
      <c r="A21" s="20" t="s">
        <v>116</v>
      </c>
      <c r="B21" s="33"/>
      <c r="C21" s="330">
        <f t="shared" ref="C21:AH21" si="11">MAX(C19:C20)</f>
        <v>1225.01</v>
      </c>
      <c r="D21" s="330">
        <f t="shared" si="11"/>
        <v>1628.9861689300801</v>
      </c>
      <c r="E21" s="330">
        <f t="shared" si="11"/>
        <v>1749.7313581117883</v>
      </c>
      <c r="F21" s="330">
        <f t="shared" si="11"/>
        <v>1951.8209285703585</v>
      </c>
      <c r="G21" s="330">
        <f t="shared" si="11"/>
        <v>2315.210830000216</v>
      </c>
      <c r="H21" s="286">
        <f t="shared" si="11"/>
        <v>1592.3595872322776</v>
      </c>
      <c r="I21" s="83">
        <f t="shared" si="11"/>
        <v>1989.3257073951172</v>
      </c>
      <c r="J21" s="83">
        <f t="shared" si="11"/>
        <v>2372.3323634995554</v>
      </c>
      <c r="K21" s="83">
        <f t="shared" si="11"/>
        <v>2940.6444355005628</v>
      </c>
      <c r="L21" s="83">
        <f t="shared" si="11"/>
        <v>3682.1702178841765</v>
      </c>
      <c r="M21" s="83">
        <f t="shared" si="11"/>
        <v>4543.5594048480061</v>
      </c>
      <c r="N21" s="178">
        <f t="shared" si="11"/>
        <v>5511.4029005259017</v>
      </c>
      <c r="O21" s="83">
        <f t="shared" si="11"/>
        <v>5815.378749900623</v>
      </c>
      <c r="P21" s="83">
        <f t="shared" si="11"/>
        <v>6047.5873951993281</v>
      </c>
      <c r="Q21" s="83">
        <f t="shared" si="11"/>
        <v>6327.7638386476019</v>
      </c>
      <c r="R21" s="83">
        <f t="shared" si="11"/>
        <v>6670.108190534309</v>
      </c>
      <c r="S21" s="83">
        <f t="shared" si="11"/>
        <v>7056.1174617450833</v>
      </c>
      <c r="T21" s="83">
        <f t="shared" si="11"/>
        <v>7328.1700150853858</v>
      </c>
      <c r="U21" s="83">
        <f t="shared" si="11"/>
        <v>7874.5048710230212</v>
      </c>
      <c r="V21" s="83">
        <f t="shared" si="11"/>
        <v>8461.8808165473401</v>
      </c>
      <c r="W21" s="83">
        <f t="shared" si="11"/>
        <v>8790.5158975590693</v>
      </c>
      <c r="X21" s="185">
        <f t="shared" si="11"/>
        <v>9402.9457520452634</v>
      </c>
      <c r="Y21" s="175">
        <f t="shared" si="11"/>
        <v>9679.6845171103523</v>
      </c>
      <c r="Z21" s="175">
        <f t="shared" si="11"/>
        <v>9905.1196058022924</v>
      </c>
      <c r="AA21" s="175">
        <f t="shared" si="11"/>
        <v>10262.552589084566</v>
      </c>
      <c r="AB21" s="175">
        <f t="shared" si="11"/>
        <v>10532.205245077057</v>
      </c>
      <c r="AC21" s="175">
        <f t="shared" si="11"/>
        <v>10629.627766147973</v>
      </c>
      <c r="AD21" s="175">
        <f t="shared" si="11"/>
        <v>10943.765557010029</v>
      </c>
      <c r="AE21" s="175">
        <f t="shared" si="11"/>
        <v>11101.542702648539</v>
      </c>
      <c r="AF21" s="175">
        <f t="shared" si="11"/>
        <v>11270.787970010075</v>
      </c>
      <c r="AG21" s="175">
        <f t="shared" si="11"/>
        <v>11394.392190223665</v>
      </c>
      <c r="AH21" s="185">
        <f t="shared" si="11"/>
        <v>11350.733253875063</v>
      </c>
      <c r="AI21" s="99"/>
    </row>
    <row r="22" spans="1:37" s="20" customFormat="1">
      <c r="A22" s="20" t="s">
        <v>378</v>
      </c>
      <c r="B22" s="33"/>
      <c r="C22" s="330" t="s">
        <v>0</v>
      </c>
      <c r="D22" s="330"/>
      <c r="E22" s="330"/>
      <c r="F22" s="330"/>
      <c r="G22" s="330"/>
      <c r="H22" s="286"/>
      <c r="I22" s="83"/>
      <c r="J22" s="83"/>
      <c r="K22" s="83"/>
      <c r="L22" s="83"/>
      <c r="M22" s="83"/>
      <c r="N22" s="178"/>
      <c r="O22" s="83"/>
      <c r="P22" s="83"/>
      <c r="Q22" s="83"/>
      <c r="R22" s="83"/>
      <c r="S22" s="83"/>
      <c r="T22" s="83"/>
      <c r="U22" s="83"/>
      <c r="V22" s="83"/>
      <c r="W22" s="174" t="s">
        <v>0</v>
      </c>
      <c r="X22" s="185"/>
      <c r="Y22"/>
      <c r="Z22"/>
      <c r="AA22"/>
      <c r="AB22"/>
      <c r="AC22"/>
      <c r="AD22"/>
      <c r="AE22"/>
      <c r="AF22"/>
      <c r="AG22"/>
      <c r="AH22" s="280"/>
      <c r="AI22" s="99"/>
    </row>
    <row r="23" spans="1:37" s="20" customFormat="1">
      <c r="A23" t="s">
        <v>537</v>
      </c>
      <c r="B23" s="33"/>
      <c r="C23" s="330">
        <v>0</v>
      </c>
      <c r="D23" s="332">
        <f t="shared" ref="D23:G23" si="12">C23+($N$23-$C$23)/($N$11-$C$11)</f>
        <v>0</v>
      </c>
      <c r="E23" s="332">
        <f t="shared" si="12"/>
        <v>0</v>
      </c>
      <c r="F23" s="332">
        <f t="shared" si="12"/>
        <v>0</v>
      </c>
      <c r="G23" s="332">
        <f t="shared" si="12"/>
        <v>0</v>
      </c>
      <c r="H23" s="286">
        <v>0</v>
      </c>
      <c r="I23" s="91">
        <f>H23+($N$23-$H$23)/($N$11-$H$11)</f>
        <v>0</v>
      </c>
      <c r="J23" s="173">
        <f t="shared" ref="J23:M23" si="13">I23+($N$23-$H$23)/($N$11-$H$11)</f>
        <v>0</v>
      </c>
      <c r="K23" s="173">
        <f t="shared" si="13"/>
        <v>0</v>
      </c>
      <c r="L23" s="173">
        <f t="shared" si="13"/>
        <v>0</v>
      </c>
      <c r="M23" s="173">
        <f t="shared" si="13"/>
        <v>0</v>
      </c>
      <c r="N23" s="181">
        <f>Inputs!C34</f>
        <v>0</v>
      </c>
      <c r="O23" s="173">
        <f>N23+($X$23-$N$23)/($X$11-$N$11)</f>
        <v>0</v>
      </c>
      <c r="P23" s="173">
        <f t="shared" ref="P23:W23" si="14">O23+($X$23-$N$23)/($X$11-$N$11)</f>
        <v>0</v>
      </c>
      <c r="Q23" s="173">
        <f t="shared" si="14"/>
        <v>0</v>
      </c>
      <c r="R23" s="173">
        <f t="shared" si="14"/>
        <v>0</v>
      </c>
      <c r="S23" s="173">
        <f t="shared" si="14"/>
        <v>0</v>
      </c>
      <c r="T23" s="173">
        <f t="shared" si="14"/>
        <v>0</v>
      </c>
      <c r="U23" s="173">
        <f t="shared" si="14"/>
        <v>0</v>
      </c>
      <c r="V23" s="173">
        <f t="shared" si="14"/>
        <v>0</v>
      </c>
      <c r="W23" s="173">
        <f t="shared" si="14"/>
        <v>0</v>
      </c>
      <c r="X23" s="186">
        <f>Inputs!F34</f>
        <v>0</v>
      </c>
      <c r="Y23" s="173">
        <f>X23+($AH$23-$X$23)/($AH$11-$X$11)</f>
        <v>0</v>
      </c>
      <c r="Z23" s="173">
        <f t="shared" ref="Z23:AG23" si="15">Y23+($AH$23-$X$23)/($AH$11-$X$11)</f>
        <v>0</v>
      </c>
      <c r="AA23" s="173">
        <f t="shared" si="15"/>
        <v>0</v>
      </c>
      <c r="AB23" s="173">
        <f t="shared" si="15"/>
        <v>0</v>
      </c>
      <c r="AC23" s="173">
        <f t="shared" si="15"/>
        <v>0</v>
      </c>
      <c r="AD23" s="173">
        <f t="shared" si="15"/>
        <v>0</v>
      </c>
      <c r="AE23" s="173">
        <f t="shared" si="15"/>
        <v>0</v>
      </c>
      <c r="AF23" s="173">
        <f t="shared" si="15"/>
        <v>0</v>
      </c>
      <c r="AG23" s="173">
        <f t="shared" si="15"/>
        <v>0</v>
      </c>
      <c r="AH23" s="186">
        <f>Inputs!H34</f>
        <v>0</v>
      </c>
      <c r="AI23" s="99"/>
    </row>
    <row r="24" spans="1:37" s="20" customFormat="1">
      <c r="A24" t="s">
        <v>538</v>
      </c>
      <c r="B24" s="33"/>
      <c r="C24" s="330">
        <v>0</v>
      </c>
      <c r="D24" s="332">
        <f t="shared" ref="D24:G24" si="16">C24+($N$24-$C$24)/($N$11-$C$11)</f>
        <v>0</v>
      </c>
      <c r="E24" s="332">
        <f t="shared" si="16"/>
        <v>0</v>
      </c>
      <c r="F24" s="332">
        <f t="shared" si="16"/>
        <v>0</v>
      </c>
      <c r="G24" s="332">
        <f t="shared" si="16"/>
        <v>0</v>
      </c>
      <c r="H24" s="109">
        <v>0</v>
      </c>
      <c r="I24" s="173">
        <f>H24+($N$24-$H$24)/($N$11-$H$11)</f>
        <v>0</v>
      </c>
      <c r="J24" s="173">
        <f t="shared" ref="J24:M24" si="17">I24+($N$24-$H$24)/($N$11-$H$11)</f>
        <v>0</v>
      </c>
      <c r="K24" s="173">
        <f t="shared" si="17"/>
        <v>0</v>
      </c>
      <c r="L24" s="173">
        <f t="shared" si="17"/>
        <v>0</v>
      </c>
      <c r="M24" s="173">
        <f t="shared" si="17"/>
        <v>0</v>
      </c>
      <c r="N24" s="186">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6">
        <f>Inputs!F34</f>
        <v>0</v>
      </c>
      <c r="Y24" s="173">
        <f>X$24+($AH$24-$X$24)/($AH$11-$X$11)</f>
        <v>0</v>
      </c>
      <c r="Z24" s="173">
        <f t="shared" ref="Z24:AG24" si="19">Y$24+($AH$24-$X$24)/($AH$11-$X$11)</f>
        <v>0</v>
      </c>
      <c r="AA24" s="173">
        <f t="shared" si="19"/>
        <v>0</v>
      </c>
      <c r="AB24" s="173">
        <f t="shared" si="19"/>
        <v>0</v>
      </c>
      <c r="AC24" s="173">
        <f t="shared" si="19"/>
        <v>0</v>
      </c>
      <c r="AD24" s="173">
        <f t="shared" si="19"/>
        <v>0</v>
      </c>
      <c r="AE24" s="173">
        <f t="shared" si="19"/>
        <v>0</v>
      </c>
      <c r="AF24" s="173">
        <f t="shared" si="19"/>
        <v>0</v>
      </c>
      <c r="AG24" s="173">
        <f t="shared" si="19"/>
        <v>0</v>
      </c>
      <c r="AH24" s="186">
        <f>Inputs!H34</f>
        <v>0</v>
      </c>
      <c r="AI24" s="99"/>
    </row>
    <row r="25" spans="1:37" s="20" customFormat="1">
      <c r="A25" t="s">
        <v>539</v>
      </c>
      <c r="B25" s="33"/>
      <c r="C25" s="330"/>
      <c r="D25" s="332">
        <f t="shared" ref="D25:AH25" si="20">D30/(D30+D47)</f>
        <v>0</v>
      </c>
      <c r="E25" s="332">
        <f t="shared" si="20"/>
        <v>0</v>
      </c>
      <c r="F25" s="332">
        <f t="shared" si="20"/>
        <v>0</v>
      </c>
      <c r="G25" s="332">
        <f t="shared" si="20"/>
        <v>0</v>
      </c>
      <c r="H25" s="284"/>
      <c r="I25" s="125">
        <f t="shared" si="20"/>
        <v>0</v>
      </c>
      <c r="J25" s="125">
        <f t="shared" si="20"/>
        <v>0</v>
      </c>
      <c r="K25" s="125">
        <f t="shared" si="20"/>
        <v>0</v>
      </c>
      <c r="L25" s="125">
        <f t="shared" si="20"/>
        <v>0</v>
      </c>
      <c r="M25" s="125">
        <f t="shared" si="20"/>
        <v>0</v>
      </c>
      <c r="N25" s="181">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6">
        <f t="shared" si="20"/>
        <v>0</v>
      </c>
      <c r="Y25" s="173">
        <f t="shared" si="20"/>
        <v>0</v>
      </c>
      <c r="Z25" s="173">
        <f t="shared" si="20"/>
        <v>0</v>
      </c>
      <c r="AA25" s="173">
        <f t="shared" si="20"/>
        <v>0</v>
      </c>
      <c r="AB25" s="173">
        <f t="shared" si="20"/>
        <v>0</v>
      </c>
      <c r="AC25" s="173">
        <f t="shared" si="20"/>
        <v>0</v>
      </c>
      <c r="AD25" s="173">
        <f t="shared" si="20"/>
        <v>0</v>
      </c>
      <c r="AE25" s="173">
        <f t="shared" si="20"/>
        <v>0</v>
      </c>
      <c r="AF25" s="173">
        <f t="shared" si="20"/>
        <v>0</v>
      </c>
      <c r="AG25" s="173">
        <f t="shared" si="20"/>
        <v>0</v>
      </c>
      <c r="AH25" s="186">
        <f t="shared" si="20"/>
        <v>0</v>
      </c>
      <c r="AI25" s="99"/>
    </row>
    <row r="26" spans="1:37" s="20" customFormat="1">
      <c r="A26" s="20" t="s">
        <v>381</v>
      </c>
      <c r="B26" s="33"/>
      <c r="C26" s="332">
        <f>C31/C14</f>
        <v>3.040481012658228E-2</v>
      </c>
      <c r="D26" s="332">
        <f t="shared" ref="D26:G26" si="21">C26+($N$26-$C$26)/($N$11-$C$11)</f>
        <v>2.9961153069703816E-2</v>
      </c>
      <c r="E26" s="332">
        <f t="shared" si="21"/>
        <v>2.9517496012825353E-2</v>
      </c>
      <c r="F26" s="332">
        <f t="shared" si="21"/>
        <v>2.9073838955946889E-2</v>
      </c>
      <c r="G26" s="332">
        <f t="shared" si="21"/>
        <v>2.8630181899068425E-2</v>
      </c>
      <c r="H26" s="284">
        <f>H31/H14</f>
        <v>2.5965848444166471E-2</v>
      </c>
      <c r="I26" s="91">
        <f>H26+($N$26-$H$26)/($N$11-$H$11)</f>
        <v>2.5892304120291924E-2</v>
      </c>
      <c r="J26" s="173">
        <f t="shared" ref="J26:M26" si="22">I26+($N$26-$H$26)/($N$11-$H$11)</f>
        <v>2.5818759796417377E-2</v>
      </c>
      <c r="K26" s="173">
        <f t="shared" si="22"/>
        <v>2.574521547254283E-2</v>
      </c>
      <c r="L26" s="173">
        <f t="shared" si="22"/>
        <v>2.5671671148668283E-2</v>
      </c>
      <c r="M26" s="173">
        <f t="shared" si="22"/>
        <v>2.5598126824793736E-2</v>
      </c>
      <c r="N26" s="181">
        <f>Inputs!C35</f>
        <v>2.5524582500919192E-2</v>
      </c>
      <c r="O26" s="91">
        <f t="shared" ref="O26:W26" si="23">N26+($X$26-$N$26)/($X$11-$N$11)</f>
        <v>2.567304945830913E-2</v>
      </c>
      <c r="P26" s="91">
        <f t="shared" si="23"/>
        <v>2.5821516415699068E-2</v>
      </c>
      <c r="Q26" s="91">
        <f t="shared" si="23"/>
        <v>2.5969983373089006E-2</v>
      </c>
      <c r="R26" s="91">
        <f t="shared" si="23"/>
        <v>2.6118450330478944E-2</v>
      </c>
      <c r="S26" s="22">
        <f t="shared" si="23"/>
        <v>2.6266917287868882E-2</v>
      </c>
      <c r="T26" s="91">
        <f t="shared" si="23"/>
        <v>2.641538424525882E-2</v>
      </c>
      <c r="U26" s="91">
        <f t="shared" si="23"/>
        <v>2.6563851202648758E-2</v>
      </c>
      <c r="V26" s="91">
        <f t="shared" si="23"/>
        <v>2.6712318160038696E-2</v>
      </c>
      <c r="W26" s="91">
        <f t="shared" si="23"/>
        <v>2.6860785117428634E-2</v>
      </c>
      <c r="X26" s="186">
        <f>Inputs!F35</f>
        <v>2.7009252074818579E-2</v>
      </c>
      <c r="Y26" s="173">
        <f>X26+($AH$26-$X$26)/($AH$11-$X$11)</f>
        <v>2.6995672985727758E-2</v>
      </c>
      <c r="Z26" s="173">
        <f t="shared" ref="Z26:AG26" si="24">Y26+($AH$26-$X$26)/($AH$11-$X$11)</f>
        <v>2.6982093896636937E-2</v>
      </c>
      <c r="AA26" s="173">
        <f t="shared" si="24"/>
        <v>2.6968514807546116E-2</v>
      </c>
      <c r="AB26" s="173">
        <f t="shared" si="24"/>
        <v>2.6954935718455295E-2</v>
      </c>
      <c r="AC26" s="173">
        <f t="shared" si="24"/>
        <v>2.6941356629364473E-2</v>
      </c>
      <c r="AD26" s="173">
        <f t="shared" si="24"/>
        <v>2.6927777540273652E-2</v>
      </c>
      <c r="AE26" s="173">
        <f t="shared" si="24"/>
        <v>2.6914198451182831E-2</v>
      </c>
      <c r="AF26" s="173">
        <f t="shared" si="24"/>
        <v>2.690061936209201E-2</v>
      </c>
      <c r="AG26" s="173">
        <f t="shared" si="24"/>
        <v>2.6887040273001189E-2</v>
      </c>
      <c r="AH26" s="186">
        <f>Inputs!H35</f>
        <v>2.6873461183910367E-2</v>
      </c>
      <c r="AI26" s="99"/>
    </row>
    <row r="27" spans="1:37" s="1" customFormat="1">
      <c r="B27" s="33"/>
      <c r="C27" s="338"/>
      <c r="D27" s="329"/>
      <c r="E27" s="392"/>
      <c r="F27" s="392"/>
      <c r="G27" s="392"/>
      <c r="H27" s="401"/>
      <c r="I27" s="25"/>
      <c r="J27" s="25"/>
      <c r="K27" s="24"/>
      <c r="L27" s="24"/>
      <c r="M27" s="24"/>
      <c r="N27" s="182" t="s">
        <v>0</v>
      </c>
      <c r="O27" s="26"/>
      <c r="P27" s="13"/>
      <c r="Q27" s="13"/>
      <c r="R27" s="13"/>
      <c r="S27" s="170">
        <f>SUM(S18,S24,S26)</f>
        <v>0.15344050628754263</v>
      </c>
      <c r="T27" s="13"/>
      <c r="U27" s="13"/>
      <c r="V27" s="13"/>
      <c r="W27" s="13"/>
      <c r="X27" s="177"/>
      <c r="Y27"/>
      <c r="Z27"/>
      <c r="AA27"/>
      <c r="AB27"/>
      <c r="AC27"/>
      <c r="AD27"/>
      <c r="AE27"/>
      <c r="AF27"/>
      <c r="AG27"/>
      <c r="AH27" s="280"/>
      <c r="AI27" s="24"/>
    </row>
    <row r="28" spans="1:37" s="1" customFormat="1">
      <c r="A28" s="1" t="s">
        <v>377</v>
      </c>
      <c r="B28" s="33"/>
      <c r="C28" s="328">
        <v>2009</v>
      </c>
      <c r="D28" s="328">
        <v>2010</v>
      </c>
      <c r="E28" s="328">
        <v>2011</v>
      </c>
      <c r="F28" s="328">
        <v>2012</v>
      </c>
      <c r="G28" s="328">
        <v>2013</v>
      </c>
      <c r="H28" s="400">
        <v>2014</v>
      </c>
      <c r="I28" s="13">
        <v>2015</v>
      </c>
      <c r="J28" s="13">
        <v>2016</v>
      </c>
      <c r="K28" s="13">
        <v>2017</v>
      </c>
      <c r="L28" s="13">
        <v>2018</v>
      </c>
      <c r="M28" s="13">
        <v>2019</v>
      </c>
      <c r="N28" s="177">
        <v>2020</v>
      </c>
      <c r="O28" s="13">
        <v>2021</v>
      </c>
      <c r="P28" s="13">
        <v>2022</v>
      </c>
      <c r="Q28" s="13">
        <v>2023</v>
      </c>
      <c r="R28" s="13">
        <v>2024</v>
      </c>
      <c r="S28" s="13">
        <v>2025</v>
      </c>
      <c r="T28" s="13">
        <v>2026</v>
      </c>
      <c r="U28" s="13">
        <v>2027</v>
      </c>
      <c r="V28" s="13">
        <v>2028</v>
      </c>
      <c r="W28" s="13">
        <v>2029</v>
      </c>
      <c r="X28" s="177">
        <v>2030</v>
      </c>
      <c r="Y28" s="13">
        <v>2031</v>
      </c>
      <c r="Z28" s="13">
        <v>2032</v>
      </c>
      <c r="AA28" s="13">
        <v>2033</v>
      </c>
      <c r="AB28" s="13">
        <v>2034</v>
      </c>
      <c r="AC28" s="13">
        <v>2035</v>
      </c>
      <c r="AD28" s="13">
        <v>2036</v>
      </c>
      <c r="AE28" s="13">
        <v>2037</v>
      </c>
      <c r="AF28" s="13">
        <v>2038</v>
      </c>
      <c r="AG28" s="13">
        <v>2039</v>
      </c>
      <c r="AH28" s="177">
        <v>2040</v>
      </c>
      <c r="AK28" s="77"/>
    </row>
    <row r="29" spans="1:37">
      <c r="A29" s="9" t="s">
        <v>282</v>
      </c>
      <c r="B29" s="35">
        <v>0</v>
      </c>
      <c r="C29" s="330" t="s">
        <v>376</v>
      </c>
      <c r="D29" s="330">
        <f t="shared" ref="D29:AH29" si="25">D13-D14</f>
        <v>0</v>
      </c>
      <c r="E29" s="330">
        <f t="shared" si="25"/>
        <v>0</v>
      </c>
      <c r="F29" s="330">
        <f t="shared" si="25"/>
        <v>0</v>
      </c>
      <c r="G29" s="330">
        <f t="shared" si="25"/>
        <v>0</v>
      </c>
      <c r="H29" s="286">
        <f t="shared" si="25"/>
        <v>0</v>
      </c>
      <c r="I29" s="50">
        <f t="shared" si="25"/>
        <v>0</v>
      </c>
      <c r="J29" s="50">
        <f t="shared" si="25"/>
        <v>0</v>
      </c>
      <c r="K29" s="50">
        <f t="shared" si="25"/>
        <v>0</v>
      </c>
      <c r="L29" s="50">
        <f t="shared" si="25"/>
        <v>0</v>
      </c>
      <c r="M29" s="50">
        <f t="shared" si="25"/>
        <v>0</v>
      </c>
      <c r="N29" s="178">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5">
        <f t="shared" si="25"/>
        <v>0</v>
      </c>
      <c r="Y29" s="175">
        <f t="shared" si="25"/>
        <v>0</v>
      </c>
      <c r="Z29" s="175">
        <f t="shared" si="25"/>
        <v>0</v>
      </c>
      <c r="AA29" s="175">
        <f t="shared" si="25"/>
        <v>0</v>
      </c>
      <c r="AB29" s="175">
        <f t="shared" si="25"/>
        <v>0</v>
      </c>
      <c r="AC29" s="175">
        <f t="shared" si="25"/>
        <v>0</v>
      </c>
      <c r="AD29" s="175">
        <f t="shared" si="25"/>
        <v>0</v>
      </c>
      <c r="AE29" s="175">
        <f t="shared" si="25"/>
        <v>0</v>
      </c>
      <c r="AF29" s="175">
        <f t="shared" si="25"/>
        <v>0</v>
      </c>
      <c r="AG29" s="175">
        <f t="shared" si="25"/>
        <v>0</v>
      </c>
      <c r="AH29" s="185">
        <f t="shared" si="25"/>
        <v>0</v>
      </c>
      <c r="AI29" s="128"/>
    </row>
    <row r="30" spans="1:37" s="20" customFormat="1">
      <c r="A30" s="20" t="s">
        <v>122</v>
      </c>
      <c r="B30" s="35">
        <v>0</v>
      </c>
      <c r="C30" s="330">
        <f>C23*C47</f>
        <v>0</v>
      </c>
      <c r="D30" s="330">
        <f t="shared" ref="D30:AH30" si="26">D24*D14</f>
        <v>0</v>
      </c>
      <c r="E30" s="330">
        <f t="shared" si="26"/>
        <v>0</v>
      </c>
      <c r="F30" s="330">
        <f t="shared" si="26"/>
        <v>0</v>
      </c>
      <c r="G30" s="330">
        <f t="shared" si="26"/>
        <v>0</v>
      </c>
      <c r="H30" s="286">
        <f t="shared" si="26"/>
        <v>0</v>
      </c>
      <c r="I30" s="118">
        <f t="shared" si="26"/>
        <v>0</v>
      </c>
      <c r="J30" s="118">
        <f t="shared" si="26"/>
        <v>0</v>
      </c>
      <c r="K30" s="118">
        <f t="shared" si="26"/>
        <v>0</v>
      </c>
      <c r="L30" s="118">
        <f t="shared" si="26"/>
        <v>0</v>
      </c>
      <c r="M30" s="118">
        <f t="shared" si="26"/>
        <v>0</v>
      </c>
      <c r="N30" s="178">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5">
        <f t="shared" si="26"/>
        <v>0</v>
      </c>
      <c r="Y30" s="175">
        <f t="shared" si="26"/>
        <v>0</v>
      </c>
      <c r="Z30" s="175">
        <f t="shared" si="26"/>
        <v>0</v>
      </c>
      <c r="AA30" s="175">
        <f t="shared" si="26"/>
        <v>0</v>
      </c>
      <c r="AB30" s="175">
        <f t="shared" si="26"/>
        <v>0</v>
      </c>
      <c r="AC30" s="175">
        <f t="shared" si="26"/>
        <v>0</v>
      </c>
      <c r="AD30" s="175">
        <f t="shared" si="26"/>
        <v>0</v>
      </c>
      <c r="AE30" s="175">
        <f t="shared" si="26"/>
        <v>0</v>
      </c>
      <c r="AF30" s="175">
        <f t="shared" si="26"/>
        <v>0</v>
      </c>
      <c r="AG30" s="175">
        <f t="shared" si="26"/>
        <v>0</v>
      </c>
      <c r="AH30" s="185">
        <f t="shared" si="26"/>
        <v>0</v>
      </c>
      <c r="AI30" s="128"/>
    </row>
    <row r="31" spans="1:37">
      <c r="A31" s="9" t="s">
        <v>49</v>
      </c>
      <c r="B31" s="35">
        <v>0</v>
      </c>
      <c r="C31" s="330">
        <f>'Output - Jobs vs Yr (BAU)'!C7</f>
        <v>1200.99</v>
      </c>
      <c r="D31" s="330">
        <f t="shared" ref="D31:AH31" si="27">D26*D14</f>
        <v>1292.6140268862318</v>
      </c>
      <c r="E31" s="330">
        <f t="shared" si="27"/>
        <v>1139.3322833744992</v>
      </c>
      <c r="F31" s="330">
        <f t="shared" si="27"/>
        <v>1058.7345359875558</v>
      </c>
      <c r="G31" s="330">
        <f t="shared" si="27"/>
        <v>1024.8149338571823</v>
      </c>
      <c r="H31" s="286">
        <f>'Output - Jobs vs Yr (BAU)'!H7</f>
        <v>956.73699788350393</v>
      </c>
      <c r="I31" s="175">
        <f t="shared" si="27"/>
        <v>968.51951426671656</v>
      </c>
      <c r="J31" s="175">
        <f t="shared" si="27"/>
        <v>948.58646705086755</v>
      </c>
      <c r="K31" s="175">
        <f t="shared" si="27"/>
        <v>985.73023513707278</v>
      </c>
      <c r="L31" s="175">
        <f t="shared" si="27"/>
        <v>1013.9065371774088</v>
      </c>
      <c r="M31" s="175">
        <f t="shared" si="27"/>
        <v>1019.7389026814557</v>
      </c>
      <c r="N31" s="185">
        <f t="shared" si="27"/>
        <v>1004.8304145019907</v>
      </c>
      <c r="O31" s="175">
        <f t="shared" si="27"/>
        <v>1004.9590732843003</v>
      </c>
      <c r="P31" s="175">
        <f t="shared" si="27"/>
        <v>991.80585844383393</v>
      </c>
      <c r="Q31" s="175">
        <f t="shared" si="27"/>
        <v>984.83490283226308</v>
      </c>
      <c r="R31" s="175">
        <f t="shared" si="27"/>
        <v>985.16880520584914</v>
      </c>
      <c r="S31" s="175">
        <f t="shared" si="27"/>
        <v>989.01225637455536</v>
      </c>
      <c r="T31" s="175">
        <f t="shared" si="27"/>
        <v>974.68916241989825</v>
      </c>
      <c r="U31" s="175">
        <f t="shared" si="27"/>
        <v>993.90542994012583</v>
      </c>
      <c r="V31" s="175">
        <f t="shared" si="27"/>
        <v>1013.5153512844598</v>
      </c>
      <c r="W31" s="175">
        <f t="shared" si="27"/>
        <v>999.04041247673888</v>
      </c>
      <c r="X31" s="185">
        <f t="shared" si="27"/>
        <v>1015.8661282513403</v>
      </c>
      <c r="Y31" s="175">
        <f t="shared" si="27"/>
        <v>1024.4455439553431</v>
      </c>
      <c r="Z31" s="175">
        <f t="shared" si="27"/>
        <v>1028.7864884223866</v>
      </c>
      <c r="AA31" s="175">
        <f t="shared" si="27"/>
        <v>1046.0943342094456</v>
      </c>
      <c r="AB31" s="175">
        <f t="shared" si="27"/>
        <v>1053.6061809053049</v>
      </c>
      <c r="AC31" s="175">
        <f t="shared" si="27"/>
        <v>1043.5351939531749</v>
      </c>
      <c r="AD31" s="175">
        <f t="shared" si="27"/>
        <v>1054.3986432444497</v>
      </c>
      <c r="AE31" s="175">
        <f t="shared" si="27"/>
        <v>1049.6826098984266</v>
      </c>
      <c r="AF31" s="175">
        <f t="shared" si="27"/>
        <v>1045.8446155796914</v>
      </c>
      <c r="AG31" s="175">
        <f t="shared" si="27"/>
        <v>1037.6213882423667</v>
      </c>
      <c r="AH31" s="185">
        <f t="shared" si="27"/>
        <v>1016.7782983564405</v>
      </c>
      <c r="AI31" s="128"/>
    </row>
    <row r="32" spans="1:37">
      <c r="A32" s="9" t="s">
        <v>59</v>
      </c>
      <c r="B32" s="35">
        <v>0</v>
      </c>
      <c r="C32" s="330">
        <f>EIA_electricity_aeo2014!E52*1000</f>
        <v>5396</v>
      </c>
      <c r="D32" s="330">
        <f t="shared" ref="D32:AH32" si="28">D18*D14</f>
        <v>5842.5641343707639</v>
      </c>
      <c r="E32" s="330">
        <f t="shared" si="28"/>
        <v>5181.4238554007979</v>
      </c>
      <c r="F32" s="330">
        <f t="shared" si="28"/>
        <v>4845.2278433182473</v>
      </c>
      <c r="G32" s="330">
        <f t="shared" si="28"/>
        <v>4720.2793883778113</v>
      </c>
      <c r="H32" s="286">
        <f>EIA_electricity_aeo2014!J52*1000</f>
        <v>5370.86263694237</v>
      </c>
      <c r="I32" s="175">
        <f t="shared" si="28"/>
        <v>5314.1375930951126</v>
      </c>
      <c r="J32" s="175">
        <f t="shared" si="28"/>
        <v>5083.7418990452134</v>
      </c>
      <c r="K32" s="175">
        <f t="shared" si="28"/>
        <v>5156.3225652228048</v>
      </c>
      <c r="L32" s="175">
        <f t="shared" si="28"/>
        <v>5172.8677995150365</v>
      </c>
      <c r="M32" s="175">
        <f t="shared" si="28"/>
        <v>5070.271142540887</v>
      </c>
      <c r="N32" s="185">
        <f t="shared" si="28"/>
        <v>4864.9747797875589</v>
      </c>
      <c r="O32" s="175">
        <f t="shared" si="28"/>
        <v>4865.5976925916502</v>
      </c>
      <c r="P32" s="175">
        <f t="shared" si="28"/>
        <v>4801.915246729669</v>
      </c>
      <c r="Q32" s="175">
        <f t="shared" si="28"/>
        <v>4768.164752365783</v>
      </c>
      <c r="R32" s="175">
        <f t="shared" si="28"/>
        <v>4769.781370058643</v>
      </c>
      <c r="S32" s="175">
        <f t="shared" si="28"/>
        <v>4788.3897767442313</v>
      </c>
      <c r="T32" s="175">
        <f t="shared" si="28"/>
        <v>4719.0432583145821</v>
      </c>
      <c r="U32" s="175">
        <f t="shared" si="28"/>
        <v>4812.0805066883704</v>
      </c>
      <c r="V32" s="175">
        <f t="shared" si="28"/>
        <v>4907.0236646550666</v>
      </c>
      <c r="W32" s="175">
        <f t="shared" si="28"/>
        <v>4836.9419760216342</v>
      </c>
      <c r="X32" s="185">
        <f t="shared" si="28"/>
        <v>4918.405157981425</v>
      </c>
      <c r="Y32" s="175">
        <f t="shared" si="28"/>
        <v>4959.9431532718763</v>
      </c>
      <c r="Z32" s="175">
        <f t="shared" si="28"/>
        <v>4980.9602174926995</v>
      </c>
      <c r="AA32" s="175">
        <f t="shared" si="28"/>
        <v>5064.7576742886567</v>
      </c>
      <c r="AB32" s="175">
        <f t="shared" si="28"/>
        <v>5101.1269403832721</v>
      </c>
      <c r="AC32" s="175">
        <f t="shared" si="28"/>
        <v>5052.3673717808779</v>
      </c>
      <c r="AD32" s="175">
        <f t="shared" si="28"/>
        <v>5104.9637164583482</v>
      </c>
      <c r="AE32" s="175">
        <f t="shared" si="28"/>
        <v>5082.13062645837</v>
      </c>
      <c r="AF32" s="175">
        <f t="shared" si="28"/>
        <v>5063.5486395915923</v>
      </c>
      <c r="AG32" s="175">
        <f t="shared" si="28"/>
        <v>5023.7351615885682</v>
      </c>
      <c r="AH32" s="185">
        <f t="shared" si="28"/>
        <v>4922.8215097280899</v>
      </c>
      <c r="AI32" s="129"/>
    </row>
    <row r="33" spans="1:36">
      <c r="A33" s="9"/>
      <c r="B33" s="35"/>
      <c r="C33" s="330"/>
      <c r="D33" s="330"/>
      <c r="E33" s="330"/>
      <c r="F33" s="330"/>
      <c r="G33" s="330"/>
      <c r="H33" s="286"/>
      <c r="I33" s="118"/>
      <c r="J33" s="118"/>
      <c r="K33" s="118"/>
      <c r="L33" s="118"/>
      <c r="M33" s="118"/>
      <c r="N33" s="185"/>
      <c r="O33" s="118"/>
      <c r="P33" s="118"/>
      <c r="Q33" s="118"/>
      <c r="R33" s="118"/>
      <c r="S33" s="118"/>
      <c r="T33" s="118"/>
      <c r="U33" s="118"/>
      <c r="V33" s="118"/>
      <c r="W33" s="118"/>
      <c r="X33" s="185"/>
      <c r="AI33" s="129"/>
    </row>
    <row r="34" spans="1:36">
      <c r="A34" s="9" t="s">
        <v>121</v>
      </c>
      <c r="B34" s="35">
        <v>1</v>
      </c>
      <c r="C34" s="330">
        <f>EIA_RE_aeo2014!E76*1000</f>
        <v>115</v>
      </c>
      <c r="D34" s="330">
        <f>MAX(D58*D$14,'Output - Jobs vs Yr (BAU)'!D10)</f>
        <v>158.12118916406612</v>
      </c>
      <c r="E34" s="330">
        <f>MAX(E58*E$14,'Output - Jobs vs Yr (BAU)'!E10)</f>
        <v>178.08592939500909</v>
      </c>
      <c r="F34" s="330">
        <f>MAX(F58*F$14,'Output - Jobs vs Yr (BAU)'!F10)</f>
        <v>211.50585907077303</v>
      </c>
      <c r="G34" s="330">
        <f>MAX(G58*G$14,'Output - Jobs vs Yr (BAU)'!G10)</f>
        <v>261.7206723378373</v>
      </c>
      <c r="H34" s="286">
        <f>'Output - Jobs vs Yr (BAU)'!H10</f>
        <v>102.68625160679012</v>
      </c>
      <c r="I34" s="286">
        <f>MAX(I58*I$14,'Output - Jobs vs Yr (BAU)'!I10)</f>
        <v>131.23174757143241</v>
      </c>
      <c r="J34" s="286">
        <f>MAX(J58*J$14,'Output - Jobs vs Yr (BAU)'!J10)</f>
        <v>162.26384755099625</v>
      </c>
      <c r="K34" s="286">
        <f>MAX(K58*K$14,'Output - Jobs vs Yr (BAU)'!K10)</f>
        <v>212.87308551297699</v>
      </c>
      <c r="L34" s="286">
        <f>MAX(L58*L$14,'Output - Jobs vs Yr (BAU)'!L10)</f>
        <v>276.42796509588851</v>
      </c>
      <c r="M34" s="286">
        <f>MAX(M58*M$14,'Output - Jobs vs Yr (BAU)'!M10)</f>
        <v>350.99261744276748</v>
      </c>
      <c r="N34" s="287">
        <f>MAX(Inputs!$E17*N$21,'Output - Jobs vs Yr (BAU)'!N10)</f>
        <v>436.64680969550557</v>
      </c>
      <c r="O34" s="286">
        <f>MAX(O58*O$14,'Output - Jobs vs Yr (BAU)'!O10)</f>
        <v>460.09581400692275</v>
      </c>
      <c r="P34" s="286">
        <f>MAX(P58*P$14,'Output - Jobs vs Yr (BAU)'!P10)</f>
        <v>478.4135670665051</v>
      </c>
      <c r="Q34" s="286">
        <f>MAX(Q58*Q$14,'Output - Jobs vs Yr (BAU)'!Q10)</f>
        <v>500.53162041408279</v>
      </c>
      <c r="R34" s="286">
        <f>MAX(R58*R$14,'Output - Jobs vs Yr (BAU)'!R10)</f>
        <v>527.57499302701387</v>
      </c>
      <c r="S34" s="286">
        <f>MAX(S58*S$14,'Output - Jobs vs Yr (BAU)'!S10)</f>
        <v>558.07776573509045</v>
      </c>
      <c r="T34" s="286">
        <f>MAX(T58*T$14,'Output - Jobs vs Yr (BAU)'!T10)</f>
        <v>579.55219517021135</v>
      </c>
      <c r="U34" s="286">
        <f>MAX(U58*U$14,'Output - Jobs vs Yr (BAU)'!U10)</f>
        <v>622.75693439154543</v>
      </c>
      <c r="V34" s="286">
        <f>MAX(V58*V$14,'Output - Jobs vs Yr (BAU)'!V10)</f>
        <v>669.2131979811569</v>
      </c>
      <c r="W34" s="286">
        <f>MAX(W58*W$14,'Output - Jobs vs Yr (BAU)'!W10)</f>
        <v>695.17043889606953</v>
      </c>
      <c r="X34" s="287">
        <f>Inputs!F17*'Output -Jobs vs Yr'!$X$14</f>
        <v>744.95846855592708</v>
      </c>
      <c r="Y34" s="286">
        <f>MAX(Y58*Y$14,'Output - Jobs vs Yr (BAU)'!Y10)</f>
        <v>765.45732489964428</v>
      </c>
      <c r="Z34" s="286">
        <f>MAX(Z58*Z$14,'Output - Jobs vs Yr (BAU)'!Z10)</f>
        <v>783.23843566759626</v>
      </c>
      <c r="AA34" s="286">
        <f>MAX(AA58*AA$14,'Output - Jobs vs Yr (BAU)'!AA10)</f>
        <v>811.47722129613476</v>
      </c>
      <c r="AB34" s="286">
        <f>MAX(AB58*AB$14,'Output - Jobs vs Yr (BAU)'!AB10)</f>
        <v>832.76151628827756</v>
      </c>
      <c r="AC34" s="286">
        <f>MAX(AC58*AC$14,'Output - Jobs vs Yr (BAU)'!AC10)</f>
        <v>840.40069400188588</v>
      </c>
      <c r="AD34" s="286">
        <f>MAX(AD58*AD$14,'Output - Jobs vs Yr (BAU)'!AD10)</f>
        <v>865.20937154603132</v>
      </c>
      <c r="AE34" s="286">
        <f>MAX(AE58*AE$14,'Output - Jobs vs Yr (BAU)'!AE10)</f>
        <v>877.63020916428843</v>
      </c>
      <c r="AF34" s="286">
        <f>MAX(AF58*AF$14,'Output - Jobs vs Yr (BAU)'!AF10)</f>
        <v>890.95962103377303</v>
      </c>
      <c r="AG34" s="286">
        <f>MAX(AG58*AG$14,'Output - Jobs vs Yr (BAU)'!AG10)</f>
        <v>900.67307196046181</v>
      </c>
      <c r="AH34" s="287">
        <f>Inputs!I17*'Output -Jobs vs Yr'!$AH$14</f>
        <v>899.27402377646922</v>
      </c>
      <c r="AI34" s="128"/>
    </row>
    <row r="35" spans="1:36" s="20" customFormat="1">
      <c r="A35" s="9" t="s">
        <v>50</v>
      </c>
      <c r="B35" s="35">
        <v>1</v>
      </c>
      <c r="C35" s="330">
        <f>EIA_RE_aeo2014!E74*1000</f>
        <v>0</v>
      </c>
      <c r="D35" s="330">
        <f>MAX(D59*D$14,'Output - Jobs vs Yr (BAU)'!D11)</f>
        <v>0</v>
      </c>
      <c r="E35" s="330">
        <f>MAX(E59*E$14,'Output - Jobs vs Yr (BAU)'!E11)</f>
        <v>1.0000000000000001E-9</v>
      </c>
      <c r="F35" s="330">
        <f>MAX(F59*F$14,'Output - Jobs vs Yr (BAU)'!F11)</f>
        <v>1.0000000000000001E-9</v>
      </c>
      <c r="G35" s="330">
        <f>MAX(G59*G$14,'Output - Jobs vs Yr (BAU)'!G11)</f>
        <v>1.0000000000000001E-9</v>
      </c>
      <c r="H35" s="286">
        <f>'Output - Jobs vs Yr (BAU)'!H11</f>
        <v>1.0000000000000001E-9</v>
      </c>
      <c r="I35" s="286">
        <f>MAX(I59*I$14,'Output - Jobs vs Yr (BAU)'!I11)</f>
        <v>1.19515639216741E-9</v>
      </c>
      <c r="J35" s="286">
        <f>MAX(J59*J$14,'Output - Jobs vs Yr (BAU)'!J11)</f>
        <v>1.3819926182208726E-9</v>
      </c>
      <c r="K35" s="286">
        <f>MAX(K59*K$14,'Output - Jobs vs Yr (BAU)'!K11)</f>
        <v>1.6955196842876303E-9</v>
      </c>
      <c r="L35" s="286">
        <f>MAX(L59*L$14,'Output - Jobs vs Yr (BAU)'!L11)</f>
        <v>2.0590276802530851E-9</v>
      </c>
      <c r="M35" s="286">
        <f>MAX(M59*M$14,'Output - Jobs vs Yr (BAU)'!M11)</f>
        <v>2.4449856667155406E-9</v>
      </c>
      <c r="N35" s="287">
        <f>MAX(Inputs!$E19*N$21,'Output - Jobs vs Yr (BAU)'!N11)</f>
        <v>2.8445053458932475E-9</v>
      </c>
      <c r="O35" s="286">
        <f>MAX(O59*O$14,'Output - Jobs vs Yr (BAU)'!O11)</f>
        <v>2.9972622575175737E-9</v>
      </c>
      <c r="P35" s="286">
        <f>MAX(P59*P$14,'Output - Jobs vs Yr (BAU)'!P11)</f>
        <v>3.1165919888834566E-9</v>
      </c>
      <c r="Q35" s="286">
        <f>MAX(Q59*Q$14,'Output - Jobs vs Yr (BAU)'!Q11)</f>
        <v>3.2606785127992281E-9</v>
      </c>
      <c r="R35" s="286">
        <f>MAX(R59*R$14,'Output - Jobs vs Yr (BAU)'!R11)</f>
        <v>3.4368506873356895E-9</v>
      </c>
      <c r="S35" s="286">
        <f>MAX(S59*S$14,'Output - Jobs vs Yr (BAU)'!S11)</f>
        <v>3.6355588837683993E-9</v>
      </c>
      <c r="T35" s="286">
        <f>MAX(T59*T$14,'Output - Jobs vs Yr (BAU)'!T11)</f>
        <v>3.7754525643630329E-9</v>
      </c>
      <c r="U35" s="286">
        <f>MAX(U59*U$14,'Output - Jobs vs Yr (BAU)'!U11)</f>
        <v>4.0569068403457431E-9</v>
      </c>
      <c r="V35" s="286">
        <f>MAX(V59*V$14,'Output - Jobs vs Yr (BAU)'!V11)</f>
        <v>4.3595429462250609E-9</v>
      </c>
      <c r="W35" s="286">
        <f>MAX(W59*W$14,'Output - Jobs vs Yr (BAU)'!W11)</f>
        <v>4.5286395911738626E-9</v>
      </c>
      <c r="X35" s="287">
        <f>Inputs!F19*'Output -Jobs vs Yr'!$X$14</f>
        <v>4.8529802559498531E-9</v>
      </c>
      <c r="Y35" s="286">
        <f>MAX(Y59*Y$14,'Output - Jobs vs Yr (BAU)'!Y11)</f>
        <v>4.9865186333287305E-9</v>
      </c>
      <c r="Z35" s="286">
        <f>MAX(Z59*Z$14,'Output - Jobs vs Yr (BAU)'!Z11)</f>
        <v>5.1023524457196412E-9</v>
      </c>
      <c r="AA35" s="286">
        <f>MAX(AA59*AA$14,'Output - Jobs vs Yr (BAU)'!AA11)</f>
        <v>5.2863120554049284E-9</v>
      </c>
      <c r="AB35" s="286">
        <f>MAX(AB59*AB$14,'Output - Jobs vs Yr (BAU)'!AB11)</f>
        <v>5.4249671183628802E-9</v>
      </c>
      <c r="AC35" s="286">
        <f>MAX(AC59*AC$14,'Output - Jobs vs Yr (BAU)'!AC11)</f>
        <v>5.4747320115490701E-9</v>
      </c>
      <c r="AD35" s="286">
        <f>MAX(AD59*AD$14,'Output - Jobs vs Yr (BAU)'!AD11)</f>
        <v>5.6363464201097884E-9</v>
      </c>
      <c r="AE35" s="286">
        <f>MAX(AE59*AE$14,'Output - Jobs vs Yr (BAU)'!AE11)</f>
        <v>5.7172611049788759E-9</v>
      </c>
      <c r="AF35" s="286">
        <f>MAX(AF59*AF$14,'Output - Jobs vs Yr (BAU)'!AF11)</f>
        <v>5.8040946337679716E-9</v>
      </c>
      <c r="AG35" s="286">
        <f>MAX(AG59*AG$14,'Output - Jobs vs Yr (BAU)'!AG11)</f>
        <v>5.8673722358814647E-9</v>
      </c>
      <c r="AH35" s="287">
        <f>Inputs!I19*'Output -Jobs vs Yr'!$AH$14</f>
        <v>5.8582582335570149E-9</v>
      </c>
      <c r="AI35" s="128"/>
    </row>
    <row r="36" spans="1:36">
      <c r="A36" s="9" t="s">
        <v>119</v>
      </c>
      <c r="B36" s="35">
        <v>1</v>
      </c>
      <c r="C36" s="330">
        <v>0</v>
      </c>
      <c r="D36" s="330">
        <v>0</v>
      </c>
      <c r="E36" s="330">
        <v>0</v>
      </c>
      <c r="F36" s="330">
        <v>0</v>
      </c>
      <c r="G36" s="330">
        <v>0</v>
      </c>
      <c r="H36" s="286">
        <v>0</v>
      </c>
      <c r="I36" s="118">
        <v>0</v>
      </c>
      <c r="J36" s="118">
        <v>0</v>
      </c>
      <c r="K36" s="118">
        <v>0</v>
      </c>
      <c r="L36" s="118">
        <v>0</v>
      </c>
      <c r="M36" s="118">
        <v>0</v>
      </c>
      <c r="N36" s="185">
        <v>0</v>
      </c>
      <c r="O36" s="118">
        <v>0</v>
      </c>
      <c r="P36" s="118">
        <v>0</v>
      </c>
      <c r="Q36" s="118">
        <v>0</v>
      </c>
      <c r="R36" s="118">
        <v>0</v>
      </c>
      <c r="S36" s="118">
        <v>0</v>
      </c>
      <c r="T36" s="118">
        <v>0</v>
      </c>
      <c r="U36" s="118">
        <v>0</v>
      </c>
      <c r="V36" s="118">
        <v>0</v>
      </c>
      <c r="W36" s="118">
        <v>0</v>
      </c>
      <c r="X36" s="185">
        <v>0</v>
      </c>
      <c r="Y36" s="175">
        <v>0</v>
      </c>
      <c r="Z36" s="175">
        <v>0</v>
      </c>
      <c r="AA36" s="175">
        <v>0</v>
      </c>
      <c r="AB36" s="175">
        <v>0</v>
      </c>
      <c r="AC36" s="175">
        <v>0</v>
      </c>
      <c r="AD36" s="175">
        <v>0</v>
      </c>
      <c r="AE36" s="175">
        <v>0</v>
      </c>
      <c r="AF36" s="175">
        <v>0</v>
      </c>
      <c r="AG36" s="175">
        <v>0</v>
      </c>
      <c r="AH36" s="185">
        <v>0</v>
      </c>
      <c r="AI36" s="128"/>
    </row>
    <row r="37" spans="1:36">
      <c r="A37" s="9" t="s">
        <v>51</v>
      </c>
      <c r="B37" s="35">
        <v>1</v>
      </c>
      <c r="C37" s="330">
        <f>EIA_RE_aeo2014!E75*1000</f>
        <v>1104</v>
      </c>
      <c r="D37" s="330">
        <f>MAX(D61*D$14,'Output - Jobs vs Yr (BAU)'!D12)</f>
        <v>1419.5617777055456</v>
      </c>
      <c r="E37" s="330">
        <f>MAX(E61*E$14,'Output - Jobs vs Yr (BAU)'!E12)</f>
        <v>1495.1570912884977</v>
      </c>
      <c r="F37" s="330">
        <f>MAX(F61*F$14,'Output - Jobs vs Yr (BAU)'!F12)</f>
        <v>1660.6289807284058</v>
      </c>
      <c r="G37" s="330">
        <f>MAX(G61*G$14,'Output - Jobs vs Yr (BAU)'!G12)</f>
        <v>1921.6807067147558</v>
      </c>
      <c r="H37" s="286">
        <f>'Output - Jobs vs Yr (BAU)'!H12</f>
        <v>1310.1615538614869</v>
      </c>
      <c r="I37" s="118">
        <f>MAX(I61*I$14,'Output - Jobs vs Yr (BAU)'!I12)</f>
        <v>1565.8294420737759</v>
      </c>
      <c r="J37" s="118">
        <f>MAX(J61*J$14,'Output - Jobs vs Yr (BAU)'!J12)</f>
        <v>1810.5907803312698</v>
      </c>
      <c r="K37" s="118">
        <f>MAX(K61*K$14,'Output - Jobs vs Yr (BAU)'!K12)</f>
        <v>2221.3259107971685</v>
      </c>
      <c r="L37" s="118">
        <f>MAX(L61*L$14,'Output - Jobs vs Yr (BAU)'!L12)</f>
        <v>2697.531324238596</v>
      </c>
      <c r="M37" s="118">
        <f>MAX(M61*M$14,'Output - Jobs vs Yr (BAU)'!M12)</f>
        <v>3203.1368521904265</v>
      </c>
      <c r="N37" s="185">
        <f>MAX(Inputs!$E20*N$21,'Output - Jobs vs Yr (BAU)'!N12)</f>
        <v>3726.4971716743976</v>
      </c>
      <c r="O37" s="175">
        <f>MAX(O61*O$14,'Output - Jobs vs Yr (BAU)'!O12)</f>
        <v>3926.6192069321687</v>
      </c>
      <c r="P37" s="175">
        <f>MAX(P61*P$14,'Output - Jobs vs Yr (BAU)'!P12)</f>
        <v>4082.9493425297828</v>
      </c>
      <c r="Q37" s="175">
        <f>MAX(Q61*Q$14,'Output - Jobs vs Yr (BAU)'!Q12)</f>
        <v>4271.7125749925799</v>
      </c>
      <c r="R37" s="175">
        <f>MAX(R61*R$14,'Output - Jobs vs Yr (BAU)'!R12)</f>
        <v>4502.5102112444083</v>
      </c>
      <c r="S37" s="175">
        <f>MAX(S61*S$14,'Output - Jobs vs Yr (BAU)'!S12)</f>
        <v>4762.83158243258</v>
      </c>
      <c r="T37" s="175">
        <f>MAX(T61*T$14,'Output - Jobs vs Yr (BAU)'!T12)</f>
        <v>4946.1019024633251</v>
      </c>
      <c r="U37" s="175">
        <f>MAX(U61*U$14,'Output - Jobs vs Yr (BAU)'!U12)</f>
        <v>5314.8263152753798</v>
      </c>
      <c r="V37" s="175">
        <f>MAX(V61*V$14,'Output - Jobs vs Yr (BAU)'!V12)</f>
        <v>5711.3003785897808</v>
      </c>
      <c r="W37" s="175">
        <f>MAX(W61*W$14,'Output - Jobs vs Yr (BAU)'!W12)</f>
        <v>5932.8285856121729</v>
      </c>
      <c r="X37" s="185">
        <f>Inputs!F20*'Output -Jobs vs Yr'!$X$14</f>
        <v>6357.7371102847374</v>
      </c>
      <c r="Y37" s="175">
        <f>MAX(Y61*Y$14,'Output - Jobs vs Yr (BAU)'!Y12)</f>
        <v>6532.681547049754</v>
      </c>
      <c r="Z37" s="175">
        <f>MAX(Z61*Z$14,'Output - Jobs vs Yr (BAU)'!Z12)</f>
        <v>6684.4317889264994</v>
      </c>
      <c r="AA37" s="175">
        <f>MAX(AA61*AA$14,'Output - Jobs vs Yr (BAU)'!AA12)</f>
        <v>6925.4314995384957</v>
      </c>
      <c r="AB37" s="175">
        <f>MAX(AB61*AB$14,'Output - Jobs vs Yr (BAU)'!AB12)</f>
        <v>7107.0791454805658</v>
      </c>
      <c r="AC37" s="175">
        <f>MAX(AC61*AC$14,'Output - Jobs vs Yr (BAU)'!AC12)</f>
        <v>7172.2745700470059</v>
      </c>
      <c r="AD37" s="175">
        <f>MAX(AD61*AD$14,'Output - Jobs vs Yr (BAU)'!AD12)</f>
        <v>7384.0005340262451</v>
      </c>
      <c r="AE37" s="175">
        <f>MAX(AE61*AE$14,'Output - Jobs vs Yr (BAU)'!AE12)</f>
        <v>7490.0043229616076</v>
      </c>
      <c r="AF37" s="175">
        <f>MAX(AF61*AF$14,'Output - Jobs vs Yr (BAU)'!AF12)</f>
        <v>7603.7622035387176</v>
      </c>
      <c r="AG37" s="175">
        <f>MAX(AG61*AG$14,'Output - Jobs vs Yr (BAU)'!AG12)</f>
        <v>7686.6602039403379</v>
      </c>
      <c r="AH37" s="185">
        <f>Inputs!I20*'Output -Jobs vs Yr'!$AH$14</f>
        <v>7674.7202355610416</v>
      </c>
      <c r="AI37" s="128"/>
    </row>
    <row r="38" spans="1:36" s="20" customFormat="1">
      <c r="A38" s="9" t="s">
        <v>347</v>
      </c>
      <c r="B38" s="35">
        <v>1</v>
      </c>
      <c r="C38" s="330">
        <f>'Output - Jobs vs Yr (BAU)'!C13</f>
        <v>0</v>
      </c>
      <c r="D38" s="330">
        <f>MAX(D62*D$14,'Output - Jobs vs Yr (BAU)'!D13)</f>
        <v>29.290343559</v>
      </c>
      <c r="E38" s="330">
        <f>MAX(E62*E$14,'Output - Jobs vs Yr (BAU)'!E13)</f>
        <v>62.891797892681723</v>
      </c>
      <c r="F38" s="330">
        <f>MAX(F62*F$14,'Output - Jobs vs Yr (BAU)'!F13)</f>
        <v>59.469649065766156</v>
      </c>
      <c r="G38" s="330">
        <f>MAX(G62*G$14,'Output - Jobs vs Yr (BAU)'!G13)</f>
        <v>98.306643042759774</v>
      </c>
      <c r="H38" s="286">
        <f>'Output - Jobs vs Yr (BAU)'!H13</f>
        <v>144.52151973985147</v>
      </c>
      <c r="I38" s="118">
        <f>MAX(I62*I$14,'Output - Jobs vs Yr (BAU)'!I13)</f>
        <v>206.38179729947436</v>
      </c>
      <c r="J38" s="118">
        <f>MAX(J62*J$14,'Output - Jobs vs Yr (BAU)'!J13)</f>
        <v>278.89814135046953</v>
      </c>
      <c r="K38" s="118">
        <f>MAX(K62*K$14,'Output - Jobs vs Yr (BAU)'!K13)</f>
        <v>384.83400070106205</v>
      </c>
      <c r="L38" s="118">
        <f>MAX(L62*L$14,'Output - Jobs vs Yr (BAU)'!L13)</f>
        <v>543.22382744563561</v>
      </c>
      <c r="M38" s="118">
        <f>MAX(M62*M$14,'Output - Jobs vs Yr (BAU)'!M13)</f>
        <v>749.78883687614052</v>
      </c>
      <c r="N38" s="185">
        <f>MAX(Inputs!$E21*N$21,'Output - Jobs vs Yr (BAU)'!N13)</f>
        <v>1013.9474179098274</v>
      </c>
      <c r="O38" s="175">
        <f>MAX(O62*O$14,'Output - Jobs vs Yr (BAU)'!O13)</f>
        <v>1068.3988803874713</v>
      </c>
      <c r="P38" s="175">
        <f>MAX(P62*P$14,'Output - Jobs vs Yr (BAU)'!P13)</f>
        <v>1110.9349484504107</v>
      </c>
      <c r="Q38" s="175">
        <f>MAX(Q62*Q$14,'Output - Jobs vs Yr (BAU)'!Q13)</f>
        <v>1162.2957796370792</v>
      </c>
      <c r="R38" s="175">
        <f>MAX(R62*R$14,'Output - Jobs vs Yr (BAU)'!R13)</f>
        <v>1225.0938059219302</v>
      </c>
      <c r="S38" s="175">
        <f>MAX(S62*S$14,'Output - Jobs vs Yr (BAU)'!S13)</f>
        <v>1295.9249832938942</v>
      </c>
      <c r="T38" s="175">
        <f>MAX(T62*T$14,'Output - Jobs vs Yr (BAU)'!T13)</f>
        <v>1345.7912408580148</v>
      </c>
      <c r="U38" s="175">
        <f>MAX(U62*U$14,'Output - Jobs vs Yr (BAU)'!U13)</f>
        <v>1446.1179415282618</v>
      </c>
      <c r="V38" s="175">
        <f>MAX(V62*V$14,'Output - Jobs vs Yr (BAU)'!V13)</f>
        <v>1553.9950803656502</v>
      </c>
      <c r="W38" s="175">
        <f>MAX(W62*W$14,'Output - Jobs vs Yr (BAU)'!W13)</f>
        <v>1614.270975705622</v>
      </c>
      <c r="X38" s="185">
        <f>Inputs!F21*'Output -Jobs vs Yr'!$X$14</f>
        <v>1729.8848837784526</v>
      </c>
      <c r="Y38" s="175">
        <f>MAX(Y62*Y$14,'Output - Jobs vs Yr (BAU)'!Y13)</f>
        <v>1777.48574103494</v>
      </c>
      <c r="Z38" s="175">
        <f>MAX(Z62*Z$14,'Output - Jobs vs Yr (BAU)'!Z13)</f>
        <v>1818.7756599130971</v>
      </c>
      <c r="AA38" s="175">
        <f>MAX(AA62*AA$14,'Output - Jobs vs Yr (BAU)'!AA13)</f>
        <v>1884.3495817583812</v>
      </c>
      <c r="AB38" s="175">
        <f>MAX(AB62*AB$14,'Output - Jobs vs Yr (BAU)'!AB13)</f>
        <v>1933.7743238385165</v>
      </c>
      <c r="AC38" s="175">
        <f>MAX(AC62*AC$14,'Output - Jobs vs Yr (BAU)'!AC13)</f>
        <v>1951.5134309284526</v>
      </c>
      <c r="AD38" s="175">
        <f>MAX(AD62*AD$14,'Output - Jobs vs Yr (BAU)'!AD13)</f>
        <v>2009.1222213263154</v>
      </c>
      <c r="AE38" s="175">
        <f>MAX(AE62*AE$14,'Output - Jobs vs Yr (BAU)'!AE13)</f>
        <v>2037.9649288685771</v>
      </c>
      <c r="AF38" s="175">
        <f>MAX(AF62*AF$14,'Output - Jobs vs Yr (BAU)'!AF13)</f>
        <v>2068.9174571986141</v>
      </c>
      <c r="AG38" s="175">
        <f>MAX(AG62*AG$14,'Output - Jobs vs Yr (BAU)'!AG13)</f>
        <v>2091.4732809614811</v>
      </c>
      <c r="AH38" s="185">
        <f>Inputs!I21*'Output -Jobs vs Yr'!$AH$14</f>
        <v>2088.2245195776986</v>
      </c>
      <c r="AI38" s="128"/>
    </row>
    <row r="39" spans="1:36" s="20" customFormat="1">
      <c r="A39" s="9" t="s">
        <v>348</v>
      </c>
      <c r="B39" s="35">
        <v>1</v>
      </c>
      <c r="C39" s="330">
        <f>'Output - Jobs vs Yr (BAU)'!C14</f>
        <v>0</v>
      </c>
      <c r="D39" s="330">
        <f>MAX(D63*D$14,'Output - Jobs vs Yr (BAU)'!D14)</f>
        <v>0</v>
      </c>
      <c r="E39" s="330">
        <f>MAX(E63*E$14,'Output - Jobs vs Yr (BAU)'!E14)</f>
        <v>0.1</v>
      </c>
      <c r="F39" s="330">
        <f>MAX(F63*F$14,'Output - Jobs vs Yr (BAU)'!F14)</f>
        <v>0.1</v>
      </c>
      <c r="G39" s="330">
        <f>MAX(G63*G$14,'Output - Jobs vs Yr (BAU)'!G14)</f>
        <v>0.1</v>
      </c>
      <c r="H39" s="286">
        <f>'Output - Jobs vs Yr (BAU)'!H14</f>
        <v>0.1</v>
      </c>
      <c r="I39" s="118">
        <f>MAX(I63*I$14,'Output - Jobs vs Yr (BAU)'!I14)</f>
        <v>0.11951563921674102</v>
      </c>
      <c r="J39" s="118">
        <f>MAX(J63*J$14,'Output - Jobs vs Yr (BAU)'!J14)</f>
        <v>0.13819926182208728</v>
      </c>
      <c r="K39" s="118">
        <f>MAX(K63*K$14,'Output - Jobs vs Yr (BAU)'!K14)</f>
        <v>0.16955196842876305</v>
      </c>
      <c r="L39" s="118">
        <f>MAX(L63*L$14,'Output - Jobs vs Yr (BAU)'!L14)</f>
        <v>0.20590276802530855</v>
      </c>
      <c r="M39" s="118">
        <f>MAX(M63*M$14,'Output - Jobs vs Yr (BAU)'!M14)</f>
        <v>0.24449856667155412</v>
      </c>
      <c r="N39" s="185">
        <f>MAX(Inputs!$E22*N$21,'Output - Jobs vs Yr (BAU)'!N14)</f>
        <v>0.28445053458932479</v>
      </c>
      <c r="O39" s="175">
        <f>MAX(O63*O$14,'Output - Jobs vs Yr (BAU)'!O14)</f>
        <v>0.29972622575175745</v>
      </c>
      <c r="P39" s="175">
        <f>MAX(P63*P$14,'Output - Jobs vs Yr (BAU)'!P14)</f>
        <v>0.3116591988883457</v>
      </c>
      <c r="Q39" s="175">
        <f>MAX(Q63*Q$14,'Output - Jobs vs Yr (BAU)'!Q14)</f>
        <v>0.32606785127992283</v>
      </c>
      <c r="R39" s="175">
        <f>MAX(R63*R$14,'Output - Jobs vs Yr (BAU)'!R14)</f>
        <v>0.34368506873356891</v>
      </c>
      <c r="S39" s="175">
        <f>MAX(S63*S$14,'Output - Jobs vs Yr (BAU)'!S14)</f>
        <v>0.36355588837683989</v>
      </c>
      <c r="T39" s="175">
        <f>MAX(T63*T$14,'Output - Jobs vs Yr (BAU)'!T14)</f>
        <v>0.37754525643630321</v>
      </c>
      <c r="U39" s="175">
        <f>MAX(U63*U$14,'Output - Jobs vs Yr (BAU)'!U14)</f>
        <v>0.40569068403457426</v>
      </c>
      <c r="V39" s="175">
        <f>MAX(V63*V$14,'Output - Jobs vs Yr (BAU)'!V14)</f>
        <v>0.43595429462250607</v>
      </c>
      <c r="W39" s="175">
        <f>MAX(W63*W$14,'Output - Jobs vs Yr (BAU)'!W14)</f>
        <v>0.45286395911738625</v>
      </c>
      <c r="X39" s="185">
        <f>Inputs!F22*'Output -Jobs vs Yr'!$X$14</f>
        <v>0.48529802559498542</v>
      </c>
      <c r="Y39" s="175">
        <f>MAX(Y63*Y$14,'Output - Jobs vs Yr (BAU)'!Y14)</f>
        <v>0.49865186333287309</v>
      </c>
      <c r="Z39" s="175">
        <f>MAX(Z63*Z$14,'Output - Jobs vs Yr (BAU)'!Z14)</f>
        <v>0.51023524457196423</v>
      </c>
      <c r="AA39" s="175">
        <f>MAX(AA63*AA$14,'Output - Jobs vs Yr (BAU)'!AA14)</f>
        <v>0.52863120554049303</v>
      </c>
      <c r="AB39" s="175">
        <f>MAX(AB63*AB$14,'Output - Jobs vs Yr (BAU)'!AB14)</f>
        <v>0.54249671183628811</v>
      </c>
      <c r="AC39" s="175">
        <f>MAX(AC63*AC$14,'Output - Jobs vs Yr (BAU)'!AC14)</f>
        <v>0.54747320115490716</v>
      </c>
      <c r="AD39" s="175">
        <f>MAX(AD63*AD$14,'Output - Jobs vs Yr (BAU)'!AD14)</f>
        <v>0.56363464201097901</v>
      </c>
      <c r="AE39" s="175">
        <f>MAX(AE63*AE$14,'Output - Jobs vs Yr (BAU)'!AE14)</f>
        <v>0.5717261104978878</v>
      </c>
      <c r="AF39" s="175">
        <f>MAX(AF63*AF$14,'Output - Jobs vs Yr (BAU)'!AF14)</f>
        <v>0.58040946337679733</v>
      </c>
      <c r="AG39" s="175">
        <f>MAX(AG63*AG$14,'Output - Jobs vs Yr (BAU)'!AG14)</f>
        <v>0.58673722358814662</v>
      </c>
      <c r="AH39" s="185">
        <f>Inputs!I22*'Output -Jobs vs Yr'!$AH$14</f>
        <v>0.58582582335570155</v>
      </c>
      <c r="AI39" s="128"/>
    </row>
    <row r="40" spans="1:36" s="20" customFormat="1">
      <c r="A40" s="9" t="s">
        <v>344</v>
      </c>
      <c r="B40" s="35">
        <v>1</v>
      </c>
      <c r="C40" s="330">
        <f>'Output - Jobs vs Yr (BAU)'!C15</f>
        <v>0.01</v>
      </c>
      <c r="D40" s="330">
        <f>MAX(D64*D$14,'Output - Jobs vs Yr (BAU)'!D15)</f>
        <v>1.2858501468168833E-2</v>
      </c>
      <c r="E40" s="330">
        <f>MAX(E64*E$14,'Output - Jobs vs Yr (BAU)'!E15)</f>
        <v>1.3543409853993596E-2</v>
      </c>
      <c r="F40" s="330">
        <f>MAX(F64*F$14,'Output - Jobs vs Yr (BAU)'!F15)</f>
        <v>1.5042462730412971E-2</v>
      </c>
      <c r="G40" s="330">
        <f>MAX(G64*G$14,'Output - Jobs vs Yr (BAU)'!G15)</f>
        <v>1.7407351388872862E-2</v>
      </c>
      <c r="H40" s="286">
        <f>'Output - Jobs vs Yr (BAU)'!H15</f>
        <v>0.01</v>
      </c>
      <c r="I40" s="118">
        <f>MAX(I64*I$14,'Output - Jobs vs Yr (BAU)'!I15)</f>
        <v>1.1951563921674098E-2</v>
      </c>
      <c r="J40" s="118">
        <f>MAX(J64*J$14,'Output - Jobs vs Yr (BAU)'!J15)</f>
        <v>1.3819926182208722E-2</v>
      </c>
      <c r="K40" s="118">
        <f>MAX(K64*K$14,'Output - Jobs vs Yr (BAU)'!K15)</f>
        <v>1.6955196842876295E-2</v>
      </c>
      <c r="L40" s="118">
        <f>MAX(L64*L$14,'Output - Jobs vs Yr (BAU)'!L15)</f>
        <v>2.0590276802530838E-2</v>
      </c>
      <c r="M40" s="118">
        <f>MAX(M64*M$14,'Output - Jobs vs Yr (BAU)'!M15)</f>
        <v>2.4449856667155389E-2</v>
      </c>
      <c r="N40" s="185">
        <f>MAX(Inputs!$E18*N$21,'Output - Jobs vs Yr (BAU)'!N15)</f>
        <v>2.8445053458932466E-2</v>
      </c>
      <c r="O40" s="175">
        <f>MAX(O64*O$14,'Output - Jobs vs Yr (BAU)'!O15)</f>
        <v>2.9972622575175707E-2</v>
      </c>
      <c r="P40" s="175">
        <f>MAX(P64*P$14,'Output - Jobs vs Yr (BAU)'!P15)</f>
        <v>3.1165919888834531E-2</v>
      </c>
      <c r="Q40" s="175">
        <f>MAX(Q64*Q$14,'Output - Jobs vs Yr (BAU)'!Q15)</f>
        <v>3.2606785127992241E-2</v>
      </c>
      <c r="R40" s="175">
        <f>MAX(R64*R$14,'Output - Jobs vs Yr (BAU)'!R15)</f>
        <v>3.4368506873356852E-2</v>
      </c>
      <c r="S40" s="175">
        <f>MAX(S64*S$14,'Output - Jobs vs Yr (BAU)'!S15)</f>
        <v>3.6355588837683951E-2</v>
      </c>
      <c r="T40" s="175">
        <f>MAX(T64*T$14,'Output - Jobs vs Yr (BAU)'!T15)</f>
        <v>3.7754525643630285E-2</v>
      </c>
      <c r="U40" s="175">
        <f>MAX(U64*U$14,'Output - Jobs vs Yr (BAU)'!U15)</f>
        <v>4.0569068403457385E-2</v>
      </c>
      <c r="V40" s="175">
        <f>MAX(V64*V$14,'Output - Jobs vs Yr (BAU)'!V15)</f>
        <v>4.3595429462250569E-2</v>
      </c>
      <c r="W40" s="175">
        <f>MAX(W64*W$14,'Output - Jobs vs Yr (BAU)'!W15)</f>
        <v>4.5286395911738581E-2</v>
      </c>
      <c r="X40" s="185">
        <f>Inputs!F18*'Output -Jobs vs Yr'!$X$14</f>
        <v>4.8529802559498521E-2</v>
      </c>
      <c r="Y40" s="175">
        <f>MAX(Y64*Y$14,'Output - Jobs vs Yr (BAU)'!Y15)</f>
        <v>4.9865186333287286E-2</v>
      </c>
      <c r="Z40" s="175">
        <f>MAX(Z64*Z$14,'Output - Jobs vs Yr (BAU)'!Z15)</f>
        <v>5.1023524457196406E-2</v>
      </c>
      <c r="AA40" s="175">
        <f>MAX(AA64*AA$14,'Output - Jobs vs Yr (BAU)'!AA15)</f>
        <v>5.2863120554049278E-2</v>
      </c>
      <c r="AB40" s="175">
        <f>MAX(AB64*AB$14,'Output - Jobs vs Yr (BAU)'!AB15)</f>
        <v>5.4249671183628792E-2</v>
      </c>
      <c r="AC40" s="175">
        <f>MAX(AC64*AC$14,'Output - Jobs vs Yr (BAU)'!AC15)</f>
        <v>5.4747320115490695E-2</v>
      </c>
      <c r="AD40" s="175">
        <f>MAX(AD64*AD$14,'Output - Jobs vs Yr (BAU)'!AD15)</f>
        <v>5.6363464201097876E-2</v>
      </c>
      <c r="AE40" s="175">
        <f>MAX(AE64*AE$14,'Output - Jobs vs Yr (BAU)'!AE15)</f>
        <v>5.7172611049788755E-2</v>
      </c>
      <c r="AF40" s="175">
        <f>MAX(AF64*AF$14,'Output - Jobs vs Yr (BAU)'!AF15)</f>
        <v>5.8040946337679714E-2</v>
      </c>
      <c r="AG40" s="175">
        <f>MAX(AG64*AG$14,'Output - Jobs vs Yr (BAU)'!AG15)</f>
        <v>5.8673722358814635E-2</v>
      </c>
      <c r="AH40" s="185">
        <f>Inputs!I18*'Output -Jobs vs Yr'!$AH$14</f>
        <v>5.8582582335570135E-2</v>
      </c>
      <c r="AI40" s="128"/>
    </row>
    <row r="41" spans="1:36" s="252" customFormat="1">
      <c r="A41" s="10" t="s">
        <v>120</v>
      </c>
      <c r="B41" s="37">
        <v>1</v>
      </c>
      <c r="C41" s="330">
        <v>0</v>
      </c>
      <c r="D41" s="330">
        <v>0</v>
      </c>
      <c r="E41" s="330">
        <v>0</v>
      </c>
      <c r="F41" s="330">
        <v>0</v>
      </c>
      <c r="G41" s="330">
        <v>0</v>
      </c>
      <c r="H41" s="286">
        <v>1</v>
      </c>
      <c r="I41" s="286">
        <v>2</v>
      </c>
      <c r="J41" s="286">
        <v>3</v>
      </c>
      <c r="K41" s="286">
        <v>4</v>
      </c>
      <c r="L41" s="286">
        <v>5</v>
      </c>
      <c r="M41" s="286">
        <v>6</v>
      </c>
      <c r="N41" s="287">
        <v>7</v>
      </c>
      <c r="O41" s="286">
        <v>8</v>
      </c>
      <c r="P41" s="286">
        <v>9</v>
      </c>
      <c r="Q41" s="286">
        <v>10</v>
      </c>
      <c r="R41" s="286">
        <v>11</v>
      </c>
      <c r="S41" s="286">
        <v>12</v>
      </c>
      <c r="T41" s="286">
        <v>13</v>
      </c>
      <c r="U41" s="286">
        <v>14</v>
      </c>
      <c r="V41" s="286">
        <v>15</v>
      </c>
      <c r="W41" s="286">
        <v>16</v>
      </c>
      <c r="X41" s="287">
        <v>17</v>
      </c>
      <c r="Y41" s="252">
        <v>18</v>
      </c>
      <c r="Z41" s="252">
        <v>19</v>
      </c>
      <c r="AA41" s="252">
        <v>20</v>
      </c>
      <c r="AB41" s="252">
        <v>21</v>
      </c>
      <c r="AC41" s="252">
        <v>22</v>
      </c>
      <c r="AD41" s="197">
        <v>23</v>
      </c>
      <c r="AE41" s="252">
        <v>24</v>
      </c>
      <c r="AF41" s="252">
        <v>25</v>
      </c>
      <c r="AG41" s="252">
        <v>26</v>
      </c>
      <c r="AH41" s="287">
        <v>27</v>
      </c>
      <c r="AI41" s="252">
        <f>EXP(0.01)</f>
        <v>1.0100501670841679</v>
      </c>
      <c r="AJ41" s="482">
        <v>0.01</v>
      </c>
    </row>
    <row r="42" spans="1:36" s="20" customFormat="1">
      <c r="A42" s="9" t="s">
        <v>53</v>
      </c>
      <c r="B42" s="35">
        <v>1</v>
      </c>
      <c r="C42" s="330">
        <f>EIA_RE_aeo2014!E78*1000</f>
        <v>6</v>
      </c>
      <c r="D42" s="330">
        <f>MAX(D66*D$14,'Output - Jobs vs Yr (BAU)'!D16)</f>
        <v>22</v>
      </c>
      <c r="E42" s="330">
        <f>MAX(E66*E$14,'Output - Jobs vs Yr (BAU)'!E16)</f>
        <v>13.48299612474594</v>
      </c>
      <c r="F42" s="330">
        <f>MAX(F66*F$14,'Output - Jobs vs Yr (BAU)'!F16)</f>
        <v>20.101397241682971</v>
      </c>
      <c r="G42" s="330">
        <f>MAX(G66*G$14,'Output - Jobs vs Yr (BAU)'!G16)</f>
        <v>33.38540055247438</v>
      </c>
      <c r="H42" s="286">
        <f>'Output - Jobs vs Yr (BAU)'!H16</f>
        <v>33.880262023149271</v>
      </c>
      <c r="I42" s="118">
        <f>MAX(I66*I$14,'Output - Jobs vs Yr (BAU)'!I16)</f>
        <v>83.751253246101015</v>
      </c>
      <c r="J42" s="118">
        <f>MAX(J66*J$14,'Output - Jobs vs Yr (BAU)'!J16)</f>
        <v>117.42757507743347</v>
      </c>
      <c r="K42" s="118">
        <f>MAX(K66*K$14,'Output - Jobs vs Yr (BAU)'!K16)</f>
        <v>117.42493132238832</v>
      </c>
      <c r="L42" s="118">
        <f>MAX(L66*L$14,'Output - Jobs vs Yr (BAU)'!L16)</f>
        <v>159.76060805716892</v>
      </c>
      <c r="M42" s="118">
        <f>MAX(M66*M$14,'Output - Jobs vs Yr (BAU)'!M16)</f>
        <v>233.37214991288812</v>
      </c>
      <c r="N42" s="185">
        <f>MAX(Inputs!$E23*N$21,'Output - Jobs vs Yr (BAU)'!N16)</f>
        <v>333.9986056552786</v>
      </c>
      <c r="O42" s="175">
        <f>MAX(O66*O$14,'Output - Jobs vs Yr (BAU)'!O16)</f>
        <v>351.93514972273567</v>
      </c>
      <c r="P42" s="175">
        <f>MAX(P66*P$14,'Output - Jobs vs Yr (BAU)'!P16)</f>
        <v>365.94671203073619</v>
      </c>
      <c r="Q42" s="175">
        <f>MAX(Q66*Q$14,'Output - Jobs vs Yr (BAU)'!Q16)</f>
        <v>382.86518896419096</v>
      </c>
      <c r="R42" s="175">
        <f>MAX(R66*R$14,'Output - Jobs vs Yr (BAU)'!R16)</f>
        <v>403.55112676191328</v>
      </c>
      <c r="S42" s="175">
        <f>MAX(S66*S$14,'Output - Jobs vs Yr (BAU)'!S16)</f>
        <v>426.88321880266813</v>
      </c>
      <c r="T42" s="175">
        <f>MAX(T66*T$14,'Output - Jobs vs Yr (BAU)'!T16)</f>
        <v>443.30937680797842</v>
      </c>
      <c r="U42" s="175">
        <f>MAX(U66*U$14,'Output - Jobs vs Yr (BAU)'!U16)</f>
        <v>476.35742007133922</v>
      </c>
      <c r="V42" s="175">
        <f>MAX(V66*V$14,'Output - Jobs vs Yr (BAU)'!V16)</f>
        <v>511.89260988230933</v>
      </c>
      <c r="W42" s="175">
        <f>MAX(W66*W$14,'Output - Jobs vs Yr (BAU)'!W16)</f>
        <v>531.74774698564636</v>
      </c>
      <c r="X42" s="185">
        <f>Inputs!F23*'Output -Jobs vs Yr'!$X$14</f>
        <v>569.83146159313947</v>
      </c>
      <c r="Y42" s="175">
        <f>MAX(Y66*Y$14,'Output - Jobs vs Yr (BAU)'!Y16)</f>
        <v>585.51138707136249</v>
      </c>
      <c r="Z42" s="175">
        <f>MAX(Z66*Z$14,'Output - Jobs vs Yr (BAU)'!Z16)</f>
        <v>599.11246252096782</v>
      </c>
      <c r="AA42" s="175">
        <f>MAX(AA66*AA$14,'Output - Jobs vs Yr (BAU)'!AA16)</f>
        <v>620.71279216017285</v>
      </c>
      <c r="AB42" s="175">
        <f>MAX(AB66*AB$14,'Output - Jobs vs Yr (BAU)'!AB16)</f>
        <v>636.99351308125017</v>
      </c>
      <c r="AC42" s="175">
        <f>MAX(AC66*AC$14,'Output - Jobs vs Yr (BAU)'!AC16)</f>
        <v>642.83685064388419</v>
      </c>
      <c r="AD42" s="175">
        <f>MAX(AD66*AD$14,'Output - Jobs vs Yr (BAU)'!AD16)</f>
        <v>661.81343199958974</v>
      </c>
      <c r="AE42" s="175">
        <f>MAX(AE66*AE$14,'Output - Jobs vs Yr (BAU)'!AE16)</f>
        <v>671.31434292680228</v>
      </c>
      <c r="AF42" s="175">
        <f>MAX(AF66*AF$14,'Output - Jobs vs Yr (BAU)'!AF16)</f>
        <v>681.51023782345192</v>
      </c>
      <c r="AG42" s="175">
        <f>MAX(AG66*AG$14,'Output - Jobs vs Yr (BAU)'!AG16)</f>
        <v>688.94022240956951</v>
      </c>
      <c r="AH42" s="185">
        <f>Inputs!I23*'Output -Jobs vs Yr'!$AH$14</f>
        <v>687.87006654830532</v>
      </c>
      <c r="AI42" s="128"/>
    </row>
    <row r="43" spans="1:36">
      <c r="A43" s="10" t="s">
        <v>332</v>
      </c>
      <c r="B43" s="37"/>
      <c r="C43" s="330">
        <f>SUM(C31:C42)</f>
        <v>7822</v>
      </c>
      <c r="D43" s="330">
        <f t="shared" ref="D43:AG43" si="29">SUM(D31:D42)</f>
        <v>8764.1643301870754</v>
      </c>
      <c r="E43" s="330">
        <f t="shared" si="29"/>
        <v>8070.4874968870872</v>
      </c>
      <c r="F43" s="330">
        <f t="shared" si="29"/>
        <v>7855.7833078761623</v>
      </c>
      <c r="G43" s="330">
        <f t="shared" si="29"/>
        <v>8060.3051522352107</v>
      </c>
      <c r="H43" s="286">
        <f t="shared" si="29"/>
        <v>7919.9592220581526</v>
      </c>
      <c r="I43" s="83">
        <f t="shared" si="29"/>
        <v>8271.982814756946</v>
      </c>
      <c r="J43" s="83">
        <f t="shared" si="29"/>
        <v>8404.6607295956383</v>
      </c>
      <c r="K43" s="83">
        <f t="shared" si="29"/>
        <v>9082.6972358604417</v>
      </c>
      <c r="L43" s="83">
        <f t="shared" si="29"/>
        <v>9868.944554576623</v>
      </c>
      <c r="M43" s="83">
        <f t="shared" si="29"/>
        <v>10633.569450070347</v>
      </c>
      <c r="N43" s="185">
        <f t="shared" si="29"/>
        <v>11388.208094815453</v>
      </c>
      <c r="O43" s="83">
        <f t="shared" si="29"/>
        <v>11685.935515776573</v>
      </c>
      <c r="P43" s="83">
        <f t="shared" si="29"/>
        <v>11841.308500372834</v>
      </c>
      <c r="Q43" s="83">
        <f t="shared" si="29"/>
        <v>12080.763493845647</v>
      </c>
      <c r="R43" s="83">
        <f t="shared" si="29"/>
        <v>12425.058365798801</v>
      </c>
      <c r="S43" s="83">
        <f t="shared" si="29"/>
        <v>12833.519494863869</v>
      </c>
      <c r="T43" s="83">
        <f t="shared" si="29"/>
        <v>13021.902435819864</v>
      </c>
      <c r="U43" s="83">
        <f t="shared" si="29"/>
        <v>13680.490807651518</v>
      </c>
      <c r="V43" s="83">
        <f t="shared" si="29"/>
        <v>14382.419832486867</v>
      </c>
      <c r="W43" s="83">
        <f t="shared" si="29"/>
        <v>14626.498286057442</v>
      </c>
      <c r="X43" s="185">
        <f t="shared" si="29"/>
        <v>15354.217038278028</v>
      </c>
      <c r="Y43" s="175">
        <f t="shared" si="29"/>
        <v>15664.073214337572</v>
      </c>
      <c r="Z43" s="175">
        <f t="shared" si="29"/>
        <v>15914.866311717378</v>
      </c>
      <c r="AA43" s="175">
        <f t="shared" si="29"/>
        <v>16373.404597582668</v>
      </c>
      <c r="AB43" s="175">
        <f t="shared" si="29"/>
        <v>16686.938366365634</v>
      </c>
      <c r="AC43" s="175">
        <f t="shared" si="29"/>
        <v>16725.53033188203</v>
      </c>
      <c r="AD43" s="175">
        <f t="shared" si="29"/>
        <v>17103.12791671283</v>
      </c>
      <c r="AE43" s="175">
        <f t="shared" si="29"/>
        <v>17233.355939005338</v>
      </c>
      <c r="AF43" s="175">
        <f t="shared" si="29"/>
        <v>17380.181225181361</v>
      </c>
      <c r="AG43" s="175">
        <f t="shared" si="29"/>
        <v>17455.748740054598</v>
      </c>
      <c r="AH43" s="185">
        <f>SUM(AH31:AH42)</f>
        <v>17317.333061959594</v>
      </c>
      <c r="AI43" s="128"/>
    </row>
    <row r="44" spans="1:36">
      <c r="A44" s="10" t="s">
        <v>124</v>
      </c>
      <c r="B44" s="37"/>
      <c r="C44" s="331">
        <f>SUMPRODUCT($B34:$B42,C34:C42)</f>
        <v>1225.01</v>
      </c>
      <c r="D44" s="331">
        <f>SUMPRODUCT($B34:$B42,D34:D42)</f>
        <v>1628.9861689300799</v>
      </c>
      <c r="E44" s="331">
        <f t="shared" ref="E44:AG44" si="30">SUMPRODUCT($B34:$B42*E34:E42)</f>
        <v>1749.7313581117885</v>
      </c>
      <c r="F44" s="331">
        <f t="shared" si="30"/>
        <v>1951.8209285703583</v>
      </c>
      <c r="G44" s="331">
        <f t="shared" si="30"/>
        <v>2315.2108300002164</v>
      </c>
      <c r="H44" s="402">
        <f t="shared" si="30"/>
        <v>1592.3595872322778</v>
      </c>
      <c r="I44" s="14">
        <f>SUMPRODUCT($B34:$B42*I34:I42)</f>
        <v>1989.3257073951172</v>
      </c>
      <c r="J44" s="14">
        <f t="shared" si="30"/>
        <v>2372.3323634995554</v>
      </c>
      <c r="K44" s="14">
        <f t="shared" si="30"/>
        <v>2940.6444355005624</v>
      </c>
      <c r="L44" s="14">
        <f t="shared" si="30"/>
        <v>3682.1702178841761</v>
      </c>
      <c r="M44" s="14">
        <f t="shared" si="30"/>
        <v>4543.5594048480061</v>
      </c>
      <c r="N44" s="183">
        <f t="shared" si="30"/>
        <v>5518.4029005259026</v>
      </c>
      <c r="O44" s="14">
        <f t="shared" si="30"/>
        <v>5815.3787499006212</v>
      </c>
      <c r="P44" s="14">
        <f t="shared" si="30"/>
        <v>6047.587395199329</v>
      </c>
      <c r="Q44" s="14">
        <f t="shared" si="30"/>
        <v>6327.763838647601</v>
      </c>
      <c r="R44" s="14">
        <f t="shared" si="30"/>
        <v>6670.1081905343099</v>
      </c>
      <c r="S44" s="14">
        <f t="shared" si="30"/>
        <v>7056.1174617450833</v>
      </c>
      <c r="T44" s="14">
        <f t="shared" si="30"/>
        <v>7328.1700150853849</v>
      </c>
      <c r="U44" s="14">
        <f t="shared" si="30"/>
        <v>7874.5048710230203</v>
      </c>
      <c r="V44" s="14">
        <f t="shared" si="30"/>
        <v>8461.880816547342</v>
      </c>
      <c r="W44" s="14">
        <f t="shared" si="30"/>
        <v>8790.5158975590693</v>
      </c>
      <c r="X44" s="188">
        <f t="shared" si="30"/>
        <v>9419.9457520452634</v>
      </c>
      <c r="Y44" s="14">
        <f t="shared" si="30"/>
        <v>9679.6845171103523</v>
      </c>
      <c r="Z44" s="14">
        <f t="shared" si="30"/>
        <v>9905.1196058022924</v>
      </c>
      <c r="AA44" s="14">
        <f t="shared" si="30"/>
        <v>10262.552589084567</v>
      </c>
      <c r="AB44" s="14">
        <f t="shared" si="30"/>
        <v>10532.205245077055</v>
      </c>
      <c r="AC44" s="14">
        <f t="shared" si="30"/>
        <v>10629.627766147973</v>
      </c>
      <c r="AD44" s="14">
        <f t="shared" si="30"/>
        <v>10943.765557010029</v>
      </c>
      <c r="AE44" s="14">
        <f t="shared" si="30"/>
        <v>11101.542702648541</v>
      </c>
      <c r="AF44" s="14">
        <f t="shared" si="30"/>
        <v>11270.787970010075</v>
      </c>
      <c r="AG44" s="14">
        <f t="shared" si="30"/>
        <v>11394.392190223665</v>
      </c>
      <c r="AH44" s="188">
        <f>SUMPRODUCT($B34:$B42*AH34:AH42)</f>
        <v>11377.733253875067</v>
      </c>
      <c r="AI44" s="128"/>
    </row>
    <row r="45" spans="1:36">
      <c r="A45" s="10" t="s">
        <v>117</v>
      </c>
      <c r="B45" s="37"/>
      <c r="C45" s="332">
        <f t="shared" ref="C45:AG45" si="31">C44/C14</f>
        <v>3.1012911392405064E-2</v>
      </c>
      <c r="D45" s="332">
        <f t="shared" si="31"/>
        <v>3.7757832532046447E-2</v>
      </c>
      <c r="E45" s="332">
        <f t="shared" si="31"/>
        <v>4.5331541237126155E-2</v>
      </c>
      <c r="F45" s="332">
        <f t="shared" si="31"/>
        <v>5.359882521936387E-2</v>
      </c>
      <c r="G45" s="332">
        <f t="shared" si="31"/>
        <v>6.4679880247370411E-2</v>
      </c>
      <c r="H45" s="284">
        <f t="shared" si="31"/>
        <v>4.3216649718947502E-2</v>
      </c>
      <c r="I45" s="23">
        <f t="shared" si="31"/>
        <v>5.3182435099603582E-2</v>
      </c>
      <c r="J45" s="23">
        <f t="shared" si="31"/>
        <v>6.4570475732053212E-2</v>
      </c>
      <c r="K45" s="23">
        <f t="shared" si="31"/>
        <v>7.680349239725652E-2</v>
      </c>
      <c r="L45" s="23">
        <f t="shared" si="31"/>
        <v>9.323094336692575E-2</v>
      </c>
      <c r="M45" s="23">
        <f t="shared" si="31"/>
        <v>0.11405528373532618</v>
      </c>
      <c r="N45" s="179">
        <f t="shared" si="31"/>
        <v>0.14017781316620975</v>
      </c>
      <c r="O45" s="23">
        <f t="shared" si="31"/>
        <v>0.14856177752301603</v>
      </c>
      <c r="P45" s="23">
        <f t="shared" si="31"/>
        <v>0.1574480286348878</v>
      </c>
      <c r="Q45" s="207">
        <f t="shared" si="31"/>
        <v>0.16686240628344287</v>
      </c>
      <c r="R45" s="207">
        <f t="shared" si="31"/>
        <v>0.1768355722925978</v>
      </c>
      <c r="S45" s="207">
        <f t="shared" si="31"/>
        <v>0.1874015741933871</v>
      </c>
      <c r="T45" s="207">
        <f t="shared" si="31"/>
        <v>0.19860324114250427</v>
      </c>
      <c r="U45" s="207">
        <f t="shared" si="31"/>
        <v>0.21045983791535325</v>
      </c>
      <c r="V45" s="207">
        <f t="shared" si="31"/>
        <v>0.22302222883696585</v>
      </c>
      <c r="W45" s="207">
        <f t="shared" si="31"/>
        <v>0.23634695418407026</v>
      </c>
      <c r="X45" s="186">
        <f t="shared" si="31"/>
        <v>0.2504519860171559</v>
      </c>
      <c r="Y45" s="173">
        <f t="shared" si="31"/>
        <v>0.25507417097058893</v>
      </c>
      <c r="Z45" s="173">
        <f t="shared" si="31"/>
        <v>0.2597826373779592</v>
      </c>
      <c r="AA45" s="173">
        <f t="shared" si="31"/>
        <v>0.26457059598846344</v>
      </c>
      <c r="AB45" s="173">
        <f t="shared" si="31"/>
        <v>0.26945069277279171</v>
      </c>
      <c r="AC45" s="173">
        <f t="shared" si="31"/>
        <v>0.27442926136522572</v>
      </c>
      <c r="AD45" s="173">
        <f t="shared" si="31"/>
        <v>0.27948754132051212</v>
      </c>
      <c r="AE45" s="173">
        <f t="shared" si="31"/>
        <v>0.28464711198966708</v>
      </c>
      <c r="AF45" s="173">
        <f t="shared" si="31"/>
        <v>0.28990078695775828</v>
      </c>
      <c r="AG45" s="173">
        <f t="shared" si="31"/>
        <v>0.29525363025126294</v>
      </c>
      <c r="AH45" s="186">
        <f>AH44/AH14</f>
        <v>0.30071361028568228</v>
      </c>
      <c r="AI45" s="128"/>
    </row>
    <row r="46" spans="1:36" s="252" customFormat="1">
      <c r="A46" s="10" t="s">
        <v>333</v>
      </c>
      <c r="B46" s="37"/>
      <c r="C46" s="330">
        <f>SUM(EIA_electricity_aeo2014!E50,EIA_electricity_aeo2014!E55)*1000</f>
        <v>1658</v>
      </c>
      <c r="D46" s="330">
        <f>SUM(EIA_electricity_aeo2014!F50,EIA_electricity_aeo2014!F55)*1000</f>
        <v>1067</v>
      </c>
      <c r="E46" s="330">
        <f>SUM(EIA_electricity_aeo2014!G50,EIA_electricity_aeo2014!G55)*1000</f>
        <v>798.49131917076363</v>
      </c>
      <c r="F46" s="330">
        <f>SUM(EIA_electricity_aeo2014!H50,EIA_electricity_aeo2014!H55)*1000</f>
        <v>764.77164109582532</v>
      </c>
      <c r="G46" s="330">
        <f>SUM(EIA_electricity_aeo2014!I50,EIA_electricity_aeo2014!I55)*1000</f>
        <v>787.75811613541975</v>
      </c>
      <c r="H46" s="286">
        <f>SUM(EIA_electricity_aeo2014!J50,EIA_electricity_aeo2014!J55)*1000</f>
        <v>787.44921090208459</v>
      </c>
      <c r="I46" s="286">
        <f>SUM(EIA_electricity_aeo2014!K50,EIA_electricity_aeo2014!K55)*1000</f>
        <v>789.38426757735976</v>
      </c>
      <c r="J46" s="286">
        <f>SUM(EIA_electricity_aeo2014!L50,EIA_electricity_aeo2014!L55)*1000</f>
        <v>782.70606715876897</v>
      </c>
      <c r="K46" s="286">
        <f>SUM(EIA_electricity_aeo2014!M50,EIA_electricity_aeo2014!M55)*1000</f>
        <v>694.73797035503037</v>
      </c>
      <c r="L46" s="286">
        <f>SUM(EIA_electricity_aeo2014!N50,EIA_electricity_aeo2014!N55)*1000</f>
        <v>699.17212902087942</v>
      </c>
      <c r="M46" s="286">
        <f>SUM(EIA_electricity_aeo2014!O50,EIA_electricity_aeo2014!O55)*1000</f>
        <v>706.86983237498623</v>
      </c>
      <c r="N46" s="286">
        <f>SUM(EIA_electricity_aeo2014!P50,EIA_electricity_aeo2014!P55)*1000</f>
        <v>707.46564800700446</v>
      </c>
      <c r="O46" s="286">
        <f>SUM(EIA_electricity_aeo2014!Q50,EIA_electricity_aeo2014!Q55)*1000</f>
        <v>701.36232577811813</v>
      </c>
      <c r="P46" s="286">
        <f>SUM(EIA_electricity_aeo2014!R50,EIA_electricity_aeo2014!R55)*1000</f>
        <v>694.66815550237868</v>
      </c>
      <c r="Q46" s="286">
        <f>SUM(EIA_electricity_aeo2014!S50,EIA_electricity_aeo2014!S55)*1000</f>
        <v>694.46670072765539</v>
      </c>
      <c r="R46" s="286">
        <f>SUM(EIA_electricity_aeo2014!T50,EIA_electricity_aeo2014!T55)*1000</f>
        <v>687.40342615973384</v>
      </c>
      <c r="S46" s="286">
        <f>SUM(EIA_electricity_aeo2014!U50,EIA_electricity_aeo2014!U55)*1000</f>
        <v>687.64817668738885</v>
      </c>
      <c r="T46" s="286">
        <f>SUM(EIA_electricity_aeo2014!V50,EIA_electricity_aeo2014!V55)*1000</f>
        <v>685.77962344897253</v>
      </c>
      <c r="U46" s="286">
        <f>SUM(EIA_electricity_aeo2014!W50,EIA_electricity_aeo2014!W55)*1000</f>
        <v>690.25141772078166</v>
      </c>
      <c r="V46" s="286">
        <f>SUM(EIA_electricity_aeo2014!X50,EIA_electricity_aeo2014!X55)*1000</f>
        <v>690.35717729618511</v>
      </c>
      <c r="W46" s="286">
        <f>SUM(EIA_electricity_aeo2014!Y50,EIA_electricity_aeo2014!Y55)*1000</f>
        <v>690.56559895983071</v>
      </c>
      <c r="X46" s="286">
        <f>SUM(EIA_electricity_aeo2014!Z50,EIA_electricity_aeo2014!Z55)*1000</f>
        <v>690.39306170133807</v>
      </c>
      <c r="Y46" s="286">
        <f>SUM(EIA_electricity_aeo2014!AA50,EIA_electricity_aeo2014!AA55)*1000</f>
        <v>690.28064365756109</v>
      </c>
      <c r="Z46" s="286">
        <f>SUM(EIA_electricity_aeo2014!AB50,EIA_electricity_aeo2014!AB55)*1000</f>
        <v>687.90862293386556</v>
      </c>
      <c r="AA46" s="286">
        <f>SUM(EIA_electricity_aeo2014!AC50,EIA_electricity_aeo2014!AC55)*1000</f>
        <v>687.29535376547062</v>
      </c>
      <c r="AB46" s="286">
        <f>SUM(EIA_electricity_aeo2014!AD50,EIA_electricity_aeo2014!AD55)*1000</f>
        <v>686.88846274962089</v>
      </c>
      <c r="AC46" s="286">
        <f>SUM(EIA_electricity_aeo2014!AE50,EIA_electricity_aeo2014!AE55)*1000</f>
        <v>685.00513080718372</v>
      </c>
      <c r="AD46" s="286">
        <f>SUM(EIA_electricity_aeo2014!AF50,EIA_electricity_aeo2014!AF55)*1000</f>
        <v>686.89674153477199</v>
      </c>
      <c r="AE46" s="286">
        <f>SUM(EIA_electricity_aeo2014!AG50,EIA_electricity_aeo2014!AG55)*1000</f>
        <v>686.03021187592492</v>
      </c>
      <c r="AF46" s="286">
        <f>SUM(EIA_electricity_aeo2014!AH50,EIA_electricity_aeo2014!AH55)*1000</f>
        <v>686.44516053230495</v>
      </c>
      <c r="AG46" s="286">
        <f>SUM(EIA_electricity_aeo2014!AI50,EIA_electricity_aeo2014!AI55)*1000</f>
        <v>686.51673732593395</v>
      </c>
      <c r="AH46" s="286">
        <f>SUM(EIA_electricity_aeo2014!AJ50,EIA_electricity_aeo2014!AJ55)*1000</f>
        <v>686.59401218084076</v>
      </c>
      <c r="AI46" s="292"/>
    </row>
    <row r="47" spans="1:36" s="252" customFormat="1">
      <c r="A47" s="10" t="s">
        <v>142</v>
      </c>
      <c r="B47" s="37"/>
      <c r="C47" s="330">
        <f>(C$14-C$43-C$46)*0.7</f>
        <v>21014</v>
      </c>
      <c r="D47" s="330">
        <f>(D$14-D$30-D$43-D$46)*EIA_electricity_aeo2014!F60</f>
        <v>8164.7812521679089</v>
      </c>
      <c r="E47" s="330">
        <f>(E$14-E$30-E$43-E$46)*EIA_electricity_aeo2014!G60</f>
        <v>3936.3286248064401</v>
      </c>
      <c r="F47" s="330">
        <f>(F$14-F$30-F$43-F$46)*EIA_electricity_aeo2014!H60</f>
        <v>2071.2203528469404</v>
      </c>
      <c r="G47" s="330">
        <f>(G$14-G$30-G$43-G$46)*EIA_electricity_aeo2014!I60</f>
        <v>2223.135085765472</v>
      </c>
      <c r="H47" s="286">
        <f>(H$14-H$30-H$43-H$46)*EIA_electricity_aeo2014!J60</f>
        <v>2230.4586116207834</v>
      </c>
      <c r="I47" s="286">
        <f>(I$14-I$30-I$43-I$46)*EIA_electricity_aeo2014!K60</f>
        <v>2221.3805822903087</v>
      </c>
      <c r="J47" s="286">
        <f>(J$14-J$30-J$43-J$46)*EIA_electricity_aeo2014!L60</f>
        <v>306.21297529235477</v>
      </c>
      <c r="K47" s="286">
        <f>(K$14-K$30-K$43-K$46)*EIA_electricity_aeo2014!M60</f>
        <v>1141.1833973379253</v>
      </c>
      <c r="L47" s="286">
        <f>(L$14-L$30-L$43-L$46)*EIA_electricity_aeo2014!N60</f>
        <v>2115.427585512622</v>
      </c>
      <c r="M47" s="286">
        <f>(M$14-M$30-M$43-M$46)*EIA_electricity_aeo2014!O60</f>
        <v>2469.1192922460968</v>
      </c>
      <c r="N47" s="287">
        <f>(N$14-N$43-N$46)*EIA_electricity_aeo2014!P60 - N30</f>
        <v>2483.4138632804966</v>
      </c>
      <c r="O47" s="286">
        <f>(O$14-O$43-O$46)*EIA_electricity_aeo2014!Q60 - O30</f>
        <v>2518.7782369466577</v>
      </c>
      <c r="P47" s="286">
        <f>(P$14-P$43-P$46)*EIA_electricity_aeo2014!R60 - P30</f>
        <v>2536.6120846867925</v>
      </c>
      <c r="Q47" s="286">
        <f>(Q$14-Q$43-Q$46)*EIA_electricity_aeo2014!S60 - Q30</f>
        <v>2542.0470763977128</v>
      </c>
      <c r="R47" s="286">
        <f>(R$14-R$43-R$46)*EIA_electricity_aeo2014!T60 - R30</f>
        <v>2519.7746535632032</v>
      </c>
      <c r="S47" s="286">
        <f>(S$14-S$43-S$46)*EIA_electricity_aeo2014!U60 - S30</f>
        <v>2491.2650220126038</v>
      </c>
      <c r="T47" s="286">
        <f>(T$14-T$43-T$46)*EIA_electricity_aeo2014!V60 - T30</f>
        <v>2462.7312106456234</v>
      </c>
      <c r="U47" s="286">
        <f>(U$14-U$43-U$46)*EIA_electricity_aeo2014!W60 - U30</f>
        <v>3726.5835563599098</v>
      </c>
      <c r="V47" s="286">
        <f>(V$14-V$43-V$46)*EIA_electricity_aeo2014!X60 - V30</f>
        <v>3983.7142716194862</v>
      </c>
      <c r="W47" s="286">
        <f>(W$14-W$43-W$46)*EIA_electricity_aeo2014!Y60 - W30</f>
        <v>3975.353665639303</v>
      </c>
      <c r="X47" s="287">
        <f>(X$14-X$43-X$46)*EIA_electricity_aeo2014!Z60 - X30</f>
        <v>3885.1601696327525</v>
      </c>
      <c r="Y47" s="286">
        <f>(Y$14-Y$43-Y$46)*EIA_electricity_aeo2014!AA60 - Y30</f>
        <v>3826.7277890682012</v>
      </c>
      <c r="Z47" s="286">
        <f>(Z$14-Z$43-Z$46)*EIA_electricity_aeo2014!AB60 - Z30</f>
        <v>3364.1301279637059</v>
      </c>
      <c r="AA47" s="286">
        <f>(AA$14-AA$43-AA$46)*EIA_electricity_aeo2014!AC60 - AA30</f>
        <v>3265.6496795543626</v>
      </c>
      <c r="AB47" s="286">
        <f>(AB$14-AB$43-AB$46)*EIA_electricity_aeo2014!AD60 - AB30</f>
        <v>3111.4474756364548</v>
      </c>
      <c r="AC47" s="286">
        <f>(AC$14-AC$43-AC$46)*EIA_electricity_aeo2014!AE60 - AC30</f>
        <v>3021.2137796682091</v>
      </c>
      <c r="AD47" s="286">
        <f>(AD$14-AD$43-AD$46)*EIA_electricity_aeo2014!AF60 - AD30</f>
        <v>3406.8746423343523</v>
      </c>
      <c r="AE47" s="286">
        <f>(AE$14-AE$43-AE$46)*EIA_electricity_aeo2014!AG60 - AE30</f>
        <v>3335.8893591510223</v>
      </c>
      <c r="AF47" s="286">
        <f>(AF$14-AF$43-AF$46)*EIA_electricity_aeo2014!AH60 - AF30</f>
        <v>3377.5734929224927</v>
      </c>
      <c r="AG47" s="286">
        <f>(AG$14-AG$43-AG$46)*EIA_electricity_aeo2014!AI60 - AG30</f>
        <v>3357.2428689084591</v>
      </c>
      <c r="AH47" s="287">
        <f>(AH$14-AH$43-AH$46)*EIA_electricity_aeo2014!AJ60 - AH30</f>
        <v>3348.1351295216637</v>
      </c>
      <c r="AI47" s="292"/>
      <c r="AJ47" s="398"/>
    </row>
    <row r="48" spans="1:36" s="252" customFormat="1">
      <c r="A48" s="10" t="s">
        <v>222</v>
      </c>
      <c r="B48" s="37"/>
      <c r="C48" s="330">
        <f>(C$14-C$43-C$46)* 0.3</f>
        <v>9006</v>
      </c>
      <c r="D48" s="330">
        <f t="shared" ref="D48:AH48" si="32">(D$14-SUM(D30:D42,D46:D47))</f>
        <v>25147.054417645017</v>
      </c>
      <c r="E48" s="330">
        <f t="shared" si="32"/>
        <v>25793.233671141254</v>
      </c>
      <c r="F48" s="330">
        <f>(F$14-SUM(F30:F42,F46:F47))</f>
        <v>25723.59239667339</v>
      </c>
      <c r="G48" s="330">
        <f t="shared" si="32"/>
        <v>24723.716867500261</v>
      </c>
      <c r="H48" s="286">
        <f t="shared" si="32"/>
        <v>25908.107772715812</v>
      </c>
      <c r="I48" s="286">
        <f t="shared" si="32"/>
        <v>26122.942835808026</v>
      </c>
      <c r="J48" s="286">
        <f t="shared" si="32"/>
        <v>27246.622876358288</v>
      </c>
      <c r="K48" s="286">
        <f t="shared" si="32"/>
        <v>27369.281382692599</v>
      </c>
      <c r="L48" s="286">
        <f t="shared" si="32"/>
        <v>26811.607071281102</v>
      </c>
      <c r="M48" s="286">
        <f t="shared" si="32"/>
        <v>26026.907181613868</v>
      </c>
      <c r="N48" s="287">
        <f t="shared" si="32"/>
        <v>24788.075969082056</v>
      </c>
      <c r="O48" s="286">
        <f t="shared" si="32"/>
        <v>24238.439064363512</v>
      </c>
      <c r="P48" s="286">
        <f t="shared" si="32"/>
        <v>23337.465978022683</v>
      </c>
      <c r="Q48" s="286">
        <f t="shared" si="32"/>
        <v>22604.76868046317</v>
      </c>
      <c r="R48" s="286">
        <f t="shared" si="32"/>
        <v>22087.030690944077</v>
      </c>
      <c r="S48" s="286">
        <f t="shared" si="32"/>
        <v>21639.958926495834</v>
      </c>
      <c r="T48" s="286">
        <f t="shared" si="32"/>
        <v>20728.128631660977</v>
      </c>
      <c r="U48" s="286">
        <f t="shared" si="32"/>
        <v>19318.38711162343</v>
      </c>
      <c r="V48" s="286">
        <f t="shared" si="32"/>
        <v>18885.380525165958</v>
      </c>
      <c r="W48" s="286">
        <f t="shared" si="32"/>
        <v>17900.851674691232</v>
      </c>
      <c r="X48" s="287">
        <f t="shared" si="32"/>
        <v>17682.012738568934</v>
      </c>
      <c r="Y48" s="286">
        <f t="shared" si="32"/>
        <v>17767.427526868112</v>
      </c>
      <c r="Z48" s="286">
        <f t="shared" si="32"/>
        <v>18161.584607736957</v>
      </c>
      <c r="AA48" s="286">
        <f t="shared" si="32"/>
        <v>18463.118075221821</v>
      </c>
      <c r="AB48" s="286">
        <f t="shared" si="32"/>
        <v>18602.416050374235</v>
      </c>
      <c r="AC48" s="286">
        <f t="shared" si="32"/>
        <v>18301.830818558432</v>
      </c>
      <c r="AD48" s="286">
        <f t="shared" si="32"/>
        <v>17959.642366010197</v>
      </c>
      <c r="AE48" s="286">
        <f t="shared" si="32"/>
        <v>17745.797169220954</v>
      </c>
      <c r="AF48" s="286">
        <f t="shared" si="32"/>
        <v>17433.886960266944</v>
      </c>
      <c r="AG48" s="286">
        <f t="shared" si="32"/>
        <v>17092.370034772593</v>
      </c>
      <c r="AH48" s="287">
        <f t="shared" si="32"/>
        <v>16483.715309254781</v>
      </c>
      <c r="AI48" s="292"/>
    </row>
    <row r="49" spans="1:35" s="252" customFormat="1">
      <c r="A49" s="10" t="s">
        <v>334</v>
      </c>
      <c r="B49" s="37"/>
      <c r="C49" s="330">
        <f>SUM(C43,C46:C48)</f>
        <v>39500</v>
      </c>
      <c r="D49" s="330">
        <f t="shared" ref="D49:M49" si="33">SUM(D43,D46:D48)+D30</f>
        <v>43143</v>
      </c>
      <c r="E49" s="330">
        <f t="shared" si="33"/>
        <v>38598.541112005543</v>
      </c>
      <c r="F49" s="330">
        <f t="shared" si="33"/>
        <v>36415.367698492315</v>
      </c>
      <c r="G49" s="330">
        <f t="shared" si="33"/>
        <v>35794.915221636365</v>
      </c>
      <c r="H49" s="286">
        <f>SUM(H43,H46:H48)+H30</f>
        <v>36845.974817296832</v>
      </c>
      <c r="I49" s="286">
        <f t="shared" si="33"/>
        <v>37405.69050043264</v>
      </c>
      <c r="J49" s="286">
        <f t="shared" si="33"/>
        <v>36740.202648405051</v>
      </c>
      <c r="K49" s="286">
        <f t="shared" si="33"/>
        <v>38287.899986245997</v>
      </c>
      <c r="L49" s="286">
        <f t="shared" si="33"/>
        <v>39495.151340391225</v>
      </c>
      <c r="M49" s="286">
        <f t="shared" si="33"/>
        <v>39836.465756305297</v>
      </c>
      <c r="N49" s="287">
        <f t="shared" ref="N49:AH49" si="34">SUM(N43,N46:N48)+N30</f>
        <v>39367.163575185012</v>
      </c>
      <c r="O49" s="286">
        <f t="shared" si="34"/>
        <v>39144.515142864861</v>
      </c>
      <c r="P49" s="286">
        <f t="shared" si="34"/>
        <v>38410.054718584688</v>
      </c>
      <c r="Q49" s="286">
        <f t="shared" si="34"/>
        <v>37922.045951434186</v>
      </c>
      <c r="R49" s="286">
        <f t="shared" si="34"/>
        <v>37719.267136465816</v>
      </c>
      <c r="S49" s="286">
        <f t="shared" si="34"/>
        <v>37652.391620059694</v>
      </c>
      <c r="T49" s="286">
        <f t="shared" si="34"/>
        <v>36898.541901575438</v>
      </c>
      <c r="U49" s="286">
        <f t="shared" si="34"/>
        <v>37415.712893355638</v>
      </c>
      <c r="V49" s="286">
        <f t="shared" si="34"/>
        <v>37941.871806568495</v>
      </c>
      <c r="W49" s="286">
        <f t="shared" si="34"/>
        <v>37193.269225347809</v>
      </c>
      <c r="X49" s="287">
        <f t="shared" si="34"/>
        <v>37611.783008181053</v>
      </c>
      <c r="Y49" s="286">
        <f t="shared" si="34"/>
        <v>37948.509173931445</v>
      </c>
      <c r="Z49" s="286">
        <f t="shared" si="34"/>
        <v>38128.489670351904</v>
      </c>
      <c r="AA49" s="286">
        <f t="shared" si="34"/>
        <v>38789.46770612432</v>
      </c>
      <c r="AB49" s="286">
        <f t="shared" si="34"/>
        <v>39087.690355125946</v>
      </c>
      <c r="AC49" s="286">
        <f t="shared" si="34"/>
        <v>38733.580060915854</v>
      </c>
      <c r="AD49" s="286">
        <f t="shared" si="34"/>
        <v>39156.541666592151</v>
      </c>
      <c r="AE49" s="286">
        <f t="shared" si="34"/>
        <v>39001.072679253237</v>
      </c>
      <c r="AF49" s="286">
        <f t="shared" si="34"/>
        <v>38878.086838903102</v>
      </c>
      <c r="AG49" s="286">
        <f t="shared" si="34"/>
        <v>38591.878381061586</v>
      </c>
      <c r="AH49" s="287">
        <f t="shared" si="34"/>
        <v>37835.77751291688</v>
      </c>
      <c r="AI49" s="292"/>
    </row>
    <row r="50" spans="1:35">
      <c r="A50" s="10"/>
      <c r="B50" s="37"/>
      <c r="C50" s="332" t="b">
        <f t="shared" ref="C50:AH50" si="35">(C49=C14)</f>
        <v>1</v>
      </c>
      <c r="D50" s="332" t="b">
        <f t="shared" si="35"/>
        <v>1</v>
      </c>
      <c r="E50" s="332" t="b">
        <f t="shared" si="35"/>
        <v>1</v>
      </c>
      <c r="F50" s="332" t="b">
        <f t="shared" si="35"/>
        <v>1</v>
      </c>
      <c r="G50" s="332" t="b">
        <f t="shared" si="35"/>
        <v>1</v>
      </c>
      <c r="H50" s="284" t="b">
        <f t="shared" si="35"/>
        <v>1</v>
      </c>
      <c r="I50" s="91" t="b">
        <f t="shared" si="35"/>
        <v>1</v>
      </c>
      <c r="J50" s="91" t="b">
        <f t="shared" si="35"/>
        <v>1</v>
      </c>
      <c r="K50" s="91" t="b">
        <f t="shared" si="35"/>
        <v>1</v>
      </c>
      <c r="L50" s="91" t="b">
        <f t="shared" si="35"/>
        <v>1</v>
      </c>
      <c r="M50" s="91" t="b">
        <f t="shared" si="35"/>
        <v>1</v>
      </c>
      <c r="N50" s="186"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6" t="b">
        <f t="shared" si="35"/>
        <v>1</v>
      </c>
      <c r="Y50" s="173" t="b">
        <f t="shared" si="35"/>
        <v>1</v>
      </c>
      <c r="Z50" s="173" t="b">
        <f t="shared" si="35"/>
        <v>1</v>
      </c>
      <c r="AA50" s="173" t="b">
        <f t="shared" si="35"/>
        <v>1</v>
      </c>
      <c r="AB50" s="173" t="b">
        <f t="shared" si="35"/>
        <v>1</v>
      </c>
      <c r="AC50" s="173" t="b">
        <f t="shared" si="35"/>
        <v>1</v>
      </c>
      <c r="AD50" s="173" t="b">
        <f t="shared" si="35"/>
        <v>1</v>
      </c>
      <c r="AE50" s="173" t="b">
        <f t="shared" si="35"/>
        <v>1</v>
      </c>
      <c r="AF50" s="173" t="b">
        <f t="shared" si="35"/>
        <v>1</v>
      </c>
      <c r="AG50" s="173" t="b">
        <f t="shared" si="35"/>
        <v>1</v>
      </c>
      <c r="AH50" s="186" t="b">
        <f t="shared" si="35"/>
        <v>1</v>
      </c>
      <c r="AI50" s="128"/>
    </row>
    <row r="51" spans="1:35">
      <c r="A51" s="10" t="s">
        <v>542</v>
      </c>
      <c r="B51" s="37"/>
      <c r="C51" s="332"/>
      <c r="D51" s="332">
        <f>D44/C44-1</f>
        <v>0.32977377240192318</v>
      </c>
      <c r="E51" s="332">
        <f t="shared" ref="E51:X51" si="36">E44/D44-1</f>
        <v>7.4122906311116399E-2</v>
      </c>
      <c r="F51" s="332">
        <f t="shared" si="36"/>
        <v>0.11549748452622666</v>
      </c>
      <c r="G51" s="332">
        <f>G44/F44-1</f>
        <v>0.18617993900497254</v>
      </c>
      <c r="H51" s="284"/>
      <c r="I51" s="165">
        <f t="shared" ref="I51:N51" si="37">I44/H44-1</f>
        <v>0.2492942695517768</v>
      </c>
      <c r="J51" s="173">
        <f t="shared" si="37"/>
        <v>0.19253089359909725</v>
      </c>
      <c r="K51" s="173">
        <f t="shared" si="37"/>
        <v>0.23955836911597794</v>
      </c>
      <c r="L51" s="173">
        <f t="shared" si="37"/>
        <v>0.25216438051184853</v>
      </c>
      <c r="M51" s="173">
        <f t="shared" si="37"/>
        <v>0.23393518930224677</v>
      </c>
      <c r="N51" s="173">
        <f t="shared" si="37"/>
        <v>0.21455502367543211</v>
      </c>
      <c r="O51" s="173">
        <f t="shared" ref="O51:R51" si="38">O44/N44-1</f>
        <v>5.3815543143183042E-2</v>
      </c>
      <c r="P51" s="173">
        <f t="shared" si="38"/>
        <v>3.9930098328105679E-2</v>
      </c>
      <c r="Q51" s="173">
        <f t="shared" si="38"/>
        <v>4.6328630764506329E-2</v>
      </c>
      <c r="R51" s="173">
        <f t="shared" si="38"/>
        <v>5.4101948273701073E-2</v>
      </c>
      <c r="S51" s="165">
        <f t="shared" si="36"/>
        <v>5.7871515751208857E-2</v>
      </c>
      <c r="T51" s="165">
        <f t="shared" si="36"/>
        <v>3.8555559033029319E-2</v>
      </c>
      <c r="U51" s="165">
        <f t="shared" si="36"/>
        <v>7.4552699352359308E-2</v>
      </c>
      <c r="V51" s="165">
        <f t="shared" si="36"/>
        <v>7.4592111522563842E-2</v>
      </c>
      <c r="W51" s="165">
        <f t="shared" si="36"/>
        <v>3.8837120037081618E-2</v>
      </c>
      <c r="X51" s="186">
        <f t="shared" si="36"/>
        <v>7.1603289479400534E-2</v>
      </c>
      <c r="Y51" s="173">
        <f t="shared" ref="Y51:AH51" si="39">Y44/X44-1</f>
        <v>2.7573276099673416E-2</v>
      </c>
      <c r="Z51" s="173">
        <f t="shared" si="39"/>
        <v>2.3289507864997949E-2</v>
      </c>
      <c r="AA51" s="173">
        <f t="shared" si="39"/>
        <v>3.608568068909479E-2</v>
      </c>
      <c r="AB51" s="173">
        <f t="shared" si="39"/>
        <v>2.6275398216160761E-2</v>
      </c>
      <c r="AC51" s="173">
        <f t="shared" si="39"/>
        <v>9.2499641626766493E-3</v>
      </c>
      <c r="AD51" s="173">
        <f t="shared" si="39"/>
        <v>2.9553037770756685E-2</v>
      </c>
      <c r="AE51" s="173">
        <f t="shared" si="39"/>
        <v>1.4417080192059561E-2</v>
      </c>
      <c r="AF51" s="173">
        <f t="shared" si="39"/>
        <v>1.5245202571815275E-2</v>
      </c>
      <c r="AG51" s="173">
        <f t="shared" si="39"/>
        <v>1.0966777171435016E-2</v>
      </c>
      <c r="AH51" s="186">
        <f t="shared" si="39"/>
        <v>-1.4620293974865195E-3</v>
      </c>
      <c r="AI51" s="128"/>
    </row>
    <row r="52" spans="1:35">
      <c r="A52" s="10"/>
      <c r="B52" s="37"/>
      <c r="C52" s="332"/>
      <c r="D52" s="332"/>
      <c r="E52" s="332"/>
      <c r="F52" s="332"/>
      <c r="G52" s="332"/>
      <c r="H52" s="284"/>
      <c r="I52" s="173"/>
      <c r="J52" s="173"/>
      <c r="K52" s="173"/>
      <c r="L52" s="173"/>
      <c r="M52" s="173"/>
      <c r="N52" s="186"/>
      <c r="O52" s="173"/>
      <c r="P52" s="173"/>
      <c r="Q52" s="173"/>
      <c r="R52" s="173"/>
      <c r="S52" s="173"/>
      <c r="T52" s="173"/>
      <c r="U52" s="173"/>
      <c r="V52" s="173"/>
      <c r="W52" s="173"/>
      <c r="X52" s="186"/>
      <c r="Y52" s="20"/>
      <c r="Z52" s="20"/>
      <c r="AA52" s="20"/>
      <c r="AB52" s="20"/>
      <c r="AC52" s="20"/>
      <c r="AD52" s="20"/>
      <c r="AE52" s="20"/>
      <c r="AF52" s="20"/>
      <c r="AG52" s="20"/>
      <c r="AH52" s="279"/>
      <c r="AI52" s="128"/>
    </row>
    <row r="53" spans="1:35">
      <c r="A53" s="1" t="s">
        <v>541</v>
      </c>
      <c r="B53" s="37"/>
      <c r="C53" s="332"/>
      <c r="D53" s="332"/>
      <c r="E53" s="332"/>
      <c r="F53" s="332"/>
      <c r="G53" s="332"/>
      <c r="H53" s="284"/>
      <c r="I53" s="165"/>
      <c r="J53" s="165"/>
      <c r="K53" s="165"/>
      <c r="L53" s="165"/>
      <c r="M53" s="165"/>
      <c r="N53" s="185" t="s">
        <v>0</v>
      </c>
      <c r="O53" s="175" t="s">
        <v>0</v>
      </c>
      <c r="P53" s="165"/>
      <c r="Q53" s="165"/>
      <c r="R53" s="165"/>
      <c r="S53" s="165"/>
      <c r="T53" s="165"/>
      <c r="U53" s="165"/>
      <c r="V53" s="165"/>
      <c r="W53" s="165"/>
      <c r="X53" s="186"/>
      <c r="Y53" s="20"/>
      <c r="Z53" s="20"/>
      <c r="AA53" s="20"/>
      <c r="AB53" s="20"/>
      <c r="AC53" s="20"/>
      <c r="AD53" s="20"/>
      <c r="AE53" s="20"/>
      <c r="AF53" s="20"/>
      <c r="AG53" s="20"/>
      <c r="AH53" s="279"/>
      <c r="AI53" s="128"/>
    </row>
    <row r="54" spans="1:35">
      <c r="A54" s="9" t="s">
        <v>282</v>
      </c>
      <c r="B54" s="37"/>
      <c r="C54" s="332"/>
      <c r="D54" s="332"/>
      <c r="E54" s="332"/>
      <c r="F54" s="332"/>
      <c r="G54" s="332"/>
      <c r="H54" s="284"/>
      <c r="I54" s="165"/>
      <c r="J54" s="165"/>
      <c r="K54" s="165"/>
      <c r="L54" s="165"/>
      <c r="M54" s="165"/>
      <c r="N54" s="186" t="s">
        <v>0</v>
      </c>
      <c r="O54" s="165"/>
      <c r="P54" s="165"/>
      <c r="Q54" s="165"/>
      <c r="R54" s="165"/>
      <c r="S54" s="165"/>
      <c r="T54" s="165"/>
      <c r="U54" s="165"/>
      <c r="V54" s="165"/>
      <c r="W54" s="165"/>
      <c r="X54" s="186"/>
      <c r="Y54" s="20"/>
      <c r="Z54" s="20"/>
      <c r="AA54" s="20"/>
      <c r="AB54" s="20"/>
      <c r="AC54" s="20"/>
      <c r="AD54" s="20"/>
      <c r="AE54" s="20"/>
      <c r="AF54" s="20"/>
      <c r="AG54" s="20"/>
      <c r="AH54" s="279"/>
      <c r="AI54" s="128"/>
    </row>
    <row r="55" spans="1:35">
      <c r="A55" s="20" t="s">
        <v>122</v>
      </c>
      <c r="B55" s="37"/>
      <c r="C55" s="332"/>
      <c r="D55" s="332"/>
      <c r="E55" s="332"/>
      <c r="F55" s="332"/>
      <c r="G55" s="332"/>
      <c r="H55" s="284"/>
      <c r="I55" s="165"/>
      <c r="J55" s="165"/>
      <c r="K55" s="165"/>
      <c r="L55" s="165"/>
      <c r="M55" s="165"/>
      <c r="N55" s="186"/>
      <c r="O55" s="165"/>
      <c r="P55" s="165"/>
      <c r="Q55" s="165"/>
      <c r="R55" s="165"/>
      <c r="S55" s="165"/>
      <c r="T55" s="165"/>
      <c r="U55" s="165"/>
      <c r="V55" s="165"/>
      <c r="W55" s="165"/>
      <c r="X55" s="186"/>
      <c r="Y55" s="20"/>
      <c r="Z55" s="20"/>
      <c r="AA55" s="20"/>
      <c r="AB55" s="20"/>
      <c r="AC55" s="20"/>
      <c r="AD55" s="20"/>
      <c r="AE55" s="20"/>
      <c r="AF55" s="20"/>
      <c r="AG55" s="20"/>
      <c r="AH55" s="279"/>
      <c r="AI55" s="128"/>
    </row>
    <row r="56" spans="1:35">
      <c r="A56" s="9" t="s">
        <v>49</v>
      </c>
      <c r="B56" s="37"/>
      <c r="C56" s="336">
        <f t="shared" ref="C56:M56" si="40">C31/C$49</f>
        <v>3.040481012658228E-2</v>
      </c>
      <c r="D56" s="336">
        <f t="shared" si="40"/>
        <v>2.996115306970382E-2</v>
      </c>
      <c r="E56" s="336">
        <f t="shared" si="40"/>
        <v>2.9517496012825356E-2</v>
      </c>
      <c r="F56" s="336">
        <f t="shared" si="40"/>
        <v>2.9073838955946885E-2</v>
      </c>
      <c r="G56" s="336">
        <f t="shared" si="40"/>
        <v>2.8630181899068425E-2</v>
      </c>
      <c r="H56" s="396">
        <f t="shared" si="40"/>
        <v>2.5965848444166471E-2</v>
      </c>
      <c r="I56" s="174">
        <f t="shared" si="40"/>
        <v>2.5892304120291924E-2</v>
      </c>
      <c r="J56" s="174">
        <f t="shared" si="40"/>
        <v>2.5818759796417377E-2</v>
      </c>
      <c r="K56" s="174">
        <f t="shared" si="40"/>
        <v>2.574521547254283E-2</v>
      </c>
      <c r="L56" s="174">
        <f t="shared" si="40"/>
        <v>2.5671671148668283E-2</v>
      </c>
      <c r="M56" s="174">
        <f t="shared" si="40"/>
        <v>2.5598126824793736E-2</v>
      </c>
      <c r="N56" s="179">
        <f>N26</f>
        <v>2.5524582500919192E-2</v>
      </c>
      <c r="O56" s="116">
        <f t="shared" ref="O56:AH56" si="41">O31/O$49</f>
        <v>2.567304945830913E-2</v>
      </c>
      <c r="P56" s="116">
        <f t="shared" si="41"/>
        <v>2.5821516415699068E-2</v>
      </c>
      <c r="Q56" s="116">
        <f t="shared" si="41"/>
        <v>2.5969983373089006E-2</v>
      </c>
      <c r="R56" s="116">
        <f t="shared" si="41"/>
        <v>2.6118450330478944E-2</v>
      </c>
      <c r="S56" s="116">
        <f t="shared" si="41"/>
        <v>2.6266917287868882E-2</v>
      </c>
      <c r="T56" s="116">
        <f t="shared" si="41"/>
        <v>2.641538424525882E-2</v>
      </c>
      <c r="U56" s="116">
        <f t="shared" si="41"/>
        <v>2.6563851202648758E-2</v>
      </c>
      <c r="V56" s="116">
        <f t="shared" si="41"/>
        <v>2.6712318160038696E-2</v>
      </c>
      <c r="W56" s="116">
        <f t="shared" si="41"/>
        <v>2.6860785117428634E-2</v>
      </c>
      <c r="X56" s="179">
        <f t="shared" si="41"/>
        <v>2.7009252074818579E-2</v>
      </c>
      <c r="Y56" s="174">
        <f t="shared" si="41"/>
        <v>2.6995672985727758E-2</v>
      </c>
      <c r="Z56" s="174">
        <f t="shared" si="41"/>
        <v>2.6982093896636937E-2</v>
      </c>
      <c r="AA56" s="174">
        <f t="shared" si="41"/>
        <v>2.6968514807546116E-2</v>
      </c>
      <c r="AB56" s="174">
        <f t="shared" si="41"/>
        <v>2.6954935718455295E-2</v>
      </c>
      <c r="AC56" s="174">
        <f t="shared" si="41"/>
        <v>2.6941356629364473E-2</v>
      </c>
      <c r="AD56" s="174">
        <f t="shared" si="41"/>
        <v>2.6927777540273656E-2</v>
      </c>
      <c r="AE56" s="174">
        <f t="shared" si="41"/>
        <v>2.6914198451182834E-2</v>
      </c>
      <c r="AF56" s="174">
        <f t="shared" si="41"/>
        <v>2.6900619362092013E-2</v>
      </c>
      <c r="AG56" s="174">
        <f t="shared" si="41"/>
        <v>2.6887040273001189E-2</v>
      </c>
      <c r="AH56" s="179">
        <f t="shared" si="41"/>
        <v>2.6873461183910367E-2</v>
      </c>
      <c r="AI56" s="128"/>
    </row>
    <row r="57" spans="1:35">
      <c r="A57" s="9" t="s">
        <v>59</v>
      </c>
      <c r="B57" s="37"/>
      <c r="C57" s="336">
        <f t="shared" ref="C57:M57" si="42">C32/C$49</f>
        <v>0.13660759493670885</v>
      </c>
      <c r="D57" s="336">
        <f t="shared" si="42"/>
        <v>0.13542322356745623</v>
      </c>
      <c r="E57" s="336">
        <f t="shared" si="42"/>
        <v>0.13423885219820361</v>
      </c>
      <c r="F57" s="336">
        <f t="shared" si="42"/>
        <v>0.13305448082895099</v>
      </c>
      <c r="G57" s="336">
        <f t="shared" si="42"/>
        <v>0.13187010945969838</v>
      </c>
      <c r="H57" s="396">
        <f t="shared" si="42"/>
        <v>0.14576524745441374</v>
      </c>
      <c r="I57" s="116">
        <f t="shared" si="42"/>
        <v>0.14206762452449978</v>
      </c>
      <c r="J57" s="116">
        <f t="shared" si="42"/>
        <v>0.13837000159458582</v>
      </c>
      <c r="K57" s="116">
        <f t="shared" si="42"/>
        <v>0.13467237866467185</v>
      </c>
      <c r="L57" s="116">
        <f t="shared" si="42"/>
        <v>0.13097475573475789</v>
      </c>
      <c r="M57" s="116">
        <f t="shared" si="42"/>
        <v>0.12727713280484393</v>
      </c>
      <c r="N57" s="179">
        <f>N18</f>
        <v>0.12357950987492995</v>
      </c>
      <c r="O57" s="116">
        <f t="shared" ref="O57:AH57" si="43">O32/O$49</f>
        <v>0.1242983256998787</v>
      </c>
      <c r="P57" s="116">
        <f t="shared" si="43"/>
        <v>0.12501714152482746</v>
      </c>
      <c r="Q57" s="116">
        <f t="shared" si="43"/>
        <v>0.12573595734977622</v>
      </c>
      <c r="R57" s="116">
        <f t="shared" si="43"/>
        <v>0.12645477317472498</v>
      </c>
      <c r="S57" s="116">
        <f t="shared" si="43"/>
        <v>0.12717358899967374</v>
      </c>
      <c r="T57" s="116">
        <f t="shared" si="43"/>
        <v>0.1278924048246225</v>
      </c>
      <c r="U57" s="116">
        <f t="shared" si="43"/>
        <v>0.12861122064957126</v>
      </c>
      <c r="V57" s="116">
        <f t="shared" si="43"/>
        <v>0.12933003647452002</v>
      </c>
      <c r="W57" s="116">
        <f>W32/W$49</f>
        <v>0.13004885229946878</v>
      </c>
      <c r="X57" s="179">
        <f t="shared" si="43"/>
        <v>0.13076766812441748</v>
      </c>
      <c r="Y57" s="174">
        <f t="shared" si="43"/>
        <v>0.13070192377093662</v>
      </c>
      <c r="Z57" s="174">
        <f t="shared" si="43"/>
        <v>0.13063617941745576</v>
      </c>
      <c r="AA57" s="174">
        <f t="shared" si="43"/>
        <v>0.13057043506397489</v>
      </c>
      <c r="AB57" s="174">
        <f t="shared" si="43"/>
        <v>0.13050469071049403</v>
      </c>
      <c r="AC57" s="174">
        <f t="shared" si="43"/>
        <v>0.13043894635701317</v>
      </c>
      <c r="AD57" s="174">
        <f t="shared" si="43"/>
        <v>0.13037320200353231</v>
      </c>
      <c r="AE57" s="174">
        <f t="shared" si="43"/>
        <v>0.13030745765005144</v>
      </c>
      <c r="AF57" s="174">
        <f t="shared" si="43"/>
        <v>0.13024171329657058</v>
      </c>
      <c r="AG57" s="174">
        <f t="shared" si="43"/>
        <v>0.13017596894308972</v>
      </c>
      <c r="AH57" s="179">
        <f t="shared" si="43"/>
        <v>0.13011022458960891</v>
      </c>
      <c r="AI57" s="128"/>
    </row>
    <row r="58" spans="1:35">
      <c r="A58" s="9" t="s">
        <v>121</v>
      </c>
      <c r="B58" s="37"/>
      <c r="C58" s="336">
        <f>C34/C$49</f>
        <v>2.9113924050632911E-3</v>
      </c>
      <c r="D58" s="336">
        <f t="shared" ref="D58:G59" si="44">C58*($N71)</f>
        <v>3.6650485400659696E-3</v>
      </c>
      <c r="E58" s="336">
        <f t="shared" si="44"/>
        <v>4.6137994925310255E-3</v>
      </c>
      <c r="F58" s="336">
        <f t="shared" si="44"/>
        <v>5.8081483845494686E-3</v>
      </c>
      <c r="G58" s="336">
        <f t="shared" si="44"/>
        <v>7.311671803587323E-3</v>
      </c>
      <c r="H58" s="396">
        <f>H34/H$49</f>
        <v>2.7869055471043064E-3</v>
      </c>
      <c r="I58" s="116">
        <f t="shared" ref="I58:N59" si="45">H58*($N71)</f>
        <v>3.5083364540460646E-3</v>
      </c>
      <c r="J58" s="116">
        <f t="shared" si="45"/>
        <v>4.4165202109477308E-3</v>
      </c>
      <c r="K58" s="116">
        <f t="shared" si="45"/>
        <v>5.5598005006659151E-3</v>
      </c>
      <c r="L58" s="116">
        <f t="shared" si="45"/>
        <v>6.9990354692776912E-3</v>
      </c>
      <c r="M58" s="116">
        <f t="shared" si="45"/>
        <v>8.8108372763267169E-3</v>
      </c>
      <c r="N58" s="179">
        <f t="shared" si="45"/>
        <v>1.1091650249619323E-2</v>
      </c>
      <c r="O58" s="116">
        <f t="shared" ref="O58:W58" si="46">N58*$X71</f>
        <v>1.1753774758167813E-2</v>
      </c>
      <c r="P58" s="116">
        <f t="shared" si="46"/>
        <v>1.2455425293498083E-2</v>
      </c>
      <c r="Q58" s="116">
        <f t="shared" si="46"/>
        <v>1.3198961391880098E-2</v>
      </c>
      <c r="R58" s="116">
        <f t="shared" si="46"/>
        <v>1.3986883443898377E-2</v>
      </c>
      <c r="S58" s="116">
        <f t="shared" si="46"/>
        <v>1.4821841102857563E-2</v>
      </c>
      <c r="T58" s="116">
        <f t="shared" si="46"/>
        <v>1.5706642195134179E-2</v>
      </c>
      <c r="U58" s="116">
        <f t="shared" si="46"/>
        <v>1.6644262162438604E-2</v>
      </c>
      <c r="V58" s="116">
        <f t="shared" si="46"/>
        <v>1.7637854067740082E-2</v>
      </c>
      <c r="W58" s="116">
        <f t="shared" si="46"/>
        <v>1.8690759198503038E-2</v>
      </c>
      <c r="X58" s="179">
        <f t="shared" ref="X58:X66" si="47">X34/X$49</f>
        <v>1.9806518302891648E-2</v>
      </c>
      <c r="Y58" s="174">
        <f>X58*$AH71</f>
        <v>2.0170945883309473E-2</v>
      </c>
      <c r="Z58" s="174">
        <f t="shared" ref="Z58:AG58" si="48">Y58*$AH71</f>
        <v>2.0542078703857755E-2</v>
      </c>
      <c r="AA58" s="174">
        <f t="shared" si="48"/>
        <v>2.092004013677181E-2</v>
      </c>
      <c r="AB58" s="174">
        <f t="shared" si="48"/>
        <v>2.130495582425912E-2</v>
      </c>
      <c r="AC58" s="174">
        <f t="shared" si="48"/>
        <v>2.1696953720265397E-2</v>
      </c>
      <c r="AD58" s="174">
        <f t="shared" si="48"/>
        <v>2.2096164133009136E-2</v>
      </c>
      <c r="AE58" s="174">
        <f t="shared" si="48"/>
        <v>2.2502719768298759E-2</v>
      </c>
      <c r="AF58" s="174">
        <f t="shared" si="48"/>
        <v>2.2916755773646765E-2</v>
      </c>
      <c r="AG58" s="174">
        <f t="shared" si="48"/>
        <v>2.3338409783195582E-2</v>
      </c>
      <c r="AH58" s="179">
        <f t="shared" ref="AH58:AH66" si="49">AH34/AH$49</f>
        <v>2.3767821963469975E-2</v>
      </c>
      <c r="AI58" s="128"/>
    </row>
    <row r="59" spans="1:35">
      <c r="A59" s="9" t="s">
        <v>50</v>
      </c>
      <c r="B59" s="37"/>
      <c r="C59" s="336">
        <f t="shared" ref="C59:C65" si="50">C35/C$49</f>
        <v>0</v>
      </c>
      <c r="D59" s="336">
        <f t="shared" si="44"/>
        <v>0</v>
      </c>
      <c r="E59" s="336">
        <f t="shared" si="44"/>
        <v>0</v>
      </c>
      <c r="F59" s="336">
        <f t="shared" si="44"/>
        <v>0</v>
      </c>
      <c r="G59" s="336">
        <f t="shared" si="44"/>
        <v>0</v>
      </c>
      <c r="H59" s="396">
        <f>H35/H$49</f>
        <v>2.7140006607467036E-14</v>
      </c>
      <c r="I59" s="116">
        <f t="shared" si="45"/>
        <v>3.195119181541607E-14</v>
      </c>
      <c r="J59" s="116">
        <f t="shared" si="45"/>
        <v>3.7615269339862149E-14</v>
      </c>
      <c r="K59" s="116">
        <f t="shared" si="45"/>
        <v>4.4283433797536686E-14</v>
      </c>
      <c r="L59" s="116">
        <f t="shared" si="45"/>
        <v>5.2133682499586773E-14</v>
      </c>
      <c r="M59" s="116">
        <f t="shared" si="45"/>
        <v>6.1375566840503403E-14</v>
      </c>
      <c r="N59" s="179">
        <f t="shared" si="45"/>
        <v>7.2255785979111658E-14</v>
      </c>
      <c r="O59" s="116">
        <f t="shared" ref="O59:V59" si="51">N59*$X72</f>
        <v>7.6569150149862188E-14</v>
      </c>
      <c r="P59" s="116">
        <f t="shared" si="51"/>
        <v>8.1140003879648081E-14</v>
      </c>
      <c r="Q59" s="116">
        <f t="shared" si="51"/>
        <v>8.5983718203788308E-14</v>
      </c>
      <c r="R59" s="116">
        <f t="shared" si="51"/>
        <v>9.1116581743261095E-14</v>
      </c>
      <c r="S59" s="116">
        <f t="shared" si="51"/>
        <v>9.6555855480678637E-14</v>
      </c>
      <c r="T59" s="116">
        <f t="shared" si="51"/>
        <v>1.0231983080615535E-13</v>
      </c>
      <c r="U59" s="116">
        <f t="shared" si="51"/>
        <v>1.0842789102826843E-13</v>
      </c>
      <c r="V59" s="116">
        <f t="shared" si="51"/>
        <v>1.1490057655696199E-13</v>
      </c>
      <c r="W59" s="116">
        <f>V59*$X72</f>
        <v>1.2175965397759448E-13</v>
      </c>
      <c r="X59" s="179">
        <f t="shared" si="47"/>
        <v>1.2902818924841364E-13</v>
      </c>
      <c r="Y59" s="174">
        <f>X59*$AH72</f>
        <v>1.3140222743596463E-13</v>
      </c>
      <c r="Z59" s="174">
        <f t="shared" ref="Z59:AG59" si="52">Y59*$AH72</f>
        <v>1.3381994644511576E-13</v>
      </c>
      <c r="AA59" s="174">
        <f t="shared" si="52"/>
        <v>1.3628214997573409E-13</v>
      </c>
      <c r="AB59" s="174">
        <f t="shared" si="52"/>
        <v>1.3878965651526278E-13</v>
      </c>
      <c r="AC59" s="174">
        <f t="shared" si="52"/>
        <v>1.4134329961080339E-13</v>
      </c>
      <c r="AD59" s="174">
        <f t="shared" si="52"/>
        <v>1.4394392814620411E-13</v>
      </c>
      <c r="AE59" s="174">
        <f t="shared" si="52"/>
        <v>1.4659240662424635E-13</v>
      </c>
      <c r="AF59" s="174">
        <f t="shared" si="52"/>
        <v>1.4928961545402339E-13</v>
      </c>
      <c r="AG59" s="174">
        <f t="shared" si="52"/>
        <v>1.5203645124360657E-13</v>
      </c>
      <c r="AH59" s="179">
        <f t="shared" si="49"/>
        <v>1.5483382709809636E-13</v>
      </c>
      <c r="AI59" s="128"/>
    </row>
    <row r="60" spans="1:35">
      <c r="A60" s="9" t="s">
        <v>119</v>
      </c>
      <c r="B60" s="37"/>
      <c r="C60" s="336">
        <f t="shared" si="50"/>
        <v>0</v>
      </c>
      <c r="D60" s="336">
        <v>0</v>
      </c>
      <c r="E60" s="336">
        <v>0</v>
      </c>
      <c r="F60" s="336">
        <v>0</v>
      </c>
      <c r="G60" s="336">
        <v>0</v>
      </c>
      <c r="H60" s="396">
        <f t="shared" ref="H60:H66" si="53">H36/H$49</f>
        <v>0</v>
      </c>
      <c r="I60" s="174">
        <v>0</v>
      </c>
      <c r="J60" s="174">
        <v>0</v>
      </c>
      <c r="K60" s="174">
        <v>0</v>
      </c>
      <c r="L60" s="174">
        <v>0</v>
      </c>
      <c r="M60" s="174">
        <v>0</v>
      </c>
      <c r="N60" s="179">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9">
        <f t="shared" si="47"/>
        <v>0</v>
      </c>
      <c r="Y60" s="174">
        <f t="shared" ref="Y60:AG66" si="55">X60*$AH73</f>
        <v>0</v>
      </c>
      <c r="Z60" s="174">
        <f t="shared" si="55"/>
        <v>0</v>
      </c>
      <c r="AA60" s="174">
        <f t="shared" si="55"/>
        <v>0</v>
      </c>
      <c r="AB60" s="174">
        <f t="shared" si="55"/>
        <v>0</v>
      </c>
      <c r="AC60" s="174">
        <f t="shared" si="55"/>
        <v>0</v>
      </c>
      <c r="AD60" s="174">
        <f t="shared" si="55"/>
        <v>0</v>
      </c>
      <c r="AE60" s="174">
        <f t="shared" si="55"/>
        <v>0</v>
      </c>
      <c r="AF60" s="174">
        <f t="shared" si="55"/>
        <v>0</v>
      </c>
      <c r="AG60" s="174">
        <f t="shared" si="55"/>
        <v>0</v>
      </c>
      <c r="AH60" s="179">
        <f t="shared" si="49"/>
        <v>0</v>
      </c>
      <c r="AI60" s="128"/>
    </row>
    <row r="61" spans="1:35">
      <c r="A61" s="9" t="s">
        <v>51</v>
      </c>
      <c r="B61" s="37"/>
      <c r="C61" s="336">
        <f t="shared" si="50"/>
        <v>2.7949367088607596E-2</v>
      </c>
      <c r="D61" s="336">
        <f t="shared" ref="D61:M61" si="56">C61*($N74)</f>
        <v>3.2903640861913767E-2</v>
      </c>
      <c r="E61" s="336">
        <f t="shared" si="56"/>
        <v>3.8736103702723873E-2</v>
      </c>
      <c r="F61" s="336">
        <f t="shared" si="56"/>
        <v>4.5602422429944597E-2</v>
      </c>
      <c r="G61" s="336">
        <f t="shared" si="56"/>
        <v>5.3685857189939339E-2</v>
      </c>
      <c r="H61" s="396">
        <f t="shared" si="53"/>
        <v>3.5557793228650034E-2</v>
      </c>
      <c r="I61" s="116">
        <f t="shared" si="56"/>
        <v>4.1860728170641986E-2</v>
      </c>
      <c r="J61" s="116">
        <f t="shared" si="56"/>
        <v>4.9280914361256804E-2</v>
      </c>
      <c r="K61" s="116">
        <f t="shared" si="56"/>
        <v>5.8016394516155916E-2</v>
      </c>
      <c r="L61" s="116">
        <f t="shared" si="56"/>
        <v>6.83003161828592E-2</v>
      </c>
      <c r="M61" s="116">
        <f t="shared" si="56"/>
        <v>8.0407154384257482E-2</v>
      </c>
      <c r="N61" s="179">
        <f>M61*($N74)</f>
        <v>9.466003728100407E-2</v>
      </c>
      <c r="O61" s="116">
        <f t="shared" ref="O61:W61" si="57">N61*$X74</f>
        <v>0.1003108402952821</v>
      </c>
      <c r="P61" s="116">
        <f t="shared" si="57"/>
        <v>0.1062989722988926</v>
      </c>
      <c r="Q61" s="116">
        <f t="shared" si="57"/>
        <v>0.1126445704027482</v>
      </c>
      <c r="R61" s="116">
        <f t="shared" si="57"/>
        <v>0.11936897381793299</v>
      </c>
      <c r="S61" s="116">
        <f t="shared" si="57"/>
        <v>0.12649479561598773</v>
      </c>
      <c r="T61" s="116">
        <f t="shared" si="57"/>
        <v>0.13404599877297982</v>
      </c>
      <c r="U61" s="116">
        <f t="shared" si="57"/>
        <v>0.1420479767530822</v>
      </c>
      <c r="V61" s="116">
        <f t="shared" si="57"/>
        <v>0.15052763890265006</v>
      </c>
      <c r="W61" s="116">
        <f t="shared" si="57"/>
        <v>0.15951350094196223</v>
      </c>
      <c r="X61" s="179">
        <f t="shared" si="47"/>
        <v>0.16903578085893578</v>
      </c>
      <c r="Y61" s="174">
        <f t="shared" si="55"/>
        <v>0.17214593377326531</v>
      </c>
      <c r="Z61" s="174">
        <f t="shared" si="55"/>
        <v>0.17531331156094035</v>
      </c>
      <c r="AA61" s="174">
        <f t="shared" si="55"/>
        <v>0.17853896712393055</v>
      </c>
      <c r="AB61" s="174">
        <f t="shared" si="55"/>
        <v>0.18182397273694495</v>
      </c>
      <c r="AC61" s="174">
        <f t="shared" si="55"/>
        <v>0.18516942040387829</v>
      </c>
      <c r="AD61" s="174">
        <f t="shared" si="55"/>
        <v>0.18857642222081572</v>
      </c>
      <c r="AE61" s="174">
        <f t="shared" si="55"/>
        <v>0.19204611074571656</v>
      </c>
      <c r="AF61" s="174">
        <f t="shared" si="55"/>
        <v>0.19557963937490008</v>
      </c>
      <c r="AG61" s="174">
        <f t="shared" si="55"/>
        <v>0.19917818272645824</v>
      </c>
      <c r="AH61" s="179">
        <f t="shared" si="49"/>
        <v>0.20284293703072293</v>
      </c>
      <c r="AI61" s="128"/>
    </row>
    <row r="62" spans="1:35">
      <c r="A62" s="9" t="s">
        <v>347</v>
      </c>
      <c r="B62" s="37"/>
      <c r="C62" s="339">
        <f t="shared" si="50"/>
        <v>0</v>
      </c>
      <c r="D62" s="339">
        <f t="shared" ref="D62:N62" si="58">C62*($N75)</f>
        <v>0</v>
      </c>
      <c r="E62" s="339">
        <f t="shared" si="58"/>
        <v>0</v>
      </c>
      <c r="F62" s="339">
        <f t="shared" si="58"/>
        <v>0</v>
      </c>
      <c r="G62" s="339">
        <f t="shared" si="58"/>
        <v>0</v>
      </c>
      <c r="H62" s="396">
        <f t="shared" si="53"/>
        <v>3.9223150006607466E-3</v>
      </c>
      <c r="I62" s="116">
        <f t="shared" si="58"/>
        <v>5.3674203553576941E-3</v>
      </c>
      <c r="J62" s="116">
        <f t="shared" si="58"/>
        <v>7.344948395591625E-3</v>
      </c>
      <c r="K62" s="116">
        <f t="shared" si="58"/>
        <v>1.00510605397346E-2</v>
      </c>
      <c r="L62" s="116">
        <f t="shared" si="58"/>
        <v>1.3754190299559302E-2</v>
      </c>
      <c r="M62" s="116">
        <f t="shared" si="58"/>
        <v>1.8821670613625264E-2</v>
      </c>
      <c r="N62" s="179">
        <f t="shared" si="58"/>
        <v>2.5756171535532377E-2</v>
      </c>
      <c r="O62" s="116">
        <f t="shared" ref="O62:W62" si="59">N62*$X75</f>
        <v>2.7293705810077347E-2</v>
      </c>
      <c r="P62" s="116">
        <f t="shared" si="59"/>
        <v>2.8923024364057606E-2</v>
      </c>
      <c r="Q62" s="116">
        <f t="shared" si="59"/>
        <v>3.0649606329932785E-2</v>
      </c>
      <c r="R62" s="116">
        <f t="shared" si="59"/>
        <v>3.247925792114735E-2</v>
      </c>
      <c r="S62" s="116">
        <f t="shared" si="59"/>
        <v>3.4418131957479087E-2</v>
      </c>
      <c r="T62" s="116">
        <f t="shared" si="59"/>
        <v>3.6472748555968125E-2</v>
      </c>
      <c r="U62" s="116">
        <f t="shared" si="59"/>
        <v>3.8650017057006721E-2</v>
      </c>
      <c r="V62" s="116">
        <f t="shared" si="59"/>
        <v>4.0957259259323697E-2</v>
      </c>
      <c r="W62" s="116">
        <f t="shared" si="59"/>
        <v>4.3402234041998937E-2</v>
      </c>
      <c r="X62" s="179">
        <f t="shared" si="47"/>
        <v>4.5993163456307828E-2</v>
      </c>
      <c r="Y62" s="174">
        <f t="shared" si="55"/>
        <v>4.6839408970932007E-2</v>
      </c>
      <c r="Z62" s="174">
        <f t="shared" si="55"/>
        <v>4.7701224875092485E-2</v>
      </c>
      <c r="AA62" s="174">
        <f t="shared" si="55"/>
        <v>4.85788976542431E-2</v>
      </c>
      <c r="AB62" s="174">
        <f t="shared" si="55"/>
        <v>4.9472719064991316E-2</v>
      </c>
      <c r="AC62" s="174">
        <f t="shared" si="55"/>
        <v>5.0382986232084148E-2</v>
      </c>
      <c r="AD62" s="174">
        <f t="shared" si="55"/>
        <v>5.1310001747178612E-2</v>
      </c>
      <c r="AE62" s="174">
        <f t="shared" si="55"/>
        <v>5.2254073769429421E-2</v>
      </c>
      <c r="AF62" s="174">
        <f t="shared" si="55"/>
        <v>5.3215516127927506E-2</v>
      </c>
      <c r="AG62" s="174">
        <f t="shared" si="55"/>
        <v>5.4194648426023277E-2</v>
      </c>
      <c r="AH62" s="179">
        <f t="shared" si="49"/>
        <v>5.5191796147569396E-2</v>
      </c>
      <c r="AI62" s="128"/>
    </row>
    <row r="63" spans="1:35">
      <c r="A63" s="9" t="s">
        <v>348</v>
      </c>
      <c r="B63" s="37"/>
      <c r="C63" s="339">
        <f t="shared" si="50"/>
        <v>0</v>
      </c>
      <c r="D63" s="339">
        <f t="shared" ref="D63:N63" si="60">C63*($N76)</f>
        <v>0</v>
      </c>
      <c r="E63" s="339">
        <f t="shared" si="60"/>
        <v>0</v>
      </c>
      <c r="F63" s="339">
        <f t="shared" si="60"/>
        <v>0</v>
      </c>
      <c r="G63" s="339">
        <f t="shared" si="60"/>
        <v>0</v>
      </c>
      <c r="H63" s="396">
        <f t="shared" si="53"/>
        <v>2.7140006607467036E-6</v>
      </c>
      <c r="I63" s="116">
        <f t="shared" si="60"/>
        <v>3.1951191815416074E-6</v>
      </c>
      <c r="J63" s="116">
        <f t="shared" si="60"/>
        <v>3.7615269339862154E-6</v>
      </c>
      <c r="K63" s="116">
        <f t="shared" si="60"/>
        <v>4.4283433797536691E-6</v>
      </c>
      <c r="L63" s="116">
        <f t="shared" si="60"/>
        <v>5.2133682499586781E-6</v>
      </c>
      <c r="M63" s="116">
        <f t="shared" si="60"/>
        <v>6.1375566840503412E-6</v>
      </c>
      <c r="N63" s="179">
        <f t="shared" si="60"/>
        <v>7.225578597911167E-6</v>
      </c>
      <c r="O63" s="116">
        <f t="shared" ref="O63:W63" si="61">N63*$X76</f>
        <v>7.6569150149862207E-6</v>
      </c>
      <c r="P63" s="116">
        <f t="shared" si="61"/>
        <v>8.114000387964809E-6</v>
      </c>
      <c r="Q63" s="116">
        <f t="shared" si="61"/>
        <v>8.5983718203788308E-6</v>
      </c>
      <c r="R63" s="116">
        <f t="shared" si="61"/>
        <v>9.111658174326109E-6</v>
      </c>
      <c r="S63" s="116">
        <f t="shared" si="61"/>
        <v>9.6555855480678626E-6</v>
      </c>
      <c r="T63" s="116">
        <f t="shared" si="61"/>
        <v>1.0231983080615534E-5</v>
      </c>
      <c r="U63" s="116">
        <f t="shared" si="61"/>
        <v>1.0842789102826841E-5</v>
      </c>
      <c r="V63" s="116">
        <f t="shared" si="61"/>
        <v>1.1490057655696198E-5</v>
      </c>
      <c r="W63" s="116">
        <f t="shared" si="61"/>
        <v>1.2175965397759448E-5</v>
      </c>
      <c r="X63" s="179">
        <f t="shared" si="47"/>
        <v>1.2902818924841365E-5</v>
      </c>
      <c r="Y63" s="174">
        <f t="shared" si="55"/>
        <v>1.3140222743596465E-5</v>
      </c>
      <c r="Z63" s="174">
        <f t="shared" si="55"/>
        <v>1.338199464451158E-5</v>
      </c>
      <c r="AA63" s="174">
        <f t="shared" si="55"/>
        <v>1.3628214997573412E-5</v>
      </c>
      <c r="AB63" s="174">
        <f t="shared" si="55"/>
        <v>1.3878965651526282E-5</v>
      </c>
      <c r="AC63" s="174">
        <f t="shared" si="55"/>
        <v>1.4134329961080344E-5</v>
      </c>
      <c r="AD63" s="174">
        <f t="shared" si="55"/>
        <v>1.4394392814620415E-5</v>
      </c>
      <c r="AE63" s="174">
        <f t="shared" si="55"/>
        <v>1.465924066242464E-5</v>
      </c>
      <c r="AF63" s="174">
        <f t="shared" si="55"/>
        <v>1.4928961545402343E-5</v>
      </c>
      <c r="AG63" s="174">
        <f t="shared" si="55"/>
        <v>1.5203645124360662E-5</v>
      </c>
      <c r="AH63" s="179">
        <f t="shared" si="49"/>
        <v>1.5483382709809638E-5</v>
      </c>
      <c r="AI63" s="128"/>
    </row>
    <row r="64" spans="1:35">
      <c r="A64" s="9" t="s">
        <v>344</v>
      </c>
      <c r="B64" s="37"/>
      <c r="C64" s="336">
        <f t="shared" si="50"/>
        <v>2.5316455696202533E-7</v>
      </c>
      <c r="D64" s="336">
        <f t="shared" ref="D64:N64" si="62">C64*($N77)</f>
        <v>2.9804374911732686E-7</v>
      </c>
      <c r="E64" s="336">
        <f t="shared" si="62"/>
        <v>3.5087880173225265E-7</v>
      </c>
      <c r="F64" s="336">
        <f t="shared" si="62"/>
        <v>4.1308007253859928E-7</v>
      </c>
      <c r="G64" s="336">
        <f t="shared" si="62"/>
        <v>4.8630793734499271E-7</v>
      </c>
      <c r="H64" s="396">
        <f t="shared" si="53"/>
        <v>2.7140006607467033E-7</v>
      </c>
      <c r="I64" s="116">
        <f t="shared" si="62"/>
        <v>3.1951191815416063E-7</v>
      </c>
      <c r="J64" s="116">
        <f t="shared" si="62"/>
        <v>3.7615269339862135E-7</v>
      </c>
      <c r="K64" s="116">
        <f t="shared" si="62"/>
        <v>4.428343379753666E-7</v>
      </c>
      <c r="L64" s="116">
        <f t="shared" si="62"/>
        <v>5.2133682499586738E-7</v>
      </c>
      <c r="M64" s="116">
        <f t="shared" si="62"/>
        <v>6.1375566840503355E-7</v>
      </c>
      <c r="N64" s="179">
        <f t="shared" si="62"/>
        <v>7.2255785979111585E-7</v>
      </c>
      <c r="O64" s="116">
        <f t="shared" ref="O64:W64" si="63">N64*$X77</f>
        <v>7.656915014986211E-7</v>
      </c>
      <c r="P64" s="116">
        <f t="shared" si="63"/>
        <v>8.1140003879647991E-7</v>
      </c>
      <c r="Q64" s="116">
        <f t="shared" si="63"/>
        <v>8.5983718203788206E-7</v>
      </c>
      <c r="R64" s="116">
        <f t="shared" si="63"/>
        <v>9.1116581743260984E-7</v>
      </c>
      <c r="S64" s="116">
        <f t="shared" si="63"/>
        <v>9.6555855480678524E-7</v>
      </c>
      <c r="T64" s="116">
        <f t="shared" si="63"/>
        <v>1.0231983080615524E-6</v>
      </c>
      <c r="U64" s="116">
        <f t="shared" si="63"/>
        <v>1.0842789102826831E-6</v>
      </c>
      <c r="V64" s="116">
        <f t="shared" si="63"/>
        <v>1.1490057655696188E-6</v>
      </c>
      <c r="W64" s="116">
        <f t="shared" si="63"/>
        <v>1.2175965397759436E-6</v>
      </c>
      <c r="X64" s="179">
        <f t="shared" si="47"/>
        <v>1.290281892484136E-6</v>
      </c>
      <c r="Y64" s="174">
        <f t="shared" si="55"/>
        <v>1.3140222743596459E-6</v>
      </c>
      <c r="Z64" s="174">
        <f t="shared" si="55"/>
        <v>1.3381994644511574E-6</v>
      </c>
      <c r="AA64" s="174">
        <f t="shared" si="55"/>
        <v>1.3628214997573407E-6</v>
      </c>
      <c r="AB64" s="174">
        <f t="shared" si="55"/>
        <v>1.3878965651526277E-6</v>
      </c>
      <c r="AC64" s="174">
        <f t="shared" si="55"/>
        <v>1.4134329961080339E-6</v>
      </c>
      <c r="AD64" s="174">
        <f t="shared" si="55"/>
        <v>1.439439281462041E-6</v>
      </c>
      <c r="AE64" s="174">
        <f t="shared" si="55"/>
        <v>1.4659240662424635E-6</v>
      </c>
      <c r="AF64" s="174">
        <f t="shared" si="55"/>
        <v>1.4928961545402338E-6</v>
      </c>
      <c r="AG64" s="174">
        <f t="shared" si="55"/>
        <v>1.5203645124360656E-6</v>
      </c>
      <c r="AH64" s="179">
        <f t="shared" si="49"/>
        <v>1.5483382709809632E-6</v>
      </c>
      <c r="AI64" s="128"/>
    </row>
    <row r="65" spans="1:35">
      <c r="A65" s="9" t="s">
        <v>120</v>
      </c>
      <c r="B65" s="37"/>
      <c r="C65" s="336">
        <f t="shared" si="50"/>
        <v>0</v>
      </c>
      <c r="D65" s="336">
        <v>0</v>
      </c>
      <c r="E65" s="336">
        <v>0</v>
      </c>
      <c r="F65" s="336">
        <v>0</v>
      </c>
      <c r="G65" s="336">
        <v>0</v>
      </c>
      <c r="H65" s="396">
        <f t="shared" si="53"/>
        <v>2.7140006607467036E-5</v>
      </c>
      <c r="I65" s="174">
        <v>0</v>
      </c>
      <c r="J65" s="174">
        <v>0</v>
      </c>
      <c r="K65" s="174">
        <v>0</v>
      </c>
      <c r="L65" s="174">
        <v>0</v>
      </c>
      <c r="M65" s="174">
        <v>0</v>
      </c>
      <c r="N65" s="179">
        <v>0</v>
      </c>
      <c r="O65" s="116">
        <f t="shared" ref="O65:AG65" si="64">O41/O$49</f>
        <v>2.0437090536956656E-4</v>
      </c>
      <c r="P65" s="116">
        <f t="shared" si="64"/>
        <v>2.3431364693280048E-4</v>
      </c>
      <c r="Q65" s="116">
        <f t="shared" si="64"/>
        <v>2.636988524513353E-4</v>
      </c>
      <c r="R65" s="116">
        <f t="shared" si="64"/>
        <v>2.916281474982726E-4</v>
      </c>
      <c r="S65" s="116">
        <f t="shared" si="64"/>
        <v>3.1870485468994426E-4</v>
      </c>
      <c r="T65" s="116">
        <f t="shared" si="64"/>
        <v>3.523174448106023E-4</v>
      </c>
      <c r="U65" s="116">
        <f t="shared" si="64"/>
        <v>3.7417434861935106E-4</v>
      </c>
      <c r="V65" s="116">
        <f t="shared" si="64"/>
        <v>3.9534159190857842E-4</v>
      </c>
      <c r="W65" s="116">
        <f t="shared" si="64"/>
        <v>4.3018536238529265E-4</v>
      </c>
      <c r="X65" s="179">
        <f t="shared" si="47"/>
        <v>4.519860171559077E-4</v>
      </c>
      <c r="Y65" s="174">
        <f t="shared" si="64"/>
        <v>4.7432693383288473E-4</v>
      </c>
      <c r="Z65" s="174">
        <f t="shared" si="64"/>
        <v>4.9831504379713447E-4</v>
      </c>
      <c r="AA65" s="174">
        <f t="shared" si="64"/>
        <v>5.1560387864879815E-4</v>
      </c>
      <c r="AB65" s="174">
        <f t="shared" si="64"/>
        <v>5.3725353964911534E-4</v>
      </c>
      <c r="AC65" s="174">
        <f t="shared" si="64"/>
        <v>5.6798261264259212E-4</v>
      </c>
      <c r="AD65" s="174">
        <f t="shared" si="64"/>
        <v>5.8738588805515735E-4</v>
      </c>
      <c r="AE65" s="174">
        <f t="shared" si="64"/>
        <v>6.1536768994476627E-4</v>
      </c>
      <c r="AF65" s="174">
        <f t="shared" si="64"/>
        <v>6.4303575697001415E-4</v>
      </c>
      <c r="AG65" s="174">
        <f t="shared" si="64"/>
        <v>6.7371688268895273E-4</v>
      </c>
      <c r="AH65" s="179">
        <f t="shared" si="49"/>
        <v>7.1361028568217957E-4</v>
      </c>
      <c r="AI65" s="128"/>
    </row>
    <row r="66" spans="1:35">
      <c r="A66" s="9" t="s">
        <v>53</v>
      </c>
      <c r="B66" s="37"/>
      <c r="C66" s="336">
        <f>C42/C$49</f>
        <v>1.518987341772152E-4</v>
      </c>
      <c r="D66" s="336">
        <f t="shared" ref="D66:N66" si="65">C66*($N79)</f>
        <v>2.1998671674476362E-4</v>
      </c>
      <c r="E66" s="336">
        <f t="shared" si="65"/>
        <v>3.1859485733226064E-4</v>
      </c>
      <c r="F66" s="336">
        <f t="shared" si="65"/>
        <v>4.6140369118891176E-4</v>
      </c>
      <c r="G66" s="336">
        <f t="shared" si="65"/>
        <v>6.6822599719720984E-4</v>
      </c>
      <c r="H66" s="396">
        <f t="shared" si="53"/>
        <v>9.1951053517098566E-4</v>
      </c>
      <c r="I66" s="116">
        <f t="shared" si="65"/>
        <v>1.3316773489928638E-3</v>
      </c>
      <c r="J66" s="116">
        <f t="shared" si="65"/>
        <v>1.9285962411413797E-3</v>
      </c>
      <c r="K66" s="116">
        <f t="shared" si="65"/>
        <v>2.7930815705153149E-3</v>
      </c>
      <c r="L66" s="116">
        <f t="shared" si="65"/>
        <v>4.0450688916283161E-3</v>
      </c>
      <c r="M66" s="116">
        <f t="shared" si="65"/>
        <v>5.8582543777983137E-3</v>
      </c>
      <c r="N66" s="179">
        <f t="shared" si="65"/>
        <v>8.4841927973143029E-3</v>
      </c>
      <c r="O66" s="116">
        <f t="shared" ref="O66:W66" si="66">N66*$X79</f>
        <v>8.9906631475261817E-3</v>
      </c>
      <c r="P66" s="116">
        <f t="shared" si="66"/>
        <v>9.5273676309987933E-3</v>
      </c>
      <c r="Q66" s="116">
        <f t="shared" si="66"/>
        <v>1.009611109734208E-2</v>
      </c>
      <c r="R66" s="116">
        <f t="shared" si="66"/>
        <v>1.0698806138037942E-2</v>
      </c>
      <c r="S66" s="116">
        <f t="shared" si="66"/>
        <v>1.1337479518173335E-2</v>
      </c>
      <c r="T66" s="116">
        <f t="shared" si="66"/>
        <v>1.2014278992120571E-2</v>
      </c>
      <c r="U66" s="116">
        <f t="shared" si="66"/>
        <v>1.2731480526084853E-2</v>
      </c>
      <c r="V66" s="116">
        <f t="shared" si="66"/>
        <v>1.3491495951807273E-2</v>
      </c>
      <c r="W66" s="116">
        <f t="shared" si="66"/>
        <v>1.4296881077161448E-2</v>
      </c>
      <c r="X66" s="179">
        <f t="shared" si="47"/>
        <v>1.5150344280918394E-2</v>
      </c>
      <c r="Y66" s="174">
        <f t="shared" si="55"/>
        <v>1.5429101164099929E-2</v>
      </c>
      <c r="Z66" s="174">
        <f t="shared" si="55"/>
        <v>1.5712987000028694E-2</v>
      </c>
      <c r="AA66" s="174">
        <f t="shared" si="55"/>
        <v>1.6002096158235522E-2</v>
      </c>
      <c r="AB66" s="174">
        <f t="shared" si="55"/>
        <v>1.6296524744591749E-2</v>
      </c>
      <c r="AC66" s="174">
        <f t="shared" si="55"/>
        <v>1.659637063325678E-2</v>
      </c>
      <c r="AD66" s="174">
        <f t="shared" si="55"/>
        <v>1.6901733499213499E-2</v>
      </c>
      <c r="AE66" s="174">
        <f t="shared" si="55"/>
        <v>1.7212714851402289E-2</v>
      </c>
      <c r="AF66" s="174">
        <f t="shared" si="55"/>
        <v>1.752941806646471E-2</v>
      </c>
      <c r="AG66" s="174">
        <f t="shared" si="55"/>
        <v>1.7851948423108038E-2</v>
      </c>
      <c r="AH66" s="179">
        <f t="shared" si="49"/>
        <v>1.8180413137102076E-2</v>
      </c>
      <c r="AI66" s="128"/>
    </row>
    <row r="67" spans="1:35" s="1" customFormat="1">
      <c r="A67" s="11" t="s">
        <v>540</v>
      </c>
      <c r="B67" s="36"/>
      <c r="C67" s="340">
        <f t="shared" ref="C67:AG67" si="67">SUM(C58:C66)</f>
        <v>3.1012911392405064E-2</v>
      </c>
      <c r="D67" s="340">
        <f t="shared" si="67"/>
        <v>3.678897416247362E-2</v>
      </c>
      <c r="E67" s="340">
        <f t="shared" si="67"/>
        <v>4.3668848931388886E-2</v>
      </c>
      <c r="F67" s="340">
        <f t="shared" si="67"/>
        <v>5.1872387585755513E-2</v>
      </c>
      <c r="G67" s="340">
        <f t="shared" si="67"/>
        <v>6.166624129866121E-2</v>
      </c>
      <c r="H67" s="403">
        <f t="shared" si="67"/>
        <v>4.3216649718947495E-2</v>
      </c>
      <c r="I67" s="85">
        <f t="shared" si="67"/>
        <v>5.2071676960170253E-2</v>
      </c>
      <c r="J67" s="85">
        <f t="shared" si="67"/>
        <v>6.2975116888602536E-2</v>
      </c>
      <c r="K67" s="85">
        <f t="shared" si="67"/>
        <v>7.6425208304833764E-2</v>
      </c>
      <c r="L67" s="85">
        <f t="shared" si="67"/>
        <v>9.3104345548451609E-2</v>
      </c>
      <c r="M67" s="85">
        <f t="shared" si="67"/>
        <v>0.1139046679644216</v>
      </c>
      <c r="N67" s="184">
        <f>SUM(N58:N66)</f>
        <v>0.14000000000000004</v>
      </c>
      <c r="O67" s="85">
        <f t="shared" si="67"/>
        <v>0.14856177752301608</v>
      </c>
      <c r="P67" s="85">
        <f t="shared" si="67"/>
        <v>0.15744802863488777</v>
      </c>
      <c r="Q67" s="85">
        <f t="shared" si="67"/>
        <v>0.16686240628344287</v>
      </c>
      <c r="R67" s="85">
        <f t="shared" si="67"/>
        <v>0.1768355722925978</v>
      </c>
      <c r="S67" s="85">
        <f t="shared" si="67"/>
        <v>0.1874015741933871</v>
      </c>
      <c r="T67" s="85">
        <f t="shared" si="67"/>
        <v>0.1986032411425043</v>
      </c>
      <c r="U67" s="85">
        <f t="shared" si="67"/>
        <v>0.21045983791535328</v>
      </c>
      <c r="V67" s="85">
        <f t="shared" si="67"/>
        <v>0.22302222883696582</v>
      </c>
      <c r="W67" s="85">
        <f t="shared" si="67"/>
        <v>0.23634695418407028</v>
      </c>
      <c r="X67" s="184">
        <f t="shared" si="67"/>
        <v>0.25045198601715596</v>
      </c>
      <c r="Y67" s="85">
        <f t="shared" si="67"/>
        <v>0.25507417097058893</v>
      </c>
      <c r="Z67" s="85">
        <f t="shared" si="67"/>
        <v>0.2597826373779592</v>
      </c>
      <c r="AA67" s="85">
        <f t="shared" si="67"/>
        <v>0.26457059598846339</v>
      </c>
      <c r="AB67" s="85">
        <f t="shared" si="67"/>
        <v>0.26945069277279177</v>
      </c>
      <c r="AC67" s="85">
        <f t="shared" si="67"/>
        <v>0.27442926136522572</v>
      </c>
      <c r="AD67" s="85">
        <f t="shared" si="67"/>
        <v>0.27948754132051212</v>
      </c>
      <c r="AE67" s="85">
        <f t="shared" si="67"/>
        <v>0.28464711198966702</v>
      </c>
      <c r="AF67" s="85">
        <f t="shared" si="67"/>
        <v>0.28990078695775828</v>
      </c>
      <c r="AG67" s="85">
        <f t="shared" si="67"/>
        <v>0.29525363025126294</v>
      </c>
      <c r="AH67" s="184">
        <f>SUM(AH58:AH66)</f>
        <v>0.30071361028568216</v>
      </c>
      <c r="AI67" s="196"/>
    </row>
    <row r="68" spans="1:35" s="252" customFormat="1">
      <c r="A68" s="10" t="s">
        <v>548</v>
      </c>
      <c r="B68" s="37"/>
      <c r="C68" s="332"/>
      <c r="D68" s="332">
        <f>D67/C67-1</f>
        <v>0.18624703424274736</v>
      </c>
      <c r="E68" s="332">
        <f t="shared" ref="E68:W68" si="68">E67/D67-1</f>
        <v>0.1870091494949333</v>
      </c>
      <c r="F68" s="332">
        <f t="shared" si="68"/>
        <v>0.18785790913004763</v>
      </c>
      <c r="G68" s="332">
        <f t="shared" si="68"/>
        <v>0.18880668827349578</v>
      </c>
      <c r="H68" s="284"/>
      <c r="I68" s="284">
        <f t="shared" si="68"/>
        <v>0.20489851246706992</v>
      </c>
      <c r="J68" s="284">
        <f t="shared" si="68"/>
        <v>0.20939290925414888</v>
      </c>
      <c r="K68" s="284">
        <f t="shared" si="68"/>
        <v>0.21357787139995721</v>
      </c>
      <c r="L68" s="284">
        <f t="shared" si="68"/>
        <v>0.21824130563165145</v>
      </c>
      <c r="M68" s="284">
        <f t="shared" si="68"/>
        <v>0.22340871732077727</v>
      </c>
      <c r="N68" s="283">
        <f t="shared" si="68"/>
        <v>0.22909800363694832</v>
      </c>
      <c r="O68" s="284">
        <f t="shared" si="68"/>
        <v>6.1155553735828816E-2</v>
      </c>
      <c r="P68" s="284">
        <f t="shared" si="68"/>
        <v>5.9815191094458875E-2</v>
      </c>
      <c r="Q68" s="284">
        <f t="shared" si="68"/>
        <v>5.9793556833832806E-2</v>
      </c>
      <c r="R68" s="284">
        <f t="shared" si="68"/>
        <v>5.9768801321334664E-2</v>
      </c>
      <c r="S68" s="284">
        <f t="shared" si="68"/>
        <v>5.9750432358182115E-2</v>
      </c>
      <c r="T68" s="284">
        <f t="shared" si="68"/>
        <v>5.9773601141459798E-2</v>
      </c>
      <c r="U68" s="284">
        <f t="shared" si="68"/>
        <v>5.9699915795137892E-2</v>
      </c>
      <c r="V68" s="284">
        <f t="shared" si="68"/>
        <v>5.9690205247925343E-2</v>
      </c>
      <c r="W68" s="284">
        <f t="shared" si="68"/>
        <v>5.9746176049765509E-2</v>
      </c>
      <c r="X68" s="284">
        <f>X67/W67-1</f>
        <v>5.9679346754350382E-2</v>
      </c>
      <c r="Y68" s="289">
        <f t="shared" ref="Y68:AG68" si="69">Y67/X67-1</f>
        <v>1.8455373530622987E-2</v>
      </c>
      <c r="Z68" s="289">
        <f t="shared" si="69"/>
        <v>1.845920498125686E-2</v>
      </c>
      <c r="AA68" s="289">
        <f t="shared" si="69"/>
        <v>1.8430633620591719E-2</v>
      </c>
      <c r="AB68" s="289">
        <f t="shared" si="69"/>
        <v>1.8445348267428718E-2</v>
      </c>
      <c r="AC68" s="289">
        <f t="shared" si="69"/>
        <v>1.8476733316963534E-2</v>
      </c>
      <c r="AD68" s="289">
        <f t="shared" si="69"/>
        <v>1.8431999306934621E-2</v>
      </c>
      <c r="AE68" s="289">
        <f t="shared" si="69"/>
        <v>1.8460825283220794E-2</v>
      </c>
      <c r="AF68" s="289">
        <f t="shared" si="69"/>
        <v>1.8456800532309581E-2</v>
      </c>
      <c r="AG68" s="289">
        <f t="shared" si="69"/>
        <v>1.8464397250099962E-2</v>
      </c>
      <c r="AH68" s="283">
        <f>AH67/AG67-1</f>
        <v>1.8492507712005946E-2</v>
      </c>
      <c r="AI68" s="292"/>
    </row>
    <row r="69" spans="1:35">
      <c r="A69" s="10"/>
      <c r="B69" s="37"/>
      <c r="C69" s="332"/>
      <c r="D69" s="332"/>
      <c r="E69" s="332"/>
      <c r="F69" s="332"/>
      <c r="G69" s="332"/>
      <c r="H69" s="284"/>
      <c r="I69" s="165"/>
      <c r="J69" s="165"/>
      <c r="K69" s="165"/>
      <c r="L69" s="165"/>
      <c r="M69" s="165"/>
      <c r="N69" s="186"/>
      <c r="O69" s="165"/>
      <c r="P69" s="165"/>
      <c r="Q69" s="165"/>
      <c r="R69" s="165"/>
      <c r="S69" s="165"/>
      <c r="T69" s="165"/>
      <c r="U69" s="165"/>
      <c r="V69" s="165"/>
      <c r="W69" s="165"/>
      <c r="X69" s="186"/>
      <c r="Y69" s="20"/>
      <c r="Z69" s="20"/>
      <c r="AA69" s="20"/>
      <c r="AB69" s="20"/>
      <c r="AC69" s="20"/>
      <c r="AD69" s="20"/>
      <c r="AE69" s="20"/>
      <c r="AF69" s="20"/>
      <c r="AG69" s="20"/>
      <c r="AH69" s="279"/>
      <c r="AI69" s="128"/>
    </row>
    <row r="70" spans="1:35">
      <c r="A70" s="11" t="s">
        <v>545</v>
      </c>
      <c r="B70" s="37"/>
      <c r="C70" s="332"/>
      <c r="D70" s="332"/>
      <c r="E70" s="332"/>
      <c r="F70" s="332"/>
      <c r="G70" s="332"/>
      <c r="H70" s="284"/>
      <c r="I70" s="165"/>
      <c r="J70" s="165"/>
      <c r="K70" s="165"/>
      <c r="L70" s="165"/>
      <c r="M70" s="165"/>
      <c r="N70" s="199" t="s">
        <v>711</v>
      </c>
      <c r="O70" s="165"/>
      <c r="P70" s="165"/>
      <c r="Q70" s="165"/>
      <c r="R70" s="165"/>
      <c r="S70" s="165"/>
      <c r="T70" s="165"/>
      <c r="U70" s="165"/>
      <c r="V70" s="165"/>
      <c r="W70" s="165"/>
      <c r="X70" s="199" t="s">
        <v>546</v>
      </c>
      <c r="Y70" s="20"/>
      <c r="Z70" s="20"/>
      <c r="AA70" s="20"/>
      <c r="AB70" s="20"/>
      <c r="AC70" s="20"/>
      <c r="AD70" s="20"/>
      <c r="AE70" s="20"/>
      <c r="AF70" s="20"/>
      <c r="AG70" s="20"/>
      <c r="AH70" s="279" t="s">
        <v>708</v>
      </c>
      <c r="AI70" s="128"/>
    </row>
    <row r="71" spans="1:35">
      <c r="A71" s="9" t="s">
        <v>121</v>
      </c>
      <c r="B71" s="37"/>
      <c r="C71" s="332"/>
      <c r="D71" s="332"/>
      <c r="E71" s="332"/>
      <c r="F71" s="332"/>
      <c r="G71" s="332"/>
      <c r="H71" s="284"/>
      <c r="I71" s="165"/>
      <c r="J71" s="165"/>
      <c r="K71" s="395"/>
      <c r="L71" s="395"/>
      <c r="M71" s="165"/>
      <c r="N71" s="187">
        <f>(N86/H86)^(1/6)</f>
        <v>1.2588644985443982</v>
      </c>
      <c r="O71" s="165"/>
      <c r="P71" s="165"/>
      <c r="Q71" s="165"/>
      <c r="R71" s="165"/>
      <c r="S71" s="165"/>
      <c r="T71" s="165"/>
      <c r="U71" s="165"/>
      <c r="V71" s="165"/>
      <c r="W71" s="165"/>
      <c r="X71" s="187">
        <f>(X86/N86)^(1/10)</f>
        <v>1.0596957615546176</v>
      </c>
      <c r="Y71" s="20"/>
      <c r="Z71" s="20"/>
      <c r="AA71" s="20"/>
      <c r="AB71" s="20"/>
      <c r="AC71" s="20"/>
      <c r="AD71" s="20"/>
      <c r="AE71" s="20"/>
      <c r="AF71" s="20"/>
      <c r="AG71" s="20"/>
      <c r="AH71" s="187">
        <f>(AH86/X86)^(1/10)</f>
        <v>1.0183993761470242</v>
      </c>
      <c r="AI71" s="128"/>
    </row>
    <row r="72" spans="1:35">
      <c r="A72" s="9" t="s">
        <v>50</v>
      </c>
      <c r="B72" s="37"/>
      <c r="C72" s="332"/>
      <c r="D72" s="332"/>
      <c r="E72" s="332"/>
      <c r="F72" s="332"/>
      <c r="G72" s="332"/>
      <c r="H72" s="284"/>
      <c r="I72" s="165"/>
      <c r="J72" s="165"/>
      <c r="K72" s="395"/>
      <c r="L72" s="395"/>
      <c r="M72" s="165"/>
      <c r="N72" s="187">
        <f>(N87/H87)^(1/6)</f>
        <v>1.1772728090134412</v>
      </c>
      <c r="O72" s="165"/>
      <c r="P72" s="165"/>
      <c r="Q72" s="165"/>
      <c r="R72" s="165"/>
      <c r="S72" s="165"/>
      <c r="T72" s="165"/>
      <c r="U72" s="165"/>
      <c r="V72" s="165"/>
      <c r="W72" s="165"/>
      <c r="X72" s="187">
        <f>(X87/N87)^(1/10)</f>
        <v>1.0596957615546176</v>
      </c>
      <c r="Y72" s="20"/>
      <c r="Z72" s="20"/>
      <c r="AA72" s="20"/>
      <c r="AB72" s="20"/>
      <c r="AC72" s="20"/>
      <c r="AD72" s="20"/>
      <c r="AE72" s="20"/>
      <c r="AF72" s="20"/>
      <c r="AG72" s="20"/>
      <c r="AH72" s="187">
        <f>(AH87/X87)^(1/10)</f>
        <v>1.0183993761470242</v>
      </c>
      <c r="AI72" s="128"/>
    </row>
    <row r="73" spans="1:35">
      <c r="A73" s="9" t="s">
        <v>119</v>
      </c>
      <c r="B73" s="37"/>
      <c r="C73" s="332"/>
      <c r="D73" s="332"/>
      <c r="E73" s="332"/>
      <c r="F73" s="332"/>
      <c r="G73" s="332"/>
      <c r="H73" s="284"/>
      <c r="I73" s="165"/>
      <c r="J73" s="165"/>
      <c r="K73" s="395"/>
      <c r="L73" s="395"/>
      <c r="M73" s="165"/>
      <c r="N73" s="187"/>
      <c r="O73" s="165"/>
      <c r="P73" s="165"/>
      <c r="Q73" s="165"/>
      <c r="R73" s="165"/>
      <c r="S73" s="165"/>
      <c r="T73" s="165"/>
      <c r="U73" s="165"/>
      <c r="V73" s="165"/>
      <c r="W73" s="165"/>
      <c r="X73" s="187"/>
      <c r="AH73" s="187"/>
      <c r="AI73" s="128"/>
    </row>
    <row r="74" spans="1:35">
      <c r="A74" s="9" t="s">
        <v>51</v>
      </c>
      <c r="B74" s="37"/>
      <c r="C74" s="332"/>
      <c r="D74" s="332"/>
      <c r="E74" s="332"/>
      <c r="F74" s="332"/>
      <c r="G74" s="332"/>
      <c r="H74" s="284"/>
      <c r="I74" s="165"/>
      <c r="J74" s="165"/>
      <c r="K74" s="395"/>
      <c r="L74" s="395"/>
      <c r="M74" s="165"/>
      <c r="N74" s="180">
        <f>(N89/H89)^(1/6)</f>
        <v>1.1772588895340523</v>
      </c>
      <c r="O74" s="165"/>
      <c r="P74" s="165"/>
      <c r="Q74" s="165"/>
      <c r="R74" s="165"/>
      <c r="S74" s="165"/>
      <c r="T74" s="165"/>
      <c r="U74" s="165"/>
      <c r="V74" s="165"/>
      <c r="W74" s="165"/>
      <c r="X74" s="187">
        <f>(X89/N89)^(1/10)</f>
        <v>1.0596957615546176</v>
      </c>
      <c r="AH74" s="187">
        <f>(AH89/X89)^(1/10)</f>
        <v>1.0183993761470242</v>
      </c>
      <c r="AI74" s="128"/>
    </row>
    <row r="75" spans="1:35">
      <c r="A75" s="9" t="s">
        <v>347</v>
      </c>
      <c r="B75" s="37"/>
      <c r="C75" s="332"/>
      <c r="D75" s="332"/>
      <c r="E75" s="332"/>
      <c r="F75" s="332"/>
      <c r="G75" s="332"/>
      <c r="H75" s="284"/>
      <c r="I75" s="165"/>
      <c r="J75" s="165"/>
      <c r="K75" s="395"/>
      <c r="L75" s="395"/>
      <c r="M75" s="165"/>
      <c r="N75" s="180">
        <f>(N90/H90)^(1/6)</f>
        <v>1.368431743614041</v>
      </c>
      <c r="O75" s="165"/>
      <c r="P75" s="165"/>
      <c r="Q75" s="165"/>
      <c r="R75" s="165"/>
      <c r="S75" s="165"/>
      <c r="T75" s="165"/>
      <c r="U75" s="165"/>
      <c r="V75" s="165"/>
      <c r="W75" s="165"/>
      <c r="X75" s="187">
        <f>(X90/N90)^(1/10)</f>
        <v>1.0596957615546176</v>
      </c>
      <c r="AH75" s="187">
        <f>(AH90/X90)^(1/10)</f>
        <v>1.0183993761470242</v>
      </c>
      <c r="AI75" s="128"/>
    </row>
    <row r="76" spans="1:35">
      <c r="A76" s="9" t="s">
        <v>348</v>
      </c>
      <c r="B76" s="37"/>
      <c r="C76" s="332"/>
      <c r="D76" s="332"/>
      <c r="E76" s="332"/>
      <c r="F76" s="332"/>
      <c r="G76" s="332"/>
      <c r="H76" s="284"/>
      <c r="I76" s="165"/>
      <c r="J76" s="165"/>
      <c r="K76" s="395"/>
      <c r="L76" s="395"/>
      <c r="M76" s="165"/>
      <c r="N76" s="180">
        <f>(N91/H91)^(1/6)</f>
        <v>1.1772728090134412</v>
      </c>
      <c r="O76" s="165"/>
      <c r="P76" s="165"/>
      <c r="Q76" s="165"/>
      <c r="R76" s="165"/>
      <c r="S76" s="165"/>
      <c r="T76" s="165"/>
      <c r="U76" s="165"/>
      <c r="V76" s="165"/>
      <c r="W76" s="165"/>
      <c r="X76" s="187">
        <f>(X91/N91)^(1/10)</f>
        <v>1.0596957615546176</v>
      </c>
      <c r="AH76" s="187">
        <f>(AH91/X91)^(1/10)</f>
        <v>1.0183993761470242</v>
      </c>
      <c r="AI76" s="128"/>
    </row>
    <row r="77" spans="1:35">
      <c r="A77" s="9" t="s">
        <v>344</v>
      </c>
      <c r="B77" s="37"/>
      <c r="C77" s="332"/>
      <c r="D77" s="332"/>
      <c r="E77" s="332"/>
      <c r="F77" s="332"/>
      <c r="G77" s="332"/>
      <c r="H77" s="284"/>
      <c r="I77" s="165"/>
      <c r="J77" s="165"/>
      <c r="K77" s="395"/>
      <c r="L77" s="395"/>
      <c r="M77" s="165"/>
      <c r="N77" s="180">
        <f>(N92/H92)^(1/6)</f>
        <v>1.177272809013441</v>
      </c>
      <c r="O77" s="165"/>
      <c r="P77" s="165"/>
      <c r="Q77" s="165"/>
      <c r="R77" s="165"/>
      <c r="S77" s="165"/>
      <c r="T77" s="165"/>
      <c r="U77" s="165"/>
      <c r="V77" s="165"/>
      <c r="W77" s="165"/>
      <c r="X77" s="187">
        <f>(X92/N92)^(1/10)</f>
        <v>1.0596957615546176</v>
      </c>
      <c r="AH77" s="187">
        <f>(AH92/X92)^(1/10)</f>
        <v>1.0183993761470242</v>
      </c>
      <c r="AI77" s="128"/>
    </row>
    <row r="78" spans="1:35">
      <c r="A78" s="9" t="s">
        <v>120</v>
      </c>
      <c r="B78" s="37"/>
      <c r="C78" s="332"/>
      <c r="D78" s="332"/>
      <c r="E78" s="332"/>
      <c r="F78" s="332"/>
      <c r="G78" s="332"/>
      <c r="H78" s="284"/>
      <c r="I78" s="165"/>
      <c r="J78" s="165"/>
      <c r="K78" s="395"/>
      <c r="L78" s="395"/>
      <c r="M78" s="165"/>
      <c r="N78" s="187">
        <f t="shared" ref="N78:N79" si="70">(N93/H93)^(1/6)</f>
        <v>1.3679146298751332</v>
      </c>
      <c r="O78" s="165"/>
      <c r="P78" s="165"/>
      <c r="Q78" s="165"/>
      <c r="R78" s="165"/>
      <c r="S78" s="165"/>
      <c r="T78" s="165"/>
      <c r="U78" s="165"/>
      <c r="V78" s="165"/>
      <c r="W78" s="165"/>
      <c r="X78" s="187">
        <f t="shared" ref="X78:X79" si="71">(X93/N93)^(1/10)</f>
        <v>1.0977820073711984</v>
      </c>
      <c r="AH78" s="187">
        <f t="shared" ref="AH78:AH79" si="72">(AH93/X93)^(1/10)</f>
        <v>1.0467274419353347</v>
      </c>
      <c r="AI78" s="128"/>
    </row>
    <row r="79" spans="1:35">
      <c r="A79" s="9" t="s">
        <v>53</v>
      </c>
      <c r="B79" s="37"/>
      <c r="C79" s="332"/>
      <c r="D79" s="332"/>
      <c r="E79" s="332"/>
      <c r="F79" s="332"/>
      <c r="G79" s="332"/>
      <c r="H79" s="284"/>
      <c r="I79" s="165"/>
      <c r="J79" s="165"/>
      <c r="K79" s="395"/>
      <c r="L79" s="395"/>
      <c r="M79" s="165"/>
      <c r="N79" s="187">
        <f t="shared" si="70"/>
        <v>1.4482458852363604</v>
      </c>
      <c r="O79" s="165"/>
      <c r="P79" s="165"/>
      <c r="Q79" s="165"/>
      <c r="R79" s="165"/>
      <c r="S79" s="165"/>
      <c r="T79" s="165"/>
      <c r="U79" s="165"/>
      <c r="V79" s="165"/>
      <c r="W79" s="165"/>
      <c r="X79" s="187">
        <f t="shared" si="71"/>
        <v>1.0596957615546176</v>
      </c>
      <c r="AH79" s="187">
        <f t="shared" si="72"/>
        <v>1.0183993761470242</v>
      </c>
      <c r="AI79" s="128"/>
    </row>
    <row r="80" spans="1:35">
      <c r="A80" s="10"/>
      <c r="B80" s="37"/>
      <c r="C80" s="332"/>
      <c r="D80" s="332"/>
      <c r="E80" s="332"/>
      <c r="F80" s="332"/>
      <c r="G80" s="332"/>
      <c r="H80" s="284"/>
      <c r="I80" s="165"/>
      <c r="J80" s="165"/>
      <c r="K80" s="165"/>
      <c r="L80" s="165"/>
      <c r="M80" s="165"/>
      <c r="N80" s="181"/>
      <c r="O80" s="165"/>
      <c r="P80" s="165"/>
      <c r="Q80" s="165"/>
      <c r="R80" s="165"/>
      <c r="S80" s="165"/>
      <c r="T80" s="165"/>
      <c r="U80" s="165"/>
      <c r="V80" s="165"/>
      <c r="W80" s="165"/>
      <c r="X80" s="186"/>
      <c r="AI80" s="128"/>
    </row>
    <row r="81" spans="1:35">
      <c r="A81" s="1" t="s">
        <v>547</v>
      </c>
      <c r="B81" s="37"/>
      <c r="C81" s="332"/>
      <c r="D81" s="332"/>
      <c r="E81" s="332"/>
      <c r="F81" s="332"/>
      <c r="G81" s="332"/>
      <c r="H81" s="284"/>
      <c r="I81" s="165"/>
      <c r="J81" s="165"/>
      <c r="K81" s="165"/>
      <c r="L81" s="165"/>
      <c r="M81" s="165"/>
      <c r="N81" s="185" t="s">
        <v>0</v>
      </c>
      <c r="O81" s="165"/>
      <c r="P81" s="165"/>
      <c r="Q81" s="165"/>
      <c r="R81" s="165"/>
      <c r="S81" s="165"/>
      <c r="T81" s="165"/>
      <c r="U81" s="165"/>
      <c r="V81" s="165"/>
      <c r="W81" s="165"/>
      <c r="X81" s="186"/>
      <c r="AI81" s="128"/>
    </row>
    <row r="82" spans="1:35">
      <c r="A82" s="9" t="s">
        <v>282</v>
      </c>
      <c r="B82" s="37"/>
      <c r="C82" s="332"/>
      <c r="D82" s="332"/>
      <c r="E82" s="332"/>
      <c r="F82" s="332"/>
      <c r="G82" s="332"/>
      <c r="H82" s="284"/>
      <c r="I82" s="165"/>
      <c r="J82" s="165"/>
      <c r="K82" s="165"/>
      <c r="L82" s="165"/>
      <c r="M82" s="165"/>
      <c r="N82" s="186" t="s">
        <v>0</v>
      </c>
      <c r="O82" s="165"/>
      <c r="P82" s="165"/>
      <c r="Q82" s="165"/>
      <c r="R82" s="165"/>
      <c r="S82" s="165"/>
      <c r="T82" s="165"/>
      <c r="U82" s="165"/>
      <c r="V82" s="165"/>
      <c r="W82" s="165"/>
      <c r="X82" s="186"/>
      <c r="AI82" s="128"/>
    </row>
    <row r="83" spans="1:35">
      <c r="A83" s="20" t="s">
        <v>122</v>
      </c>
      <c r="B83" s="37"/>
      <c r="C83" s="332"/>
      <c r="D83" s="332"/>
      <c r="E83" s="332"/>
      <c r="F83" s="332"/>
      <c r="G83" s="332"/>
      <c r="H83" s="284"/>
      <c r="I83" s="165"/>
      <c r="J83" s="165"/>
      <c r="K83" s="165"/>
      <c r="L83" s="165"/>
      <c r="M83" s="165"/>
      <c r="N83" s="181"/>
      <c r="O83" s="165"/>
      <c r="P83" s="165"/>
      <c r="Q83" s="165"/>
      <c r="R83" s="165"/>
      <c r="S83" s="165"/>
      <c r="T83" s="165"/>
      <c r="U83" s="165"/>
      <c r="V83" s="165"/>
      <c r="W83" s="165"/>
      <c r="X83" s="186"/>
      <c r="AI83" s="128"/>
    </row>
    <row r="84" spans="1:35">
      <c r="A84" s="9" t="s">
        <v>49</v>
      </c>
      <c r="B84" s="37"/>
      <c r="C84" s="336">
        <f t="shared" ref="C84:AH84" si="73">C31/C$49</f>
        <v>3.040481012658228E-2</v>
      </c>
      <c r="D84" s="336">
        <f t="shared" si="73"/>
        <v>2.996115306970382E-2</v>
      </c>
      <c r="E84" s="336">
        <f t="shared" si="73"/>
        <v>2.9517496012825356E-2</v>
      </c>
      <c r="F84" s="336">
        <f t="shared" si="73"/>
        <v>2.9073838955946885E-2</v>
      </c>
      <c r="G84" s="336">
        <f t="shared" si="73"/>
        <v>2.8630181899068425E-2</v>
      </c>
      <c r="H84" s="396">
        <f t="shared" si="73"/>
        <v>2.5965848444166471E-2</v>
      </c>
      <c r="I84" s="116">
        <f t="shared" si="73"/>
        <v>2.5892304120291924E-2</v>
      </c>
      <c r="J84" s="116">
        <f t="shared" si="73"/>
        <v>2.5818759796417377E-2</v>
      </c>
      <c r="K84" s="116">
        <f t="shared" si="73"/>
        <v>2.574521547254283E-2</v>
      </c>
      <c r="L84" s="116">
        <f t="shared" si="73"/>
        <v>2.5671671148668283E-2</v>
      </c>
      <c r="M84" s="116">
        <f t="shared" si="73"/>
        <v>2.5598126824793736E-2</v>
      </c>
      <c r="N84" s="179">
        <f t="shared" si="73"/>
        <v>2.5524582500919192E-2</v>
      </c>
      <c r="O84" s="116">
        <f t="shared" si="73"/>
        <v>2.567304945830913E-2</v>
      </c>
      <c r="P84" s="116">
        <f t="shared" si="73"/>
        <v>2.5821516415699068E-2</v>
      </c>
      <c r="Q84" s="116">
        <f t="shared" si="73"/>
        <v>2.5969983373089006E-2</v>
      </c>
      <c r="R84" s="116">
        <f t="shared" si="73"/>
        <v>2.6118450330478944E-2</v>
      </c>
      <c r="S84" s="116">
        <f t="shared" si="73"/>
        <v>2.6266917287868882E-2</v>
      </c>
      <c r="T84" s="116">
        <f t="shared" si="73"/>
        <v>2.641538424525882E-2</v>
      </c>
      <c r="U84" s="116">
        <f t="shared" si="73"/>
        <v>2.6563851202648758E-2</v>
      </c>
      <c r="V84" s="116">
        <f t="shared" si="73"/>
        <v>2.6712318160038696E-2</v>
      </c>
      <c r="W84" s="116">
        <f t="shared" si="73"/>
        <v>2.6860785117428634E-2</v>
      </c>
      <c r="X84" s="179">
        <f t="shared" si="73"/>
        <v>2.7009252074818579E-2</v>
      </c>
      <c r="Y84" s="174">
        <f t="shared" si="73"/>
        <v>2.6995672985727758E-2</v>
      </c>
      <c r="Z84" s="174">
        <f t="shared" si="73"/>
        <v>2.6982093896636937E-2</v>
      </c>
      <c r="AA84" s="174">
        <f t="shared" si="73"/>
        <v>2.6968514807546116E-2</v>
      </c>
      <c r="AB84" s="174">
        <f t="shared" si="73"/>
        <v>2.6954935718455295E-2</v>
      </c>
      <c r="AC84" s="174">
        <f t="shared" si="73"/>
        <v>2.6941356629364473E-2</v>
      </c>
      <c r="AD84" s="174">
        <f t="shared" si="73"/>
        <v>2.6927777540273656E-2</v>
      </c>
      <c r="AE84" s="174">
        <f t="shared" si="73"/>
        <v>2.6914198451182834E-2</v>
      </c>
      <c r="AF84" s="174">
        <f t="shared" si="73"/>
        <v>2.6900619362092013E-2</v>
      </c>
      <c r="AG84" s="174">
        <f t="shared" si="73"/>
        <v>2.6887040273001189E-2</v>
      </c>
      <c r="AH84" s="179">
        <f t="shared" si="73"/>
        <v>2.6873461183910367E-2</v>
      </c>
      <c r="AI84" s="128"/>
    </row>
    <row r="85" spans="1:35">
      <c r="A85" s="9" t="s">
        <v>59</v>
      </c>
      <c r="B85" s="37"/>
      <c r="C85" s="336">
        <f t="shared" ref="C85:AH85" si="74">C32/C$49</f>
        <v>0.13660759493670885</v>
      </c>
      <c r="D85" s="336">
        <f t="shared" si="74"/>
        <v>0.13542322356745623</v>
      </c>
      <c r="E85" s="336">
        <f t="shared" si="74"/>
        <v>0.13423885219820361</v>
      </c>
      <c r="F85" s="336">
        <f t="shared" si="74"/>
        <v>0.13305448082895099</v>
      </c>
      <c r="G85" s="336">
        <f t="shared" si="74"/>
        <v>0.13187010945969838</v>
      </c>
      <c r="H85" s="396">
        <f t="shared" si="74"/>
        <v>0.14576524745441374</v>
      </c>
      <c r="I85" s="116">
        <f t="shared" si="74"/>
        <v>0.14206762452449978</v>
      </c>
      <c r="J85" s="116">
        <f t="shared" si="74"/>
        <v>0.13837000159458582</v>
      </c>
      <c r="K85" s="116">
        <f t="shared" si="74"/>
        <v>0.13467237866467185</v>
      </c>
      <c r="L85" s="116">
        <f t="shared" si="74"/>
        <v>0.13097475573475789</v>
      </c>
      <c r="M85" s="116">
        <f t="shared" si="74"/>
        <v>0.12727713280484393</v>
      </c>
      <c r="N85" s="179">
        <f t="shared" si="74"/>
        <v>0.12357950987492995</v>
      </c>
      <c r="O85" s="116">
        <f t="shared" si="74"/>
        <v>0.1242983256998787</v>
      </c>
      <c r="P85" s="116">
        <f t="shared" si="74"/>
        <v>0.12501714152482746</v>
      </c>
      <c r="Q85" s="116">
        <f t="shared" si="74"/>
        <v>0.12573595734977622</v>
      </c>
      <c r="R85" s="116">
        <f t="shared" si="74"/>
        <v>0.12645477317472498</v>
      </c>
      <c r="S85" s="116">
        <f t="shared" si="74"/>
        <v>0.12717358899967374</v>
      </c>
      <c r="T85" s="116">
        <f t="shared" si="74"/>
        <v>0.1278924048246225</v>
      </c>
      <c r="U85" s="116">
        <f t="shared" si="74"/>
        <v>0.12861122064957126</v>
      </c>
      <c r="V85" s="116">
        <f t="shared" si="74"/>
        <v>0.12933003647452002</v>
      </c>
      <c r="W85" s="116">
        <f t="shared" si="74"/>
        <v>0.13004885229946878</v>
      </c>
      <c r="X85" s="179">
        <f t="shared" si="74"/>
        <v>0.13076766812441748</v>
      </c>
      <c r="Y85" s="174">
        <f t="shared" si="74"/>
        <v>0.13070192377093662</v>
      </c>
      <c r="Z85" s="174">
        <f t="shared" si="74"/>
        <v>0.13063617941745576</v>
      </c>
      <c r="AA85" s="174">
        <f t="shared" si="74"/>
        <v>0.13057043506397489</v>
      </c>
      <c r="AB85" s="174">
        <f t="shared" si="74"/>
        <v>0.13050469071049403</v>
      </c>
      <c r="AC85" s="174">
        <f t="shared" si="74"/>
        <v>0.13043894635701317</v>
      </c>
      <c r="AD85" s="174">
        <f t="shared" si="74"/>
        <v>0.13037320200353231</v>
      </c>
      <c r="AE85" s="174">
        <f t="shared" si="74"/>
        <v>0.13030745765005144</v>
      </c>
      <c r="AF85" s="174">
        <f t="shared" si="74"/>
        <v>0.13024171329657058</v>
      </c>
      <c r="AG85" s="174">
        <f t="shared" si="74"/>
        <v>0.13017596894308972</v>
      </c>
      <c r="AH85" s="179">
        <f t="shared" si="74"/>
        <v>0.13011022458960891</v>
      </c>
      <c r="AI85" s="128"/>
    </row>
    <row r="86" spans="1:35" s="252" customFormat="1">
      <c r="A86" s="10" t="s">
        <v>121</v>
      </c>
      <c r="B86" s="37"/>
      <c r="C86" s="410">
        <f t="shared" ref="C86:AH86" si="75">C34/C$49</f>
        <v>2.9113924050632911E-3</v>
      </c>
      <c r="D86" s="336">
        <f t="shared" si="75"/>
        <v>3.6650485400659696E-3</v>
      </c>
      <c r="E86" s="336">
        <f t="shared" si="75"/>
        <v>4.6137994925310255E-3</v>
      </c>
      <c r="F86" s="336">
        <f t="shared" si="75"/>
        <v>5.8081483845494686E-3</v>
      </c>
      <c r="G86" s="336">
        <f t="shared" si="75"/>
        <v>7.311671803587323E-3</v>
      </c>
      <c r="H86" s="409">
        <f t="shared" si="75"/>
        <v>2.7869055471043064E-3</v>
      </c>
      <c r="I86" s="396">
        <f t="shared" si="75"/>
        <v>3.5083364540460646E-3</v>
      </c>
      <c r="J86" s="396">
        <f t="shared" si="75"/>
        <v>4.4165202109477308E-3</v>
      </c>
      <c r="K86" s="396">
        <f t="shared" si="75"/>
        <v>5.5598005006659151E-3</v>
      </c>
      <c r="L86" s="396">
        <f t="shared" si="75"/>
        <v>6.9990354692776903E-3</v>
      </c>
      <c r="M86" s="396">
        <f t="shared" si="75"/>
        <v>8.8108372763267169E-3</v>
      </c>
      <c r="N86" s="397">
        <f>N34/N$49</f>
        <v>1.1091650249619323E-2</v>
      </c>
      <c r="O86" s="396">
        <f t="shared" si="75"/>
        <v>1.1753774758167813E-2</v>
      </c>
      <c r="P86" s="396">
        <f t="shared" si="75"/>
        <v>1.2455425293498083E-2</v>
      </c>
      <c r="Q86" s="396">
        <f t="shared" si="75"/>
        <v>1.3198961391880098E-2</v>
      </c>
      <c r="R86" s="396">
        <f t="shared" si="75"/>
        <v>1.3986883443898377E-2</v>
      </c>
      <c r="S86" s="396">
        <f t="shared" si="75"/>
        <v>1.4821841102857563E-2</v>
      </c>
      <c r="T86" s="396">
        <f t="shared" si="75"/>
        <v>1.5706642195134179E-2</v>
      </c>
      <c r="U86" s="396">
        <f t="shared" si="75"/>
        <v>1.6644262162438604E-2</v>
      </c>
      <c r="V86" s="396">
        <f t="shared" si="75"/>
        <v>1.7637854067740082E-2</v>
      </c>
      <c r="W86" s="396">
        <f t="shared" si="75"/>
        <v>1.8690759198503038E-2</v>
      </c>
      <c r="X86" s="397">
        <f t="shared" si="75"/>
        <v>1.9806518302891648E-2</v>
      </c>
      <c r="Y86" s="396">
        <f>Y34/Y$49</f>
        <v>2.0170945883309473E-2</v>
      </c>
      <c r="Z86" s="396">
        <f t="shared" si="75"/>
        <v>2.0542078703857755E-2</v>
      </c>
      <c r="AA86" s="396">
        <f t="shared" si="75"/>
        <v>2.092004013677181E-2</v>
      </c>
      <c r="AB86" s="396">
        <f t="shared" si="75"/>
        <v>2.130495582425912E-2</v>
      </c>
      <c r="AC86" s="396">
        <f t="shared" si="75"/>
        <v>2.1696953720265397E-2</v>
      </c>
      <c r="AD86" s="396">
        <f t="shared" si="75"/>
        <v>2.2096164133009136E-2</v>
      </c>
      <c r="AE86" s="396">
        <f t="shared" si="75"/>
        <v>2.2502719768298759E-2</v>
      </c>
      <c r="AF86" s="396">
        <f t="shared" si="75"/>
        <v>2.2916755773646765E-2</v>
      </c>
      <c r="AG86" s="396">
        <f t="shared" si="75"/>
        <v>2.3338409783195582E-2</v>
      </c>
      <c r="AH86" s="397">
        <f t="shared" si="75"/>
        <v>2.3767821963469975E-2</v>
      </c>
      <c r="AI86" s="292"/>
    </row>
    <row r="87" spans="1:35">
      <c r="A87" s="9" t="s">
        <v>50</v>
      </c>
      <c r="B87" s="37"/>
      <c r="C87" s="410">
        <f t="shared" ref="C87:AH87" si="76">C35/C$49</f>
        <v>0</v>
      </c>
      <c r="D87" s="336">
        <f t="shared" si="76"/>
        <v>0</v>
      </c>
      <c r="E87" s="336">
        <f t="shared" si="76"/>
        <v>2.5907714934048734E-14</v>
      </c>
      <c r="F87" s="336">
        <f t="shared" si="76"/>
        <v>2.7460933754113996E-14</v>
      </c>
      <c r="G87" s="336">
        <f t="shared" si="76"/>
        <v>2.7936928857301679E-14</v>
      </c>
      <c r="H87" s="409">
        <f t="shared" si="76"/>
        <v>2.7140006607467036E-14</v>
      </c>
      <c r="I87" s="116">
        <f t="shared" si="76"/>
        <v>3.195119181541607E-14</v>
      </c>
      <c r="J87" s="116">
        <f>J35/J$49</f>
        <v>3.7615269339862149E-14</v>
      </c>
      <c r="K87" s="116">
        <f t="shared" si="76"/>
        <v>4.4283433797536686E-14</v>
      </c>
      <c r="L87" s="116">
        <f t="shared" si="76"/>
        <v>5.2133682499586773E-14</v>
      </c>
      <c r="M87" s="116">
        <f t="shared" si="76"/>
        <v>6.1375566840503403E-14</v>
      </c>
      <c r="N87" s="179">
        <f t="shared" si="76"/>
        <v>7.2255785979111633E-14</v>
      </c>
      <c r="O87" s="116">
        <f t="shared" si="76"/>
        <v>7.6569150149862188E-14</v>
      </c>
      <c r="P87" s="116">
        <f t="shared" si="76"/>
        <v>8.1140003879648081E-14</v>
      </c>
      <c r="Q87" s="116">
        <f t="shared" si="76"/>
        <v>8.5983718203788308E-14</v>
      </c>
      <c r="R87" s="116">
        <f t="shared" si="76"/>
        <v>9.1116581743261095E-14</v>
      </c>
      <c r="S87" s="116">
        <f t="shared" si="76"/>
        <v>9.6555855480678637E-14</v>
      </c>
      <c r="T87" s="116">
        <f t="shared" si="76"/>
        <v>1.0231983080615535E-13</v>
      </c>
      <c r="U87" s="116">
        <f t="shared" si="76"/>
        <v>1.0842789102826843E-13</v>
      </c>
      <c r="V87" s="116">
        <f t="shared" si="76"/>
        <v>1.1490057655696199E-13</v>
      </c>
      <c r="W87" s="116">
        <f t="shared" si="76"/>
        <v>1.2175965397759448E-13</v>
      </c>
      <c r="X87" s="179">
        <f t="shared" si="76"/>
        <v>1.2902818924841364E-13</v>
      </c>
      <c r="Y87" s="174">
        <f t="shared" si="76"/>
        <v>1.3140222743596463E-13</v>
      </c>
      <c r="Z87" s="174">
        <f t="shared" si="76"/>
        <v>1.3381994644511576E-13</v>
      </c>
      <c r="AA87" s="174">
        <f t="shared" si="76"/>
        <v>1.3628214997573409E-13</v>
      </c>
      <c r="AB87" s="174">
        <f t="shared" si="76"/>
        <v>1.3878965651526278E-13</v>
      </c>
      <c r="AC87" s="174">
        <f t="shared" si="76"/>
        <v>1.4134329961080339E-13</v>
      </c>
      <c r="AD87" s="174">
        <f t="shared" si="76"/>
        <v>1.4394392814620411E-13</v>
      </c>
      <c r="AE87" s="174">
        <f t="shared" si="76"/>
        <v>1.4659240662424635E-13</v>
      </c>
      <c r="AF87" s="174">
        <f t="shared" si="76"/>
        <v>1.4928961545402339E-13</v>
      </c>
      <c r="AG87" s="174">
        <f t="shared" si="76"/>
        <v>1.5203645124360657E-13</v>
      </c>
      <c r="AH87" s="179">
        <f t="shared" si="76"/>
        <v>1.5483382709809636E-13</v>
      </c>
      <c r="AI87" s="128"/>
    </row>
    <row r="88" spans="1:35">
      <c r="A88" s="9" t="s">
        <v>119</v>
      </c>
      <c r="B88" s="37"/>
      <c r="C88" s="410">
        <f t="shared" ref="C88:AH88" si="77">C36/C$49</f>
        <v>0</v>
      </c>
      <c r="D88" s="336">
        <f t="shared" si="77"/>
        <v>0</v>
      </c>
      <c r="E88" s="336">
        <f t="shared" si="77"/>
        <v>0</v>
      </c>
      <c r="F88" s="336">
        <f t="shared" si="77"/>
        <v>0</v>
      </c>
      <c r="G88" s="336">
        <f t="shared" si="77"/>
        <v>0</v>
      </c>
      <c r="H88" s="409">
        <f t="shared" si="77"/>
        <v>0</v>
      </c>
      <c r="I88" s="116">
        <f t="shared" si="77"/>
        <v>0</v>
      </c>
      <c r="J88" s="116">
        <f t="shared" si="77"/>
        <v>0</v>
      </c>
      <c r="K88" s="116">
        <f t="shared" si="77"/>
        <v>0</v>
      </c>
      <c r="L88" s="116">
        <f t="shared" si="77"/>
        <v>0</v>
      </c>
      <c r="M88" s="116">
        <f t="shared" si="77"/>
        <v>0</v>
      </c>
      <c r="N88" s="179">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9">
        <f t="shared" si="77"/>
        <v>0</v>
      </c>
      <c r="Y88" s="174">
        <f t="shared" si="77"/>
        <v>0</v>
      </c>
      <c r="Z88" s="174">
        <f t="shared" si="77"/>
        <v>0</v>
      </c>
      <c r="AA88" s="174">
        <f t="shared" si="77"/>
        <v>0</v>
      </c>
      <c r="AB88" s="174">
        <f t="shared" si="77"/>
        <v>0</v>
      </c>
      <c r="AC88" s="174">
        <f t="shared" si="77"/>
        <v>0</v>
      </c>
      <c r="AD88" s="174">
        <f t="shared" si="77"/>
        <v>0</v>
      </c>
      <c r="AE88" s="174">
        <f t="shared" si="77"/>
        <v>0</v>
      </c>
      <c r="AF88" s="174">
        <f t="shared" si="77"/>
        <v>0</v>
      </c>
      <c r="AG88" s="174">
        <f t="shared" si="77"/>
        <v>0</v>
      </c>
      <c r="AH88" s="179">
        <f t="shared" si="77"/>
        <v>0</v>
      </c>
      <c r="AI88" s="128"/>
    </row>
    <row r="89" spans="1:35">
      <c r="A89" s="9" t="s">
        <v>51</v>
      </c>
      <c r="B89" s="37"/>
      <c r="C89" s="410">
        <f t="shared" ref="C89:AH89" si="78">C37/C$49</f>
        <v>2.7949367088607596E-2</v>
      </c>
      <c r="D89" s="336">
        <f t="shared" si="78"/>
        <v>3.2903640861913767E-2</v>
      </c>
      <c r="E89" s="336">
        <f t="shared" si="78"/>
        <v>3.8736103702723873E-2</v>
      </c>
      <c r="F89" s="336">
        <f t="shared" si="78"/>
        <v>4.5602422429944597E-2</v>
      </c>
      <c r="G89" s="336">
        <f t="shared" si="78"/>
        <v>5.3685857189939339E-2</v>
      </c>
      <c r="H89" s="409">
        <f t="shared" si="78"/>
        <v>3.5557793228650034E-2</v>
      </c>
      <c r="I89" s="116">
        <f t="shared" si="78"/>
        <v>4.1860728170641986E-2</v>
      </c>
      <c r="J89" s="116">
        <f t="shared" si="78"/>
        <v>4.9280914361256804E-2</v>
      </c>
      <c r="K89" s="116">
        <f t="shared" si="78"/>
        <v>5.8016394516155916E-2</v>
      </c>
      <c r="L89" s="116">
        <f t="shared" si="78"/>
        <v>6.83003161828592E-2</v>
      </c>
      <c r="M89" s="116">
        <f t="shared" si="78"/>
        <v>8.0407154384257482E-2</v>
      </c>
      <c r="N89" s="179">
        <f t="shared" si="78"/>
        <v>9.4660037281004042E-2</v>
      </c>
      <c r="O89" s="116">
        <f t="shared" si="78"/>
        <v>0.1003108402952821</v>
      </c>
      <c r="P89" s="116">
        <f t="shared" si="78"/>
        <v>0.1062989722988926</v>
      </c>
      <c r="Q89" s="116">
        <f t="shared" si="78"/>
        <v>0.11264457040274818</v>
      </c>
      <c r="R89" s="116">
        <f t="shared" si="78"/>
        <v>0.11936897381793299</v>
      </c>
      <c r="S89" s="116">
        <f t="shared" si="78"/>
        <v>0.12649479561598773</v>
      </c>
      <c r="T89" s="116">
        <f t="shared" si="78"/>
        <v>0.13404599877297982</v>
      </c>
      <c r="U89" s="116">
        <f t="shared" si="78"/>
        <v>0.1420479767530822</v>
      </c>
      <c r="V89" s="116">
        <f t="shared" si="78"/>
        <v>0.15052763890265006</v>
      </c>
      <c r="W89" s="116">
        <f t="shared" si="78"/>
        <v>0.15951350094196223</v>
      </c>
      <c r="X89" s="179">
        <f t="shared" si="78"/>
        <v>0.16903578085893578</v>
      </c>
      <c r="Y89" s="174">
        <f t="shared" si="78"/>
        <v>0.17214593377326531</v>
      </c>
      <c r="Z89" s="174">
        <f t="shared" si="78"/>
        <v>0.17531331156094035</v>
      </c>
      <c r="AA89" s="174">
        <f t="shared" si="78"/>
        <v>0.17853896712393055</v>
      </c>
      <c r="AB89" s="174">
        <f t="shared" si="78"/>
        <v>0.18182397273694495</v>
      </c>
      <c r="AC89" s="174">
        <f t="shared" si="78"/>
        <v>0.18516942040387829</v>
      </c>
      <c r="AD89" s="174">
        <f t="shared" si="78"/>
        <v>0.18857642222081572</v>
      </c>
      <c r="AE89" s="174">
        <f t="shared" si="78"/>
        <v>0.19204611074571656</v>
      </c>
      <c r="AF89" s="174">
        <f t="shared" si="78"/>
        <v>0.19557963937490008</v>
      </c>
      <c r="AG89" s="174">
        <f t="shared" si="78"/>
        <v>0.19917818272645824</v>
      </c>
      <c r="AH89" s="179">
        <f t="shared" si="78"/>
        <v>0.20284293703072293</v>
      </c>
      <c r="AI89" s="128"/>
    </row>
    <row r="90" spans="1:35" s="252" customFormat="1">
      <c r="A90" s="10" t="s">
        <v>347</v>
      </c>
      <c r="B90" s="37"/>
      <c r="C90" s="410">
        <f t="shared" ref="C90:AH90" si="79">C38/C$49</f>
        <v>0</v>
      </c>
      <c r="D90" s="336">
        <f t="shared" si="79"/>
        <v>6.7891299999999996E-4</v>
      </c>
      <c r="E90" s="336">
        <f t="shared" si="79"/>
        <v>1.6293827714934049E-3</v>
      </c>
      <c r="F90" s="336">
        <f t="shared" si="79"/>
        <v>1.6330920933754114E-3</v>
      </c>
      <c r="G90" s="336">
        <f t="shared" si="79"/>
        <v>2.7463856928857306E-3</v>
      </c>
      <c r="H90" s="409">
        <f t="shared" si="79"/>
        <v>3.9223150006607466E-3</v>
      </c>
      <c r="I90" s="396">
        <f t="shared" si="79"/>
        <v>5.5173903900286861E-3</v>
      </c>
      <c r="J90" s="396">
        <f t="shared" si="79"/>
        <v>7.5910888140563078E-3</v>
      </c>
      <c r="K90" s="396">
        <f t="shared" si="79"/>
        <v>1.00510605397346E-2</v>
      </c>
      <c r="L90" s="396">
        <f t="shared" si="79"/>
        <v>1.3754190299559304E-2</v>
      </c>
      <c r="M90" s="396">
        <f t="shared" si="79"/>
        <v>1.8821670613625264E-2</v>
      </c>
      <c r="N90" s="397">
        <f t="shared" si="79"/>
        <v>2.5756171535532384E-2</v>
      </c>
      <c r="O90" s="396">
        <f t="shared" si="79"/>
        <v>2.7293705810077347E-2</v>
      </c>
      <c r="P90" s="396">
        <f t="shared" si="79"/>
        <v>2.8923024364057606E-2</v>
      </c>
      <c r="Q90" s="396">
        <f t="shared" si="79"/>
        <v>3.0649606329932789E-2</v>
      </c>
      <c r="R90" s="396">
        <f t="shared" si="79"/>
        <v>3.247925792114735E-2</v>
      </c>
      <c r="S90" s="396">
        <f t="shared" si="79"/>
        <v>3.4418131957479087E-2</v>
      </c>
      <c r="T90" s="396">
        <f t="shared" si="79"/>
        <v>3.6472748555968125E-2</v>
      </c>
      <c r="U90" s="396">
        <f t="shared" si="79"/>
        <v>3.8650017057006721E-2</v>
      </c>
      <c r="V90" s="396">
        <f t="shared" si="79"/>
        <v>4.0957259259323697E-2</v>
      </c>
      <c r="W90" s="396">
        <f t="shared" si="79"/>
        <v>4.3402234041998937E-2</v>
      </c>
      <c r="X90" s="397">
        <f t="shared" si="79"/>
        <v>4.5993163456307828E-2</v>
      </c>
      <c r="Y90" s="396">
        <f t="shared" si="79"/>
        <v>4.6839408970932007E-2</v>
      </c>
      <c r="Z90" s="396">
        <f t="shared" si="79"/>
        <v>4.7701224875092485E-2</v>
      </c>
      <c r="AA90" s="396">
        <f t="shared" si="79"/>
        <v>4.85788976542431E-2</v>
      </c>
      <c r="AB90" s="396">
        <f t="shared" si="79"/>
        <v>4.9472719064991316E-2</v>
      </c>
      <c r="AC90" s="396">
        <f t="shared" si="79"/>
        <v>5.0382986232084148E-2</v>
      </c>
      <c r="AD90" s="396">
        <f t="shared" si="79"/>
        <v>5.1310001747178612E-2</v>
      </c>
      <c r="AE90" s="396">
        <f t="shared" si="79"/>
        <v>5.2254073769429421E-2</v>
      </c>
      <c r="AF90" s="396">
        <f t="shared" si="79"/>
        <v>5.3215516127927506E-2</v>
      </c>
      <c r="AG90" s="396">
        <f t="shared" si="79"/>
        <v>5.4194648426023277E-2</v>
      </c>
      <c r="AH90" s="397">
        <f t="shared" si="79"/>
        <v>5.5191796147569396E-2</v>
      </c>
      <c r="AI90" s="292"/>
    </row>
    <row r="91" spans="1:35" s="252" customFormat="1">
      <c r="A91" s="10" t="s">
        <v>348</v>
      </c>
      <c r="B91" s="37"/>
      <c r="C91" s="410">
        <f t="shared" ref="C91:AH91" si="80">C39/C$49</f>
        <v>0</v>
      </c>
      <c r="D91" s="336">
        <f t="shared" si="80"/>
        <v>0</v>
      </c>
      <c r="E91" s="336">
        <f t="shared" si="80"/>
        <v>2.5907714934048734E-6</v>
      </c>
      <c r="F91" s="336">
        <f t="shared" si="80"/>
        <v>2.7460933754113993E-6</v>
      </c>
      <c r="G91" s="336">
        <f t="shared" si="80"/>
        <v>2.7936928857301678E-6</v>
      </c>
      <c r="H91" s="409">
        <f t="shared" si="80"/>
        <v>2.7140006607467036E-6</v>
      </c>
      <c r="I91" s="396">
        <f t="shared" si="80"/>
        <v>3.1951191815416074E-6</v>
      </c>
      <c r="J91" s="396">
        <f t="shared" si="80"/>
        <v>3.7615269339862154E-6</v>
      </c>
      <c r="K91" s="396">
        <f t="shared" si="80"/>
        <v>4.4283433797536691E-6</v>
      </c>
      <c r="L91" s="396">
        <f t="shared" si="80"/>
        <v>5.2133682499586781E-6</v>
      </c>
      <c r="M91" s="396">
        <f t="shared" si="80"/>
        <v>6.1375566840503412E-6</v>
      </c>
      <c r="N91" s="397">
        <f t="shared" si="80"/>
        <v>7.2255785979111644E-6</v>
      </c>
      <c r="O91" s="396">
        <f t="shared" si="80"/>
        <v>7.6569150149862207E-6</v>
      </c>
      <c r="P91" s="396">
        <f t="shared" si="80"/>
        <v>8.114000387964809E-6</v>
      </c>
      <c r="Q91" s="396">
        <f t="shared" si="80"/>
        <v>8.5983718203788308E-6</v>
      </c>
      <c r="R91" s="396">
        <f t="shared" si="80"/>
        <v>9.111658174326109E-6</v>
      </c>
      <c r="S91" s="396">
        <f t="shared" si="80"/>
        <v>9.6555855480678626E-6</v>
      </c>
      <c r="T91" s="396">
        <f t="shared" si="80"/>
        <v>1.0231983080615534E-5</v>
      </c>
      <c r="U91" s="396">
        <f t="shared" si="80"/>
        <v>1.0842789102826841E-5</v>
      </c>
      <c r="V91" s="396">
        <f t="shared" si="80"/>
        <v>1.1490057655696198E-5</v>
      </c>
      <c r="W91" s="396">
        <f t="shared" si="80"/>
        <v>1.2175965397759448E-5</v>
      </c>
      <c r="X91" s="397">
        <f t="shared" si="80"/>
        <v>1.2902818924841365E-5</v>
      </c>
      <c r="Y91" s="396">
        <f t="shared" si="80"/>
        <v>1.3140222743596465E-5</v>
      </c>
      <c r="Z91" s="396">
        <f t="shared" si="80"/>
        <v>1.3381994644511578E-5</v>
      </c>
      <c r="AA91" s="396">
        <f t="shared" si="80"/>
        <v>1.3628214997573414E-5</v>
      </c>
      <c r="AB91" s="396">
        <f t="shared" si="80"/>
        <v>1.3878965651526281E-5</v>
      </c>
      <c r="AC91" s="396">
        <f t="shared" si="80"/>
        <v>1.4134329961080344E-5</v>
      </c>
      <c r="AD91" s="396">
        <f t="shared" si="80"/>
        <v>1.4394392814620417E-5</v>
      </c>
      <c r="AE91" s="396">
        <f t="shared" si="80"/>
        <v>1.4659240662424642E-5</v>
      </c>
      <c r="AF91" s="396">
        <f t="shared" si="80"/>
        <v>1.4928961545402342E-5</v>
      </c>
      <c r="AG91" s="396">
        <f t="shared" si="80"/>
        <v>1.5203645124360662E-5</v>
      </c>
      <c r="AH91" s="397">
        <f t="shared" si="80"/>
        <v>1.5483382709809638E-5</v>
      </c>
      <c r="AI91" s="292"/>
    </row>
    <row r="92" spans="1:35">
      <c r="A92" s="9" t="s">
        <v>344</v>
      </c>
      <c r="B92" s="37"/>
      <c r="C92" s="410">
        <f t="shared" ref="C92:AH92" si="81">C40/C$49</f>
        <v>2.5316455696202533E-7</v>
      </c>
      <c r="D92" s="336">
        <f t="shared" si="81"/>
        <v>2.9804374911732686E-7</v>
      </c>
      <c r="E92" s="336">
        <f t="shared" si="81"/>
        <v>3.5087880173225265E-7</v>
      </c>
      <c r="F92" s="336">
        <f t="shared" si="81"/>
        <v>4.1308007253859928E-7</v>
      </c>
      <c r="G92" s="336">
        <f t="shared" si="81"/>
        <v>4.8630793734499271E-7</v>
      </c>
      <c r="H92" s="409">
        <f t="shared" si="81"/>
        <v>2.7140006607467033E-7</v>
      </c>
      <c r="I92" s="116">
        <f t="shared" si="81"/>
        <v>3.1951191815416063E-7</v>
      </c>
      <c r="J92" s="116">
        <f t="shared" si="81"/>
        <v>3.7615269339862135E-7</v>
      </c>
      <c r="K92" s="116">
        <f t="shared" si="81"/>
        <v>4.4283433797536666E-7</v>
      </c>
      <c r="L92" s="116">
        <f t="shared" si="81"/>
        <v>5.2133682499586738E-7</v>
      </c>
      <c r="M92" s="116">
        <f t="shared" si="81"/>
        <v>6.1375566840503355E-7</v>
      </c>
      <c r="N92" s="179">
        <f t="shared" si="81"/>
        <v>7.2255785979111617E-7</v>
      </c>
      <c r="O92" s="116">
        <f t="shared" si="81"/>
        <v>7.656915014986211E-7</v>
      </c>
      <c r="P92" s="116">
        <f t="shared" si="81"/>
        <v>8.1140003879647991E-7</v>
      </c>
      <c r="Q92" s="116">
        <f t="shared" si="81"/>
        <v>8.5983718203788196E-7</v>
      </c>
      <c r="R92" s="116">
        <f t="shared" si="81"/>
        <v>9.1116581743260984E-7</v>
      </c>
      <c r="S92" s="116">
        <f t="shared" si="81"/>
        <v>9.6555855480678524E-7</v>
      </c>
      <c r="T92" s="116">
        <f t="shared" si="81"/>
        <v>1.0231983080615524E-6</v>
      </c>
      <c r="U92" s="116">
        <f t="shared" si="81"/>
        <v>1.0842789102826831E-6</v>
      </c>
      <c r="V92" s="116">
        <f t="shared" si="81"/>
        <v>1.1490057655696188E-6</v>
      </c>
      <c r="W92" s="116">
        <f t="shared" si="81"/>
        <v>1.2175965397759436E-6</v>
      </c>
      <c r="X92" s="179">
        <f t="shared" si="81"/>
        <v>1.290281892484136E-6</v>
      </c>
      <c r="Y92" s="174">
        <f t="shared" si="81"/>
        <v>1.3140222743596459E-6</v>
      </c>
      <c r="Z92" s="174">
        <f t="shared" si="81"/>
        <v>1.3381994644511574E-6</v>
      </c>
      <c r="AA92" s="174">
        <f t="shared" si="81"/>
        <v>1.3628214997573407E-6</v>
      </c>
      <c r="AB92" s="174">
        <f t="shared" si="81"/>
        <v>1.3878965651526277E-6</v>
      </c>
      <c r="AC92" s="174">
        <f t="shared" si="81"/>
        <v>1.4134329961080339E-6</v>
      </c>
      <c r="AD92" s="174">
        <f t="shared" si="81"/>
        <v>1.439439281462041E-6</v>
      </c>
      <c r="AE92" s="174">
        <f t="shared" si="81"/>
        <v>1.4659240662424635E-6</v>
      </c>
      <c r="AF92" s="174">
        <f t="shared" si="81"/>
        <v>1.4928961545402338E-6</v>
      </c>
      <c r="AG92" s="174">
        <f t="shared" si="81"/>
        <v>1.5203645124360656E-6</v>
      </c>
      <c r="AH92" s="179">
        <f t="shared" si="81"/>
        <v>1.5483382709809632E-6</v>
      </c>
      <c r="AI92" s="128"/>
    </row>
    <row r="93" spans="1:35">
      <c r="A93" s="9" t="s">
        <v>120</v>
      </c>
      <c r="B93" s="37"/>
      <c r="C93" s="410">
        <f t="shared" ref="C93:AH93" si="82">C41/C$49</f>
        <v>0</v>
      </c>
      <c r="D93" s="336">
        <f t="shared" si="82"/>
        <v>0</v>
      </c>
      <c r="E93" s="336">
        <f t="shared" si="82"/>
        <v>0</v>
      </c>
      <c r="F93" s="336">
        <f t="shared" si="82"/>
        <v>0</v>
      </c>
      <c r="G93" s="336">
        <f t="shared" si="82"/>
        <v>0</v>
      </c>
      <c r="H93" s="409">
        <f t="shared" si="82"/>
        <v>2.7140006607467036E-5</v>
      </c>
      <c r="I93" s="116">
        <f t="shared" si="82"/>
        <v>5.3467800573735371E-5</v>
      </c>
      <c r="J93" s="116">
        <f t="shared" si="82"/>
        <v>8.1654421689212833E-5</v>
      </c>
      <c r="K93" s="116">
        <f t="shared" si="82"/>
        <v>1.0447164773823854E-4</v>
      </c>
      <c r="L93" s="116">
        <f t="shared" si="82"/>
        <v>1.2659781847415176E-4</v>
      </c>
      <c r="M93" s="116">
        <f t="shared" si="82"/>
        <v>1.5061577090458438E-4</v>
      </c>
      <c r="N93" s="179">
        <f t="shared" si="82"/>
        <v>1.7781316620972998E-4</v>
      </c>
      <c r="O93" s="116">
        <f t="shared" si="82"/>
        <v>2.0437090536956656E-4</v>
      </c>
      <c r="P93" s="116">
        <f t="shared" si="82"/>
        <v>2.3431364693280048E-4</v>
      </c>
      <c r="Q93" s="116">
        <f t="shared" si="82"/>
        <v>2.636988524513353E-4</v>
      </c>
      <c r="R93" s="116">
        <f t="shared" si="82"/>
        <v>2.916281474982726E-4</v>
      </c>
      <c r="S93" s="116">
        <f t="shared" si="82"/>
        <v>3.1870485468994426E-4</v>
      </c>
      <c r="T93" s="116">
        <f t="shared" si="82"/>
        <v>3.523174448106023E-4</v>
      </c>
      <c r="U93" s="116">
        <f t="shared" si="82"/>
        <v>3.7417434861935106E-4</v>
      </c>
      <c r="V93" s="116">
        <f t="shared" si="82"/>
        <v>3.9534159190857842E-4</v>
      </c>
      <c r="W93" s="116">
        <f t="shared" si="82"/>
        <v>4.3018536238529265E-4</v>
      </c>
      <c r="X93" s="179">
        <f t="shared" si="82"/>
        <v>4.519860171559077E-4</v>
      </c>
      <c r="Y93" s="174">
        <f t="shared" si="82"/>
        <v>4.7432693383288473E-4</v>
      </c>
      <c r="Z93" s="174">
        <f t="shared" si="82"/>
        <v>4.9831504379713447E-4</v>
      </c>
      <c r="AA93" s="174">
        <f t="shared" si="82"/>
        <v>5.1560387864879815E-4</v>
      </c>
      <c r="AB93" s="174">
        <f t="shared" si="82"/>
        <v>5.3725353964911534E-4</v>
      </c>
      <c r="AC93" s="174">
        <f t="shared" si="82"/>
        <v>5.6798261264259212E-4</v>
      </c>
      <c r="AD93" s="174">
        <f t="shared" si="82"/>
        <v>5.8738588805515735E-4</v>
      </c>
      <c r="AE93" s="174">
        <f t="shared" si="82"/>
        <v>6.1536768994476627E-4</v>
      </c>
      <c r="AF93" s="174">
        <f t="shared" si="82"/>
        <v>6.4303575697001415E-4</v>
      </c>
      <c r="AG93" s="174">
        <f t="shared" si="82"/>
        <v>6.7371688268895273E-4</v>
      </c>
      <c r="AH93" s="179">
        <f t="shared" si="82"/>
        <v>7.1361028568217957E-4</v>
      </c>
      <c r="AI93" s="128"/>
    </row>
    <row r="94" spans="1:35">
      <c r="A94" s="9" t="s">
        <v>53</v>
      </c>
      <c r="B94" s="37"/>
      <c r="C94" s="410">
        <f t="shared" ref="C94:AH94" si="83">C42/C$49</f>
        <v>1.518987341772152E-4</v>
      </c>
      <c r="D94" s="336">
        <f t="shared" si="83"/>
        <v>5.0993208631759494E-4</v>
      </c>
      <c r="E94" s="336">
        <f t="shared" si="83"/>
        <v>3.4931362005680155E-4</v>
      </c>
      <c r="F94" s="336">
        <f t="shared" si="83"/>
        <v>5.520031380189858E-4</v>
      </c>
      <c r="G94" s="336">
        <f t="shared" si="83"/>
        <v>9.3268556010699685E-4</v>
      </c>
      <c r="H94" s="409">
        <f t="shared" si="83"/>
        <v>9.1951053517098566E-4</v>
      </c>
      <c r="I94" s="116">
        <f t="shared" si="83"/>
        <v>2.2389976531814681E-3</v>
      </c>
      <c r="J94" s="116">
        <f t="shared" si="83"/>
        <v>3.1961602444381507E-3</v>
      </c>
      <c r="K94" s="116">
        <f t="shared" si="83"/>
        <v>3.0668940151998515E-3</v>
      </c>
      <c r="L94" s="116">
        <f t="shared" si="83"/>
        <v>4.0450688916283161E-3</v>
      </c>
      <c r="M94" s="116">
        <f t="shared" si="83"/>
        <v>5.8582543777983137E-3</v>
      </c>
      <c r="N94" s="179">
        <f t="shared" si="83"/>
        <v>8.4841927973143012E-3</v>
      </c>
      <c r="O94" s="116">
        <f t="shared" si="83"/>
        <v>8.9906631475261817E-3</v>
      </c>
      <c r="P94" s="116">
        <f t="shared" si="83"/>
        <v>9.5273676309987933E-3</v>
      </c>
      <c r="Q94" s="116">
        <f t="shared" si="83"/>
        <v>1.009611109734208E-2</v>
      </c>
      <c r="R94" s="116">
        <f t="shared" si="83"/>
        <v>1.0698806138037942E-2</v>
      </c>
      <c r="S94" s="116">
        <f t="shared" si="83"/>
        <v>1.1337479518173335E-2</v>
      </c>
      <c r="T94" s="116">
        <f t="shared" si="83"/>
        <v>1.2014278992120571E-2</v>
      </c>
      <c r="U94" s="116">
        <f t="shared" si="83"/>
        <v>1.2731480526084853E-2</v>
      </c>
      <c r="V94" s="116">
        <f t="shared" si="83"/>
        <v>1.3491495951807273E-2</v>
      </c>
      <c r="W94" s="116">
        <f t="shared" si="83"/>
        <v>1.4296881077161448E-2</v>
      </c>
      <c r="X94" s="179">
        <f t="shared" si="83"/>
        <v>1.5150344280918394E-2</v>
      </c>
      <c r="Y94" s="174">
        <f t="shared" si="83"/>
        <v>1.5429101164099929E-2</v>
      </c>
      <c r="Z94" s="174">
        <f t="shared" si="83"/>
        <v>1.5712987000028694E-2</v>
      </c>
      <c r="AA94" s="174">
        <f t="shared" si="83"/>
        <v>1.6002096158235522E-2</v>
      </c>
      <c r="AB94" s="174">
        <f t="shared" si="83"/>
        <v>1.6296524744591749E-2</v>
      </c>
      <c r="AC94" s="174">
        <f t="shared" si="83"/>
        <v>1.659637063325678E-2</v>
      </c>
      <c r="AD94" s="174">
        <f t="shared" si="83"/>
        <v>1.6901733499213499E-2</v>
      </c>
      <c r="AE94" s="174">
        <f t="shared" si="83"/>
        <v>1.7212714851402289E-2</v>
      </c>
      <c r="AF94" s="174">
        <f t="shared" si="83"/>
        <v>1.752941806646471E-2</v>
      </c>
      <c r="AG94" s="174">
        <f t="shared" si="83"/>
        <v>1.7851948423108038E-2</v>
      </c>
      <c r="AH94" s="179">
        <f t="shared" si="83"/>
        <v>1.8180413137102076E-2</v>
      </c>
      <c r="AI94" s="128"/>
    </row>
    <row r="95" spans="1:35" s="378" customFormat="1">
      <c r="A95" s="373" t="s">
        <v>540</v>
      </c>
      <c r="B95" s="374"/>
      <c r="C95" s="375">
        <f>SUM(C86:C94)</f>
        <v>3.1012911392405064E-2</v>
      </c>
      <c r="D95" s="375">
        <f>SUM(D86:D94)</f>
        <v>3.7757832532046454E-2</v>
      </c>
      <c r="E95" s="375">
        <f>SUM(E86:E94)</f>
        <v>4.5331541237126148E-2</v>
      </c>
      <c r="F95" s="375">
        <f>SUM(F86:F94)</f>
        <v>5.3598825219363877E-2</v>
      </c>
      <c r="G95" s="375">
        <f t="shared" ref="G95:AH95" si="84">SUM(G86:G94)</f>
        <v>6.4679880247370397E-2</v>
      </c>
      <c r="H95" s="375">
        <f t="shared" si="84"/>
        <v>4.3216649718947495E-2</v>
      </c>
      <c r="I95" s="375">
        <f t="shared" si="84"/>
        <v>5.3182435099603582E-2</v>
      </c>
      <c r="J95" s="375">
        <f t="shared" si="84"/>
        <v>6.4570475732053212E-2</v>
      </c>
      <c r="K95" s="375">
        <f t="shared" si="84"/>
        <v>7.6803492397256534E-2</v>
      </c>
      <c r="L95" s="375">
        <f t="shared" si="84"/>
        <v>9.3230943366925764E-2</v>
      </c>
      <c r="M95" s="375">
        <f t="shared" si="84"/>
        <v>0.11405528373532618</v>
      </c>
      <c r="N95" s="376">
        <f t="shared" si="84"/>
        <v>0.14017781316620975</v>
      </c>
      <c r="O95" s="375">
        <f t="shared" si="84"/>
        <v>0.14856177752301608</v>
      </c>
      <c r="P95" s="375">
        <f t="shared" si="84"/>
        <v>0.15744802863488777</v>
      </c>
      <c r="Q95" s="375">
        <f t="shared" si="84"/>
        <v>0.1668624062834429</v>
      </c>
      <c r="R95" s="375">
        <f t="shared" si="84"/>
        <v>0.1768355722925978</v>
      </c>
      <c r="S95" s="375">
        <f t="shared" si="84"/>
        <v>0.1874015741933871</v>
      </c>
      <c r="T95" s="375">
        <f t="shared" si="84"/>
        <v>0.1986032411425043</v>
      </c>
      <c r="U95" s="375">
        <f t="shared" si="84"/>
        <v>0.21045983791535328</v>
      </c>
      <c r="V95" s="375">
        <f t="shared" si="84"/>
        <v>0.22302222883696582</v>
      </c>
      <c r="W95" s="375">
        <f t="shared" si="84"/>
        <v>0.23634695418407028</v>
      </c>
      <c r="X95" s="376">
        <f t="shared" si="84"/>
        <v>0.25045198601715596</v>
      </c>
      <c r="Y95" s="375">
        <f t="shared" si="84"/>
        <v>0.25507417097058893</v>
      </c>
      <c r="Z95" s="375">
        <f t="shared" si="84"/>
        <v>0.2597826373779592</v>
      </c>
      <c r="AA95" s="375">
        <f t="shared" si="84"/>
        <v>0.26457059598846339</v>
      </c>
      <c r="AB95" s="375">
        <f t="shared" si="84"/>
        <v>0.26945069277279177</v>
      </c>
      <c r="AC95" s="375">
        <f t="shared" si="84"/>
        <v>0.27442926136522572</v>
      </c>
      <c r="AD95" s="375">
        <f t="shared" si="84"/>
        <v>0.27948754132051212</v>
      </c>
      <c r="AE95" s="375">
        <f t="shared" si="84"/>
        <v>0.28464711198966702</v>
      </c>
      <c r="AF95" s="375">
        <f t="shared" si="84"/>
        <v>0.28990078695775828</v>
      </c>
      <c r="AG95" s="375">
        <f t="shared" si="84"/>
        <v>0.29525363025126294</v>
      </c>
      <c r="AH95" s="376">
        <f t="shared" si="84"/>
        <v>0.30071361028568216</v>
      </c>
      <c r="AI95" s="377"/>
    </row>
    <row r="96" spans="1:35">
      <c r="A96" s="10" t="s">
        <v>543</v>
      </c>
      <c r="B96" s="37"/>
      <c r="C96" s="332"/>
      <c r="D96" s="332">
        <f>D95/C95-1</f>
        <v>0.21748751848216341</v>
      </c>
      <c r="E96" s="332">
        <f t="shared" ref="E96:O96" si="85">E95/D95-1</f>
        <v>0.20058642663483428</v>
      </c>
      <c r="F96" s="332">
        <f t="shared" si="85"/>
        <v>0.1823737679465196</v>
      </c>
      <c r="G96" s="332">
        <f t="shared" si="85"/>
        <v>0.20674063251675934</v>
      </c>
      <c r="H96" s="284"/>
      <c r="I96" s="165">
        <f t="shared" si="85"/>
        <v>0.23060060058951737</v>
      </c>
      <c r="J96" s="165">
        <f t="shared" si="85"/>
        <v>0.21413161340057774</v>
      </c>
      <c r="K96" s="165">
        <f t="shared" si="85"/>
        <v>0.18945216875846516</v>
      </c>
      <c r="L96" s="165">
        <f t="shared" si="85"/>
        <v>0.21388937477869208</v>
      </c>
      <c r="M96" s="165">
        <f t="shared" si="85"/>
        <v>0.22336296959307589</v>
      </c>
      <c r="N96" s="165">
        <f t="shared" si="85"/>
        <v>0.22903392613973805</v>
      </c>
      <c r="O96" s="173">
        <f t="shared" si="85"/>
        <v>5.9809496006799634E-2</v>
      </c>
      <c r="P96" s="173">
        <f t="shared" ref="P96:AH96" si="86">P95/O95-1</f>
        <v>5.9815191094458875E-2</v>
      </c>
      <c r="Q96" s="173">
        <f t="shared" si="86"/>
        <v>5.9793556833833028E-2</v>
      </c>
      <c r="R96" s="173">
        <f t="shared" si="86"/>
        <v>5.9768801321334442E-2</v>
      </c>
      <c r="S96" s="173">
        <f t="shared" si="86"/>
        <v>5.9750432358182115E-2</v>
      </c>
      <c r="T96" s="173">
        <f t="shared" si="86"/>
        <v>5.9773601141459798E-2</v>
      </c>
      <c r="U96" s="173">
        <f t="shared" si="86"/>
        <v>5.9699915795137892E-2</v>
      </c>
      <c r="V96" s="173">
        <f t="shared" si="86"/>
        <v>5.9690205247925343E-2</v>
      </c>
      <c r="W96" s="173">
        <f t="shared" si="86"/>
        <v>5.9746176049765509E-2</v>
      </c>
      <c r="X96" s="186">
        <f t="shared" si="86"/>
        <v>5.9679346754350382E-2</v>
      </c>
      <c r="Y96" s="173">
        <f t="shared" si="86"/>
        <v>1.8455373530622987E-2</v>
      </c>
      <c r="Z96" s="173">
        <f t="shared" si="86"/>
        <v>1.845920498125686E-2</v>
      </c>
      <c r="AA96" s="173">
        <f t="shared" si="86"/>
        <v>1.8430633620591719E-2</v>
      </c>
      <c r="AB96" s="173">
        <f t="shared" si="86"/>
        <v>1.8445348267428718E-2</v>
      </c>
      <c r="AC96" s="173">
        <f t="shared" si="86"/>
        <v>1.8476733316963534E-2</v>
      </c>
      <c r="AD96" s="173">
        <f t="shared" si="86"/>
        <v>1.8431999306934621E-2</v>
      </c>
      <c r="AE96" s="173">
        <f t="shared" si="86"/>
        <v>1.8460825283220794E-2</v>
      </c>
      <c r="AF96" s="173">
        <f t="shared" si="86"/>
        <v>1.8456800532309581E-2</v>
      </c>
      <c r="AG96" s="173">
        <f t="shared" si="86"/>
        <v>1.8464397250099962E-2</v>
      </c>
      <c r="AH96" s="186">
        <f t="shared" si="86"/>
        <v>1.8492507712005946E-2</v>
      </c>
      <c r="AI96" s="128"/>
    </row>
    <row r="97" spans="1:36">
      <c r="A97" s="10"/>
      <c r="B97" s="37"/>
      <c r="C97" s="332"/>
      <c r="D97" s="332"/>
      <c r="E97" s="332"/>
      <c r="F97" s="332"/>
      <c r="G97" s="332"/>
      <c r="H97" s="284"/>
      <c r="I97" s="165"/>
      <c r="J97" s="165"/>
      <c r="K97" s="165"/>
      <c r="L97" s="165"/>
      <c r="M97" s="165"/>
      <c r="N97" s="181"/>
      <c r="O97" s="165"/>
      <c r="P97" s="165"/>
      <c r="Q97" s="165"/>
      <c r="R97" s="165"/>
      <c r="S97" s="165"/>
      <c r="T97" s="165"/>
      <c r="U97" s="165"/>
      <c r="V97" s="165"/>
      <c r="W97" s="165"/>
      <c r="X97" s="186"/>
      <c r="AI97" s="128"/>
    </row>
    <row r="98" spans="1:36">
      <c r="A98" s="10"/>
      <c r="B98" s="37"/>
      <c r="C98" s="332"/>
      <c r="D98" s="332"/>
      <c r="E98" s="332"/>
      <c r="F98" s="332"/>
      <c r="G98" s="332"/>
      <c r="H98" s="284"/>
      <c r="I98" s="173"/>
      <c r="J98" s="173"/>
      <c r="K98" s="173"/>
      <c r="L98" s="173"/>
      <c r="M98" s="173"/>
      <c r="N98" s="186"/>
      <c r="O98" s="173"/>
      <c r="P98" s="173"/>
      <c r="Q98" s="173"/>
      <c r="R98" s="173"/>
      <c r="S98" s="173"/>
      <c r="T98" s="173"/>
      <c r="U98" s="173"/>
      <c r="V98" s="173"/>
      <c r="W98" s="173"/>
      <c r="X98" s="186"/>
      <c r="AI98" s="128"/>
    </row>
    <row r="99" spans="1:36">
      <c r="A99" s="1" t="s">
        <v>139</v>
      </c>
      <c r="C99" s="328">
        <v>2009</v>
      </c>
      <c r="D99" s="328">
        <v>2010</v>
      </c>
      <c r="E99" s="328">
        <v>2011</v>
      </c>
      <c r="F99" s="328">
        <v>2012</v>
      </c>
      <c r="G99" s="328">
        <v>2013</v>
      </c>
      <c r="H99" s="400">
        <v>2014</v>
      </c>
      <c r="I99" s="13">
        <v>2015</v>
      </c>
      <c r="J99" s="13">
        <v>2016</v>
      </c>
      <c r="K99" s="13">
        <v>2017</v>
      </c>
      <c r="L99" s="13">
        <v>2018</v>
      </c>
      <c r="M99" s="13">
        <v>2019</v>
      </c>
      <c r="N99" s="177">
        <v>2020</v>
      </c>
      <c r="O99" s="13">
        <v>2021</v>
      </c>
      <c r="P99" s="13">
        <v>2022</v>
      </c>
      <c r="Q99" s="13">
        <v>2023</v>
      </c>
      <c r="R99" s="13">
        <v>2024</v>
      </c>
      <c r="S99" s="13">
        <v>2025</v>
      </c>
      <c r="T99" s="13">
        <v>2026</v>
      </c>
      <c r="U99" s="13">
        <v>2027</v>
      </c>
      <c r="V99" s="13">
        <v>2028</v>
      </c>
      <c r="W99" s="13">
        <v>2029</v>
      </c>
      <c r="X99" s="177">
        <v>2030</v>
      </c>
      <c r="Y99" s="13">
        <v>2031</v>
      </c>
      <c r="Z99" s="13">
        <v>2032</v>
      </c>
      <c r="AA99" s="13">
        <v>2033</v>
      </c>
      <c r="AB99" s="13">
        <v>2034</v>
      </c>
      <c r="AC99" s="13">
        <v>2035</v>
      </c>
      <c r="AD99" s="13">
        <v>2036</v>
      </c>
      <c r="AE99" s="13">
        <v>2037</v>
      </c>
      <c r="AF99" s="13">
        <v>2038</v>
      </c>
      <c r="AG99" s="13">
        <v>2039</v>
      </c>
      <c r="AH99" s="177">
        <v>2040</v>
      </c>
      <c r="AI99" s="1"/>
    </row>
    <row r="100" spans="1:36">
      <c r="A100" s="10" t="s">
        <v>61</v>
      </c>
      <c r="B100" s="35">
        <v>0</v>
      </c>
      <c r="C100" s="331">
        <v>0</v>
      </c>
      <c r="D100" s="331">
        <f xml:space="preserve"> IF(D29*Inputs!$C44 &gt; 0, D29*Inputs!$C44, 0)</f>
        <v>0</v>
      </c>
      <c r="E100" s="331">
        <f xml:space="preserve"> IF(E29*Inputs!$C44 &gt; 0, E29*Inputs!$C44, 0)</f>
        <v>0</v>
      </c>
      <c r="F100" s="331">
        <f xml:space="preserve"> IF(F29*Inputs!$C44 &gt; 0, F29*Inputs!$C44, 0)</f>
        <v>0</v>
      </c>
      <c r="G100" s="331">
        <f xml:space="preserve"> IF(G29*Inputs!$C44 &gt; 0, G29*Inputs!$C44, 0)</f>
        <v>0</v>
      </c>
      <c r="H100" s="402">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3">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8">
        <f xml:space="preserve"> IF(X29*Inputs!$C44 &gt; 0, X29*Inputs!$C44, 0)</f>
        <v>0</v>
      </c>
    </row>
    <row r="101" spans="1:36">
      <c r="A101" s="10" t="s">
        <v>60</v>
      </c>
      <c r="B101" s="35">
        <v>0</v>
      </c>
      <c r="C101" s="331">
        <v>0</v>
      </c>
      <c r="D101" s="331">
        <f>D30*Inputs!$C47</f>
        <v>0</v>
      </c>
      <c r="E101" s="331">
        <f>E30*Inputs!$C47</f>
        <v>0</v>
      </c>
      <c r="F101" s="331">
        <f>F30*Inputs!$C47</f>
        <v>0</v>
      </c>
      <c r="G101" s="331">
        <f>G30*Inputs!$C47</f>
        <v>0</v>
      </c>
      <c r="H101" s="402">
        <f>H30*Inputs!$C47</f>
        <v>0</v>
      </c>
      <c r="I101" s="14">
        <f>I30*Inputs!$C47</f>
        <v>0</v>
      </c>
      <c r="J101" s="14">
        <f>J30*Inputs!$C47</f>
        <v>0</v>
      </c>
      <c r="K101" s="14">
        <f>K30*Inputs!$C47</f>
        <v>0</v>
      </c>
      <c r="L101" s="14">
        <f>L30*Inputs!$C47</f>
        <v>0</v>
      </c>
      <c r="M101" s="14">
        <f>M30*Inputs!$C47</f>
        <v>0</v>
      </c>
      <c r="N101" s="183">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8">
        <f>X30*Inputs!$C47</f>
        <v>0</v>
      </c>
    </row>
    <row r="102" spans="1:36">
      <c r="A102" s="10" t="s">
        <v>49</v>
      </c>
      <c r="B102" s="35">
        <v>0</v>
      </c>
      <c r="C102" s="331">
        <f>C31*Inputs!$C$48</f>
        <v>180.14849999999998</v>
      </c>
      <c r="D102" s="331">
        <f>D31*Inputs!$C$48</f>
        <v>193.89210403293478</v>
      </c>
      <c r="E102" s="331">
        <f>E31*Inputs!$C$48</f>
        <v>170.89984250617488</v>
      </c>
      <c r="F102" s="331">
        <f>F31*Inputs!$C$48</f>
        <v>158.81018039813335</v>
      </c>
      <c r="G102" s="331">
        <f>G31*Inputs!$C$48</f>
        <v>153.72224007857733</v>
      </c>
      <c r="H102" s="402">
        <f>H31*Inputs!$C$48</f>
        <v>143.51054968252558</v>
      </c>
      <c r="I102" s="14">
        <f>I31*Inputs!$C$48</f>
        <v>145.27792714000748</v>
      </c>
      <c r="J102" s="14">
        <f>J31*Inputs!$C$48</f>
        <v>142.28797005763013</v>
      </c>
      <c r="K102" s="14">
        <f>K31*Inputs!$C$48</f>
        <v>147.85953527056091</v>
      </c>
      <c r="L102" s="14">
        <f>L31*Inputs!$C$48</f>
        <v>152.08598057661132</v>
      </c>
      <c r="M102" s="14">
        <f>M31*Inputs!$C$48</f>
        <v>152.96083540221835</v>
      </c>
      <c r="N102" s="183">
        <f>N31*Inputs!$C$48</f>
        <v>150.72456217529862</v>
      </c>
      <c r="O102" s="14">
        <f>O31*Inputs!$C$48</f>
        <v>150.74386099264504</v>
      </c>
      <c r="P102" s="14">
        <f>P31*Inputs!$C$48</f>
        <v>148.77087876657509</v>
      </c>
      <c r="Q102" s="14">
        <f>Q31*Inputs!$C$48</f>
        <v>147.72523542483947</v>
      </c>
      <c r="R102" s="14">
        <f>R31*Inputs!$C$48</f>
        <v>147.77532078087737</v>
      </c>
      <c r="S102" s="14">
        <f>S31*Inputs!$C$48</f>
        <v>148.35183845618329</v>
      </c>
      <c r="T102" s="14">
        <f>T31*Inputs!$C$48</f>
        <v>146.20337436298473</v>
      </c>
      <c r="U102" s="14">
        <f>U31*Inputs!$C$48</f>
        <v>149.08581449101888</v>
      </c>
      <c r="V102" s="14">
        <f>V31*Inputs!$C$48</f>
        <v>152.02730269266897</v>
      </c>
      <c r="W102" s="14">
        <f>W31*Inputs!$C$48</f>
        <v>149.85606187151083</v>
      </c>
      <c r="X102" s="188">
        <f>X31*Inputs!$C$48</f>
        <v>152.37991923770105</v>
      </c>
      <c r="Y102" s="159">
        <f>Y31*Inputs!$C$48</f>
        <v>153.66683159330145</v>
      </c>
      <c r="Z102" s="159">
        <f>Z31*Inputs!$C$48</f>
        <v>154.31797326335797</v>
      </c>
      <c r="AA102" s="159">
        <f>AA31*Inputs!$C$48</f>
        <v>156.91415013141685</v>
      </c>
      <c r="AB102" s="159">
        <f>AB31*Inputs!$C$48</f>
        <v>158.04092713579573</v>
      </c>
      <c r="AC102" s="159">
        <f>AC31*Inputs!$C$48</f>
        <v>156.53027909297623</v>
      </c>
      <c r="AD102" s="159">
        <f>AD31*Inputs!$C$48</f>
        <v>158.15979648666743</v>
      </c>
      <c r="AE102" s="159">
        <f>AE31*Inputs!$C$48</f>
        <v>157.45239148476398</v>
      </c>
      <c r="AF102" s="159">
        <f>AF31*Inputs!$C$48</f>
        <v>156.87669233695371</v>
      </c>
      <c r="AG102" s="159">
        <f>AG31*Inputs!$C$48</f>
        <v>155.64320823635501</v>
      </c>
      <c r="AH102" s="188">
        <f>AH31*Inputs!$C$48</f>
        <v>152.51674475346607</v>
      </c>
    </row>
    <row r="103" spans="1:36">
      <c r="A103" s="10" t="s">
        <v>59</v>
      </c>
      <c r="B103" s="35">
        <v>0</v>
      </c>
      <c r="C103" s="331">
        <f>C32*Inputs!$C$53</f>
        <v>755.44</v>
      </c>
      <c r="D103" s="331">
        <f>D32*Inputs!$C$53</f>
        <v>817.95897881190706</v>
      </c>
      <c r="E103" s="331">
        <f>E32*Inputs!$C$53</f>
        <v>725.39933975611177</v>
      </c>
      <c r="F103" s="331">
        <f>F32*Inputs!$C$53</f>
        <v>678.33189806455471</v>
      </c>
      <c r="G103" s="331">
        <f>G32*Inputs!$C$53</f>
        <v>660.83911437289362</v>
      </c>
      <c r="H103" s="402">
        <f>H32*Inputs!$C$53</f>
        <v>751.92076917193185</v>
      </c>
      <c r="I103" s="14">
        <f>I32*Inputs!$C$53</f>
        <v>743.97926303331587</v>
      </c>
      <c r="J103" s="14">
        <f>J32*Inputs!$C$53</f>
        <v>711.7238658663299</v>
      </c>
      <c r="K103" s="14">
        <f>K32*Inputs!$C$53</f>
        <v>721.88515913119272</v>
      </c>
      <c r="L103" s="14">
        <f>L32*Inputs!$C$53</f>
        <v>724.20149193210523</v>
      </c>
      <c r="M103" s="14">
        <f>M32*Inputs!$C$53</f>
        <v>709.83795995572427</v>
      </c>
      <c r="N103" s="183">
        <f>N32*Inputs!$C$53</f>
        <v>681.09646917025827</v>
      </c>
      <c r="O103" s="14">
        <f>O32*Inputs!$C$53</f>
        <v>681.1836769628311</v>
      </c>
      <c r="P103" s="14">
        <f>P32*Inputs!$C$53</f>
        <v>672.26813454215369</v>
      </c>
      <c r="Q103" s="14">
        <f>Q32*Inputs!$C$53</f>
        <v>667.54306533120973</v>
      </c>
      <c r="R103" s="14">
        <f>R32*Inputs!$C$53</f>
        <v>667.76939180821012</v>
      </c>
      <c r="S103" s="14">
        <f>S32*Inputs!$C$53</f>
        <v>670.3745687441924</v>
      </c>
      <c r="T103" s="14">
        <f>T32*Inputs!$C$53</f>
        <v>660.66605616404161</v>
      </c>
      <c r="U103" s="14">
        <f>U32*Inputs!$C$53</f>
        <v>673.69127093637189</v>
      </c>
      <c r="V103" s="14">
        <f>V32*Inputs!$C$53</f>
        <v>686.98331305170939</v>
      </c>
      <c r="W103" s="14">
        <f>W32*Inputs!$C$53</f>
        <v>677.1718766430289</v>
      </c>
      <c r="X103" s="188">
        <f>X32*Inputs!$C$53</f>
        <v>688.57672211739953</v>
      </c>
      <c r="Y103" s="159">
        <f>Y32*Inputs!$C$53</f>
        <v>694.39204145806275</v>
      </c>
      <c r="Z103" s="159">
        <f>Z32*Inputs!$C$53</f>
        <v>697.33443044897797</v>
      </c>
      <c r="AA103" s="159">
        <f>AA32*Inputs!$C$53</f>
        <v>709.06607440041205</v>
      </c>
      <c r="AB103" s="159">
        <f>AB32*Inputs!$C$53</f>
        <v>714.15777165365819</v>
      </c>
      <c r="AC103" s="159">
        <f>AC32*Inputs!$C$53</f>
        <v>707.33143204932298</v>
      </c>
      <c r="AD103" s="159">
        <f>AD32*Inputs!$C$53</f>
        <v>714.69492030416882</v>
      </c>
      <c r="AE103" s="159">
        <f>AE32*Inputs!$C$53</f>
        <v>711.49828770417184</v>
      </c>
      <c r="AF103" s="159">
        <f>AF32*Inputs!$C$53</f>
        <v>708.89680954282301</v>
      </c>
      <c r="AG103" s="159">
        <f>AG32*Inputs!$C$53</f>
        <v>703.32292262239957</v>
      </c>
      <c r="AH103" s="188">
        <f>AH32*Inputs!$C$53</f>
        <v>689.19501136193264</v>
      </c>
    </row>
    <row r="104" spans="1:36">
      <c r="A104" s="10" t="s">
        <v>121</v>
      </c>
      <c r="B104" s="35">
        <v>1</v>
      </c>
      <c r="C104" s="331">
        <f>C34*Inputs!$C$46</f>
        <v>24.15</v>
      </c>
      <c r="D104" s="331">
        <f>D34*Inputs!$C$46</f>
        <v>33.205449724453885</v>
      </c>
      <c r="E104" s="331">
        <f>E34*Inputs!$C$46</f>
        <v>37.39804517295191</v>
      </c>
      <c r="F104" s="331">
        <f>F34*Inputs!$C$46</f>
        <v>44.416230404862333</v>
      </c>
      <c r="G104" s="331">
        <f>G34*Inputs!$C$46</f>
        <v>54.961341190945831</v>
      </c>
      <c r="H104" s="402">
        <f>H34*Inputs!$C$46</f>
        <v>21.564112837425924</v>
      </c>
      <c r="I104" s="14">
        <f>I34*Inputs!$C$46</f>
        <v>27.558666990000805</v>
      </c>
      <c r="J104" s="14">
        <f>J34*Inputs!$C$46</f>
        <v>34.075407985709212</v>
      </c>
      <c r="K104" s="14">
        <f>K34*Inputs!$C$46</f>
        <v>44.703347957725164</v>
      </c>
      <c r="L104" s="14">
        <f>L34*Inputs!$C$46</f>
        <v>58.049872670136587</v>
      </c>
      <c r="M104" s="14">
        <f>M34*Inputs!$C$46</f>
        <v>73.708449662981167</v>
      </c>
      <c r="N104" s="183">
        <f>N34*Inputs!$C$46</f>
        <v>91.695830036056165</v>
      </c>
      <c r="O104" s="14">
        <f>O34*Inputs!$C$46</f>
        <v>96.620120941453777</v>
      </c>
      <c r="P104" s="14">
        <f>P34*Inputs!$C$46</f>
        <v>100.46684908396607</v>
      </c>
      <c r="Q104" s="14">
        <f>Q34*Inputs!$C$46</f>
        <v>105.11164028695738</v>
      </c>
      <c r="R104" s="14">
        <f>R34*Inputs!$C$46</f>
        <v>110.7907485356729</v>
      </c>
      <c r="S104" s="14">
        <f>S34*Inputs!$C$46</f>
        <v>117.19633080436898</v>
      </c>
      <c r="T104" s="14">
        <f>T34*Inputs!$C$46</f>
        <v>121.70596098574438</v>
      </c>
      <c r="U104" s="14">
        <f>U34*Inputs!$C$46</f>
        <v>130.77895622222454</v>
      </c>
      <c r="V104" s="14">
        <f>V34*Inputs!$C$46</f>
        <v>140.53477157604294</v>
      </c>
      <c r="W104" s="14">
        <f>W34*Inputs!$C$46</f>
        <v>145.98579216817458</v>
      </c>
      <c r="X104" s="188">
        <f>X34*Inputs!$C$46</f>
        <v>156.44127839674468</v>
      </c>
      <c r="Y104" s="159">
        <f>Y34*Inputs!$C$46</f>
        <v>160.7460382289253</v>
      </c>
      <c r="Z104" s="159">
        <f>Z34*Inputs!$C$46</f>
        <v>164.4800714901952</v>
      </c>
      <c r="AA104" s="159">
        <f>AA34*Inputs!$C$46</f>
        <v>170.4102164721883</v>
      </c>
      <c r="AB104" s="159">
        <f>AB34*Inputs!$C$46</f>
        <v>174.87991842053827</v>
      </c>
      <c r="AC104" s="159">
        <f>AC34*Inputs!$C$46</f>
        <v>176.48414574039603</v>
      </c>
      <c r="AD104" s="159">
        <f>AD34*Inputs!$C$46</f>
        <v>181.69396802466656</v>
      </c>
      <c r="AE104" s="159">
        <f>AE34*Inputs!$C$46</f>
        <v>184.30234392450058</v>
      </c>
      <c r="AF104" s="159">
        <f>AF34*Inputs!$C$46</f>
        <v>187.10152041709233</v>
      </c>
      <c r="AG104" s="159">
        <f>AG34*Inputs!$C$46</f>
        <v>189.14134511169698</v>
      </c>
      <c r="AH104" s="188">
        <f>AH34*Inputs!$C$46</f>
        <v>188.84754499305853</v>
      </c>
    </row>
    <row r="105" spans="1:36">
      <c r="A105" s="10" t="s">
        <v>50</v>
      </c>
      <c r="B105" s="35">
        <v>1</v>
      </c>
      <c r="C105" s="331">
        <f>C35*Inputs!$C$49</f>
        <v>0</v>
      </c>
      <c r="D105" s="331">
        <f>D35*Inputs!$C$49</f>
        <v>0</v>
      </c>
      <c r="E105" s="331">
        <f>E35*Inputs!$C$49</f>
        <v>2.5000000000000002E-10</v>
      </c>
      <c r="F105" s="331">
        <f>F35*Inputs!$C$49</f>
        <v>2.5000000000000002E-10</v>
      </c>
      <c r="G105" s="331">
        <f>G35*Inputs!$C$49</f>
        <v>2.5000000000000002E-10</v>
      </c>
      <c r="H105" s="402">
        <f>H35*Inputs!$C$49</f>
        <v>2.5000000000000002E-10</v>
      </c>
      <c r="I105" s="14">
        <f>I35*Inputs!$C$49</f>
        <v>2.9878909804185249E-10</v>
      </c>
      <c r="J105" s="14">
        <f>J35*Inputs!$C$49</f>
        <v>3.4549815455521816E-10</v>
      </c>
      <c r="K105" s="14">
        <f>K35*Inputs!$C$49</f>
        <v>4.2387992107190757E-10</v>
      </c>
      <c r="L105" s="14">
        <f>L35*Inputs!$C$49</f>
        <v>5.1475692006327127E-10</v>
      </c>
      <c r="M105" s="14">
        <f>M35*Inputs!$C$49</f>
        <v>6.1124641667888515E-10</v>
      </c>
      <c r="N105" s="183">
        <f>N35*Inputs!$C$49</f>
        <v>7.1112633647331188E-10</v>
      </c>
      <c r="O105" s="14">
        <f>O35*Inputs!$C$49</f>
        <v>7.4931556437939342E-10</v>
      </c>
      <c r="P105" s="14">
        <f>P35*Inputs!$C$49</f>
        <v>7.7914799722086414E-10</v>
      </c>
      <c r="Q105" s="14">
        <f>Q35*Inputs!$C$49</f>
        <v>8.1516962819980703E-10</v>
      </c>
      <c r="R105" s="14">
        <f>R35*Inputs!$C$49</f>
        <v>8.5921267183392236E-10</v>
      </c>
      <c r="S105" s="14">
        <f>S35*Inputs!$C$49</f>
        <v>9.0888972094209983E-10</v>
      </c>
      <c r="T105" s="14">
        <f>T35*Inputs!$C$49</f>
        <v>9.4386314109075821E-10</v>
      </c>
      <c r="U105" s="14">
        <f>U35*Inputs!$C$49</f>
        <v>1.0142267100864358E-9</v>
      </c>
      <c r="V105" s="14">
        <f>V35*Inputs!$C$49</f>
        <v>1.0898857365562652E-9</v>
      </c>
      <c r="W105" s="14">
        <f>W35*Inputs!$C$49</f>
        <v>1.1321598977934656E-9</v>
      </c>
      <c r="X105" s="188">
        <f>X35*Inputs!$C$49</f>
        <v>1.2132450639874633E-9</v>
      </c>
      <c r="Y105" s="159">
        <f>Y35*Inputs!$C$49</f>
        <v>1.2466296583321826E-9</v>
      </c>
      <c r="Z105" s="159">
        <f>Z35*Inputs!$C$49</f>
        <v>1.2755881114299103E-9</v>
      </c>
      <c r="AA105" s="159">
        <f>AA35*Inputs!$C$49</f>
        <v>1.3215780138512321E-9</v>
      </c>
      <c r="AB105" s="159">
        <f>AB35*Inputs!$C$49</f>
        <v>1.3562417795907201E-9</v>
      </c>
      <c r="AC105" s="159">
        <f>AC35*Inputs!$C$49</f>
        <v>1.3686830028872675E-9</v>
      </c>
      <c r="AD105" s="159">
        <f>AD35*Inputs!$C$49</f>
        <v>1.4090866050274471E-9</v>
      </c>
      <c r="AE105" s="159">
        <f>AE35*Inputs!$C$49</f>
        <v>1.429315276244719E-9</v>
      </c>
      <c r="AF105" s="159">
        <f>AF35*Inputs!$C$49</f>
        <v>1.4510236584419929E-9</v>
      </c>
      <c r="AG105" s="159">
        <f>AG35*Inputs!$C$49</f>
        <v>1.4668430589703662E-9</v>
      </c>
      <c r="AH105" s="188">
        <f>AH35*Inputs!$C$49</f>
        <v>1.4645645583892537E-9</v>
      </c>
    </row>
    <row r="106" spans="1:36">
      <c r="A106" s="10" t="s">
        <v>119</v>
      </c>
      <c r="B106" s="35">
        <v>1</v>
      </c>
      <c r="C106" s="331"/>
      <c r="D106" s="331"/>
      <c r="E106" s="331"/>
      <c r="F106" s="331"/>
      <c r="G106" s="331"/>
      <c r="H106" s="402"/>
      <c r="I106" s="14"/>
      <c r="J106" s="14"/>
      <c r="K106" s="14"/>
      <c r="L106" s="14"/>
      <c r="M106" s="14"/>
      <c r="N106" s="188"/>
      <c r="O106" s="14"/>
      <c r="P106" s="14"/>
      <c r="Q106" s="14"/>
      <c r="R106" s="14"/>
      <c r="S106" s="14"/>
      <c r="T106" s="14"/>
      <c r="U106" s="14"/>
      <c r="V106" s="14"/>
      <c r="W106" s="14"/>
      <c r="X106" s="188"/>
      <c r="AJ106" s="171" t="s">
        <v>0</v>
      </c>
    </row>
    <row r="107" spans="1:36">
      <c r="A107" s="10" t="s">
        <v>51</v>
      </c>
      <c r="B107" s="35">
        <v>1</v>
      </c>
      <c r="C107" s="331">
        <f>C37*Inputs!$C$52</f>
        <v>165.6</v>
      </c>
      <c r="D107" s="331">
        <f>D37*Inputs!$C$52</f>
        <v>212.93426665583183</v>
      </c>
      <c r="E107" s="331">
        <f>E37*Inputs!$C$52</f>
        <v>224.27356369327464</v>
      </c>
      <c r="F107" s="331">
        <f>F37*Inputs!$C$52</f>
        <v>249.09434710926087</v>
      </c>
      <c r="G107" s="331">
        <f>G37*Inputs!$C$52</f>
        <v>288.25210600721334</v>
      </c>
      <c r="H107" s="402">
        <f>H37*Inputs!$C$52</f>
        <v>196.52423307922302</v>
      </c>
      <c r="I107" s="14">
        <f>I37*Inputs!$C$52</f>
        <v>234.87441631106637</v>
      </c>
      <c r="J107" s="14">
        <f>J37*Inputs!$C$52</f>
        <v>271.58861704969047</v>
      </c>
      <c r="K107" s="14">
        <f>K37*Inputs!$C$52</f>
        <v>333.19888661957526</v>
      </c>
      <c r="L107" s="14">
        <f>L37*Inputs!$C$52</f>
        <v>404.6296986357894</v>
      </c>
      <c r="M107" s="14">
        <f>M37*Inputs!$C$52</f>
        <v>480.47052782856395</v>
      </c>
      <c r="N107" s="183">
        <f>N37*Inputs!$C$52</f>
        <v>558.97457575115959</v>
      </c>
      <c r="O107" s="14">
        <f>O37*Inputs!$C$52</f>
        <v>588.99288103982531</v>
      </c>
      <c r="P107" s="14">
        <f>P37*Inputs!$C$52</f>
        <v>612.44240137946736</v>
      </c>
      <c r="Q107" s="14">
        <f>Q37*Inputs!$C$52</f>
        <v>640.75688624888699</v>
      </c>
      <c r="R107" s="14">
        <f>R37*Inputs!$C$52</f>
        <v>675.37653168666122</v>
      </c>
      <c r="S107" s="14">
        <f>S37*Inputs!$C$52</f>
        <v>714.42473736488694</v>
      </c>
      <c r="T107" s="14">
        <f>T37*Inputs!$C$52</f>
        <v>741.91528536949875</v>
      </c>
      <c r="U107" s="14">
        <f>U37*Inputs!$C$52</f>
        <v>797.2239472913069</v>
      </c>
      <c r="V107" s="14">
        <f>V37*Inputs!$C$52</f>
        <v>856.69505678846713</v>
      </c>
      <c r="W107" s="14">
        <f>W37*Inputs!$C$52</f>
        <v>889.92428784182596</v>
      </c>
      <c r="X107" s="188">
        <f>X37*Inputs!$C$52</f>
        <v>953.66056654271051</v>
      </c>
      <c r="Y107" s="159">
        <f>Y37*Inputs!$C$52</f>
        <v>979.90223205746304</v>
      </c>
      <c r="Z107" s="159">
        <f>Z37*Inputs!$C$52</f>
        <v>1002.6647683389749</v>
      </c>
      <c r="AA107" s="159">
        <f>AA37*Inputs!$C$52</f>
        <v>1038.8147249307742</v>
      </c>
      <c r="AB107" s="159">
        <f>AB37*Inputs!$C$52</f>
        <v>1066.0618718220849</v>
      </c>
      <c r="AC107" s="159">
        <f>AC37*Inputs!$C$52</f>
        <v>1075.8411855070508</v>
      </c>
      <c r="AD107" s="159">
        <f>AD37*Inputs!$C$52</f>
        <v>1107.6000801039368</v>
      </c>
      <c r="AE107" s="159">
        <f>AE37*Inputs!$C$52</f>
        <v>1123.5006484442411</v>
      </c>
      <c r="AF107" s="159">
        <f>AF37*Inputs!$C$52</f>
        <v>1140.5643305308076</v>
      </c>
      <c r="AG107" s="159">
        <f>AG37*Inputs!$C$52</f>
        <v>1152.9990305910505</v>
      </c>
      <c r="AH107" s="188">
        <f>AH37*Inputs!$C$52</f>
        <v>1151.2080353341562</v>
      </c>
    </row>
    <row r="108" spans="1:36">
      <c r="A108" s="9" t="s">
        <v>347</v>
      </c>
      <c r="B108" s="35">
        <v>1</v>
      </c>
      <c r="C108" s="331">
        <f>C38*Inputs!$C$54</f>
        <v>0</v>
      </c>
      <c r="D108" s="331">
        <f>D38*Inputs!$C$54</f>
        <v>23.13937141161</v>
      </c>
      <c r="E108" s="331">
        <f>E38*Inputs!$C$54</f>
        <v>49.684520335218565</v>
      </c>
      <c r="F108" s="331">
        <f>F38*Inputs!$C$54</f>
        <v>46.981022761955266</v>
      </c>
      <c r="G108" s="331">
        <f>G38*Inputs!$C$54</f>
        <v>77.662248003780221</v>
      </c>
      <c r="H108" s="402">
        <f>H38*Inputs!$C$54</f>
        <v>114.17200059448267</v>
      </c>
      <c r="I108" s="14">
        <f>I38*Inputs!$C$54</f>
        <v>163.04161986658474</v>
      </c>
      <c r="J108" s="14">
        <f>J38*Inputs!$C$54</f>
        <v>220.32953166687093</v>
      </c>
      <c r="K108" s="14">
        <f>K38*Inputs!$C$54</f>
        <v>304.01886055383903</v>
      </c>
      <c r="L108" s="14">
        <f>L38*Inputs!$C$54</f>
        <v>429.14682368205217</v>
      </c>
      <c r="M108" s="14">
        <f>M38*Inputs!$C$54</f>
        <v>592.33318113215103</v>
      </c>
      <c r="N108" s="183">
        <f>N38*Inputs!$C$54</f>
        <v>801.01846014876367</v>
      </c>
      <c r="O108" s="14">
        <f>O38*Inputs!$C$54</f>
        <v>844.03511550610233</v>
      </c>
      <c r="P108" s="14">
        <f>P38*Inputs!$C$54</f>
        <v>877.63860927582448</v>
      </c>
      <c r="Q108" s="14">
        <f>Q38*Inputs!$C$54</f>
        <v>918.21366591329263</v>
      </c>
      <c r="R108" s="14">
        <f>R38*Inputs!$C$54</f>
        <v>967.82410667832494</v>
      </c>
      <c r="S108" s="14">
        <f>S38*Inputs!$C$54</f>
        <v>1023.7807368021765</v>
      </c>
      <c r="T108" s="14">
        <f>T38*Inputs!$C$54</f>
        <v>1063.1750802778317</v>
      </c>
      <c r="U108" s="14">
        <f>U38*Inputs!$C$54</f>
        <v>1142.433173807327</v>
      </c>
      <c r="V108" s="14">
        <f>V38*Inputs!$C$54</f>
        <v>1227.6561134888636</v>
      </c>
      <c r="W108" s="14">
        <f>W38*Inputs!$C$54</f>
        <v>1275.2740708074414</v>
      </c>
      <c r="X108" s="188">
        <f>X38*Inputs!$C$54</f>
        <v>1366.6090581849776</v>
      </c>
      <c r="Y108" s="159">
        <f>Y38*Inputs!$C$54</f>
        <v>1404.2137354176027</v>
      </c>
      <c r="Z108" s="159">
        <f>Z38*Inputs!$C$54</f>
        <v>1436.8327713313467</v>
      </c>
      <c r="AA108" s="159">
        <f>AA38*Inputs!$C$54</f>
        <v>1488.6361695891212</v>
      </c>
      <c r="AB108" s="159">
        <f>AB38*Inputs!$C$54</f>
        <v>1527.6817158324282</v>
      </c>
      <c r="AC108" s="159">
        <f>AC38*Inputs!$C$54</f>
        <v>1541.6956104334777</v>
      </c>
      <c r="AD108" s="159">
        <f>AD38*Inputs!$C$54</f>
        <v>1587.2065548477892</v>
      </c>
      <c r="AE108" s="159">
        <f>AE38*Inputs!$C$54</f>
        <v>1609.9922938061759</v>
      </c>
      <c r="AF108" s="159">
        <f>AF38*Inputs!$C$54</f>
        <v>1634.4447911869051</v>
      </c>
      <c r="AG108" s="159">
        <f>AG38*Inputs!$C$54</f>
        <v>1652.2638919595702</v>
      </c>
      <c r="AH108" s="188">
        <f>AH38*Inputs!$C$54</f>
        <v>1649.6973704663819</v>
      </c>
    </row>
    <row r="109" spans="1:36">
      <c r="A109" s="9" t="s">
        <v>348</v>
      </c>
      <c r="B109" s="35">
        <v>1</v>
      </c>
      <c r="C109" s="331">
        <f>C39*Inputs!$C$54</f>
        <v>0</v>
      </c>
      <c r="D109" s="331">
        <f>D39*Inputs!$C$55</f>
        <v>0</v>
      </c>
      <c r="E109" s="331">
        <f>E39*Inputs!$C$55</f>
        <v>2.3000000000000003E-2</v>
      </c>
      <c r="F109" s="331">
        <f>F39*Inputs!$C$55</f>
        <v>2.3000000000000003E-2</v>
      </c>
      <c r="G109" s="331">
        <f>G39*Inputs!$C$55</f>
        <v>2.3000000000000003E-2</v>
      </c>
      <c r="H109" s="402">
        <f>H39*Inputs!$C$55</f>
        <v>2.3000000000000003E-2</v>
      </c>
      <c r="I109" s="14">
        <f>I39*Inputs!$C$55</f>
        <v>2.7488597019850437E-2</v>
      </c>
      <c r="J109" s="14">
        <f>J39*Inputs!$C$55</f>
        <v>3.1785830219080075E-2</v>
      </c>
      <c r="K109" s="14">
        <f>K39*Inputs!$C$55</f>
        <v>3.8996952738615503E-2</v>
      </c>
      <c r="L109" s="14">
        <f>L39*Inputs!$C$55</f>
        <v>4.7357636645820968E-2</v>
      </c>
      <c r="M109" s="14">
        <f>M39*Inputs!$C$55</f>
        <v>5.6234670334457448E-2</v>
      </c>
      <c r="N109" s="183">
        <f>N39*Inputs!$C$55</f>
        <v>6.54236229555447E-2</v>
      </c>
      <c r="O109" s="14">
        <f>O39*Inputs!$C$55</f>
        <v>6.8937031922904221E-2</v>
      </c>
      <c r="P109" s="14">
        <f>P39*Inputs!$C$55</f>
        <v>7.1681615744319513E-2</v>
      </c>
      <c r="Q109" s="14">
        <f>Q39*Inputs!$C$55</f>
        <v>7.4995605794382247E-2</v>
      </c>
      <c r="R109" s="14">
        <f>R39*Inputs!$C$55</f>
        <v>7.9047565808720854E-2</v>
      </c>
      <c r="S109" s="14">
        <f>S39*Inputs!$C$55</f>
        <v>8.361785432667318E-2</v>
      </c>
      <c r="T109" s="14">
        <f>T39*Inputs!$C$55</f>
        <v>8.6835408980349749E-2</v>
      </c>
      <c r="U109" s="14">
        <f>U39*Inputs!$C$55</f>
        <v>9.3308857327952077E-2</v>
      </c>
      <c r="V109" s="14">
        <f>V39*Inputs!$C$55</f>
        <v>0.1002694877631764</v>
      </c>
      <c r="W109" s="14">
        <f>W39*Inputs!$C$55</f>
        <v>0.10415871059699884</v>
      </c>
      <c r="X109" s="188">
        <f>X39*Inputs!$C$55</f>
        <v>0.11161854588684665</v>
      </c>
      <c r="Y109" s="159">
        <f>Y39*Inputs!$C$55</f>
        <v>0.11468992856656082</v>
      </c>
      <c r="Z109" s="159">
        <f>Z39*Inputs!$C$55</f>
        <v>0.11735410625155178</v>
      </c>
      <c r="AA109" s="159">
        <f>AA39*Inputs!$C$55</f>
        <v>0.12158517727431341</v>
      </c>
      <c r="AB109" s="159">
        <f>AB39*Inputs!$C$55</f>
        <v>0.12477424372234627</v>
      </c>
      <c r="AC109" s="159">
        <f>AC39*Inputs!$C$55</f>
        <v>0.12591883626562866</v>
      </c>
      <c r="AD109" s="159">
        <f>AD39*Inputs!$C$55</f>
        <v>0.12963596766252519</v>
      </c>
      <c r="AE109" s="159">
        <f>AE39*Inputs!$C$55</f>
        <v>0.1314970054145142</v>
      </c>
      <c r="AF109" s="159">
        <f>AF39*Inputs!$C$55</f>
        <v>0.1334941765766634</v>
      </c>
      <c r="AG109" s="159">
        <f>AG39*Inputs!$C$55</f>
        <v>0.13494956142527373</v>
      </c>
      <c r="AH109" s="188">
        <f>AH39*Inputs!$C$55</f>
        <v>0.13473993937181136</v>
      </c>
    </row>
    <row r="110" spans="1:36">
      <c r="A110" s="9" t="s">
        <v>344</v>
      </c>
      <c r="B110" s="35">
        <v>1</v>
      </c>
      <c r="C110" s="331">
        <f>C40*Inputs!$C$51</f>
        <v>2.7000000000000001E-3</v>
      </c>
      <c r="D110" s="331">
        <f>D40*Inputs!$C$51</f>
        <v>3.4717953964055852E-3</v>
      </c>
      <c r="E110" s="331">
        <f>E40*Inputs!$C$51</f>
        <v>3.6567206605782709E-3</v>
      </c>
      <c r="F110" s="331">
        <f>F40*Inputs!$C$51</f>
        <v>4.0614649372115027E-3</v>
      </c>
      <c r="G110" s="331">
        <f>G40*Inputs!$C$51</f>
        <v>4.6999848749956731E-3</v>
      </c>
      <c r="H110" s="402">
        <f>H40*Inputs!$C$51</f>
        <v>2.7000000000000001E-3</v>
      </c>
      <c r="I110" s="14">
        <f>I40*Inputs!$C$51</f>
        <v>3.2269222588520068E-3</v>
      </c>
      <c r="J110" s="14">
        <f>J40*Inputs!$C$51</f>
        <v>3.7313800691963551E-3</v>
      </c>
      <c r="K110" s="14">
        <f>K40*Inputs!$C$51</f>
        <v>4.5779031475765997E-3</v>
      </c>
      <c r="L110" s="14">
        <f>L40*Inputs!$C$51</f>
        <v>5.5593747366833269E-3</v>
      </c>
      <c r="M110" s="14">
        <f>M40*Inputs!$C$51</f>
        <v>6.6014613001319552E-3</v>
      </c>
      <c r="N110" s="183">
        <f>N40*Inputs!$C$51</f>
        <v>7.6801644339117665E-3</v>
      </c>
      <c r="O110" s="14">
        <f>O40*Inputs!$C$51</f>
        <v>8.0926080952974412E-3</v>
      </c>
      <c r="P110" s="14">
        <f>P40*Inputs!$C$51</f>
        <v>8.414798369985323E-3</v>
      </c>
      <c r="Q110" s="14">
        <f>Q40*Inputs!$C$51</f>
        <v>8.8038319845579055E-3</v>
      </c>
      <c r="R110" s="14">
        <f>R40*Inputs!$C$51</f>
        <v>9.2794968558063511E-3</v>
      </c>
      <c r="S110" s="14">
        <f>S40*Inputs!$C$51</f>
        <v>9.8160089861746673E-3</v>
      </c>
      <c r="T110" s="14">
        <f>T40*Inputs!$C$51</f>
        <v>1.0193721923780178E-2</v>
      </c>
      <c r="U110" s="14">
        <f>U40*Inputs!$C$51</f>
        <v>1.0953648468933494E-2</v>
      </c>
      <c r="V110" s="14">
        <f>V40*Inputs!$C$51</f>
        <v>1.1770765954807654E-2</v>
      </c>
      <c r="W110" s="14">
        <f>W40*Inputs!$C$51</f>
        <v>1.2227326896169418E-2</v>
      </c>
      <c r="X110" s="188">
        <f>X40*Inputs!$C$51</f>
        <v>1.3103046691064602E-2</v>
      </c>
      <c r="Y110" s="159">
        <f>Y40*Inputs!$C$51</f>
        <v>1.3463600309987568E-2</v>
      </c>
      <c r="Z110" s="159">
        <f>Z40*Inputs!$C$51</f>
        <v>1.3776351603443031E-2</v>
      </c>
      <c r="AA110" s="159">
        <f>AA40*Inputs!$C$51</f>
        <v>1.4273042549593306E-2</v>
      </c>
      <c r="AB110" s="159">
        <f>AB40*Inputs!$C$51</f>
        <v>1.4647411219579775E-2</v>
      </c>
      <c r="AC110" s="159">
        <f>AC40*Inputs!$C$51</f>
        <v>1.4781776431182489E-2</v>
      </c>
      <c r="AD110" s="159">
        <f>AD40*Inputs!$C$51</f>
        <v>1.5218135334296428E-2</v>
      </c>
      <c r="AE110" s="159">
        <f>AE40*Inputs!$C$51</f>
        <v>1.5436604983442966E-2</v>
      </c>
      <c r="AF110" s="159">
        <f>AF40*Inputs!$C$51</f>
        <v>1.5671055511173523E-2</v>
      </c>
      <c r="AG110" s="159">
        <f>AG40*Inputs!$C$51</f>
        <v>1.5841905036879954E-2</v>
      </c>
      <c r="AH110" s="188">
        <f>AH40*Inputs!$C$51</f>
        <v>1.5817297230603936E-2</v>
      </c>
    </row>
    <row r="111" spans="1:36">
      <c r="A111" s="10" t="s">
        <v>120</v>
      </c>
      <c r="B111" s="35">
        <v>1</v>
      </c>
      <c r="C111" s="331"/>
      <c r="D111" s="331"/>
      <c r="E111" s="331"/>
      <c r="F111" s="331"/>
      <c r="G111" s="331"/>
      <c r="H111" s="402"/>
      <c r="I111" s="14"/>
      <c r="J111" s="14"/>
      <c r="K111" s="14"/>
      <c r="L111" s="14"/>
      <c r="M111" s="14"/>
      <c r="N111" s="188"/>
      <c r="O111" s="14"/>
      <c r="P111" s="14"/>
      <c r="Q111" s="14"/>
      <c r="R111" s="14"/>
      <c r="S111" s="14"/>
      <c r="T111" s="14"/>
      <c r="U111" s="14"/>
      <c r="V111" s="14"/>
      <c r="W111" s="14"/>
      <c r="X111" s="188"/>
    </row>
    <row r="112" spans="1:36">
      <c r="A112" s="10" t="s">
        <v>53</v>
      </c>
      <c r="B112" s="35">
        <v>1</v>
      </c>
      <c r="C112" s="331">
        <f>C42*Inputs!$C$57</f>
        <v>1.02</v>
      </c>
      <c r="D112" s="331">
        <f>D42*Inputs!$C$57</f>
        <v>3.74</v>
      </c>
      <c r="E112" s="331">
        <f>E42*Inputs!$C$57</f>
        <v>2.2921093412068099</v>
      </c>
      <c r="F112" s="331">
        <f>F42*Inputs!$C$57</f>
        <v>3.4172375310861054</v>
      </c>
      <c r="G112" s="331">
        <f>G42*Inputs!$C$57</f>
        <v>5.6755180939206449</v>
      </c>
      <c r="H112" s="402">
        <f>H42*Inputs!$C$57</f>
        <v>5.7596445439353765</v>
      </c>
      <c r="I112" s="14">
        <f>I42*Inputs!$C$57</f>
        <v>14.237713051837174</v>
      </c>
      <c r="J112" s="14">
        <f>J42*Inputs!$C$57</f>
        <v>19.962687763163693</v>
      </c>
      <c r="K112" s="14">
        <f>K42*Inputs!$C$57</f>
        <v>19.962238324806016</v>
      </c>
      <c r="L112" s="14">
        <f>L42*Inputs!$C$57</f>
        <v>27.159303369718717</v>
      </c>
      <c r="M112" s="14">
        <f>M42*Inputs!$C$57</f>
        <v>39.673265485190981</v>
      </c>
      <c r="N112" s="183">
        <f>N42*Inputs!$C$57</f>
        <v>56.779762961397367</v>
      </c>
      <c r="O112" s="14">
        <f>O42*Inputs!$C$57</f>
        <v>59.828975452865066</v>
      </c>
      <c r="P112" s="14">
        <f>P42*Inputs!$C$57</f>
        <v>62.210941045225155</v>
      </c>
      <c r="Q112" s="14">
        <f>Q42*Inputs!$C$57</f>
        <v>65.087082123912467</v>
      </c>
      <c r="R112" s="14">
        <f>R42*Inputs!$C$57</f>
        <v>68.603691549525266</v>
      </c>
      <c r="S112" s="14">
        <f>S42*Inputs!$C$57</f>
        <v>72.57014719645359</v>
      </c>
      <c r="T112" s="14">
        <f>T42*Inputs!$C$57</f>
        <v>75.362594057356333</v>
      </c>
      <c r="U112" s="14">
        <f>U42*Inputs!$C$57</f>
        <v>80.980761412127677</v>
      </c>
      <c r="V112" s="14">
        <f>V42*Inputs!$C$57</f>
        <v>87.021743679992596</v>
      </c>
      <c r="W112" s="14">
        <f>W42*Inputs!$C$57</f>
        <v>90.397116987559883</v>
      </c>
      <c r="X112" s="188">
        <f>X42*Inputs!$C$57</f>
        <v>96.871348470833709</v>
      </c>
      <c r="Y112" s="159">
        <f>Y42*Inputs!$C$57</f>
        <v>99.536935802131637</v>
      </c>
      <c r="Z112" s="159">
        <f>Z42*Inputs!$C$57</f>
        <v>101.84911862856454</v>
      </c>
      <c r="AA112" s="159">
        <f>AA42*Inputs!$C$57</f>
        <v>105.52117466722939</v>
      </c>
      <c r="AB112" s="159">
        <f>AB42*Inputs!$C$57</f>
        <v>108.28889722381254</v>
      </c>
      <c r="AC112" s="159">
        <f>AC42*Inputs!$C$57</f>
        <v>109.28226460946033</v>
      </c>
      <c r="AD112" s="159">
        <f>AD42*Inputs!$C$57</f>
        <v>112.50828343993027</v>
      </c>
      <c r="AE112" s="159">
        <f>AE42*Inputs!$C$57</f>
        <v>114.12343829755639</v>
      </c>
      <c r="AF112" s="159">
        <f>AF42*Inputs!$C$57</f>
        <v>115.85674042998683</v>
      </c>
      <c r="AG112" s="159">
        <f>AG42*Inputs!$C$57</f>
        <v>117.11983780962683</v>
      </c>
      <c r="AH112" s="188">
        <f>AH42*Inputs!$C$57</f>
        <v>116.93791131321191</v>
      </c>
      <c r="AI112" s="31" t="s">
        <v>0</v>
      </c>
    </row>
    <row r="113" spans="1:35" s="20" customFormat="1">
      <c r="A113" s="10" t="s">
        <v>383</v>
      </c>
      <c r="B113" s="37"/>
      <c r="C113" s="334">
        <f>SUM(C100:C112)</f>
        <v>1126.3612000000001</v>
      </c>
      <c r="D113" s="334">
        <f t="shared" ref="D113:AH113" si="87">SUM(D100:D112)</f>
        <v>1284.8736424321339</v>
      </c>
      <c r="E113" s="334">
        <f t="shared" si="87"/>
        <v>1209.974077525849</v>
      </c>
      <c r="F113" s="334">
        <f t="shared" si="87"/>
        <v>1181.0779777350397</v>
      </c>
      <c r="G113" s="334">
        <f t="shared" si="87"/>
        <v>1241.1402677324559</v>
      </c>
      <c r="H113" s="404">
        <f t="shared" si="87"/>
        <v>1233.4770099097743</v>
      </c>
      <c r="I113" s="19">
        <f t="shared" si="87"/>
        <v>1329.0003219123898</v>
      </c>
      <c r="J113" s="19">
        <f t="shared" si="87"/>
        <v>1400.0035976000283</v>
      </c>
      <c r="K113" s="19">
        <f t="shared" si="87"/>
        <v>1571.6716027140092</v>
      </c>
      <c r="L113" s="19">
        <f t="shared" si="87"/>
        <v>1795.3260878783108</v>
      </c>
      <c r="M113" s="19">
        <f t="shared" si="87"/>
        <v>2049.0470555990755</v>
      </c>
      <c r="N113" s="183">
        <f t="shared" si="87"/>
        <v>2340.3627640310347</v>
      </c>
      <c r="O113" s="19">
        <f t="shared" si="87"/>
        <v>2421.4816605364899</v>
      </c>
      <c r="P113" s="19">
        <f t="shared" si="87"/>
        <v>2473.8779105081048</v>
      </c>
      <c r="Q113" s="19">
        <f t="shared" si="87"/>
        <v>2544.5213747676926</v>
      </c>
      <c r="R113" s="19">
        <f t="shared" si="87"/>
        <v>2638.2281181027956</v>
      </c>
      <c r="S113" s="19">
        <f t="shared" si="87"/>
        <v>2746.7917932324835</v>
      </c>
      <c r="T113" s="19">
        <f t="shared" si="87"/>
        <v>2809.1253803493055</v>
      </c>
      <c r="U113" s="19">
        <f t="shared" si="87"/>
        <v>2974.298186667188</v>
      </c>
      <c r="V113" s="19">
        <f t="shared" si="87"/>
        <v>3151.0303415325529</v>
      </c>
      <c r="W113" s="19">
        <f t="shared" si="87"/>
        <v>3228.725592358167</v>
      </c>
      <c r="X113" s="183">
        <f t="shared" si="87"/>
        <v>3414.663614544158</v>
      </c>
      <c r="Y113" s="206">
        <f t="shared" si="87"/>
        <v>3492.5859680876101</v>
      </c>
      <c r="Z113" s="206">
        <f t="shared" si="87"/>
        <v>3557.6102639605483</v>
      </c>
      <c r="AA113" s="206">
        <f t="shared" si="87"/>
        <v>3669.4983684122876</v>
      </c>
      <c r="AB113" s="206">
        <f t="shared" si="87"/>
        <v>3749.2505237446157</v>
      </c>
      <c r="AC113" s="206">
        <f t="shared" si="87"/>
        <v>3767.3056180467502</v>
      </c>
      <c r="AD113" s="206">
        <f t="shared" si="87"/>
        <v>3862.0084573115651</v>
      </c>
      <c r="AE113" s="206">
        <f t="shared" si="87"/>
        <v>3901.0163372732368</v>
      </c>
      <c r="AF113" s="206">
        <f t="shared" si="87"/>
        <v>3943.8900496781075</v>
      </c>
      <c r="AG113" s="206">
        <f t="shared" si="87"/>
        <v>3970.6410277986283</v>
      </c>
      <c r="AH113" s="183">
        <f t="shared" si="87"/>
        <v>3948.5531754602739</v>
      </c>
      <c r="AI113" s="31" t="s">
        <v>0</v>
      </c>
    </row>
    <row r="114" spans="1:35" s="20" customFormat="1">
      <c r="A114" s="10" t="s">
        <v>384</v>
      </c>
      <c r="B114" s="37"/>
      <c r="C114" s="334">
        <f>SUM(C101:C103)</f>
        <v>935.58850000000007</v>
      </c>
      <c r="D114" s="334">
        <f t="shared" ref="D114:AH114" si="88">SUM(D101:D103)</f>
        <v>1011.8510828448418</v>
      </c>
      <c r="E114" s="334">
        <f t="shared" si="88"/>
        <v>896.29918226228665</v>
      </c>
      <c r="F114" s="334">
        <f t="shared" si="88"/>
        <v>837.142078462688</v>
      </c>
      <c r="G114" s="334">
        <f t="shared" si="88"/>
        <v>814.56135445147095</v>
      </c>
      <c r="H114" s="404">
        <f t="shared" si="88"/>
        <v>895.43131885445746</v>
      </c>
      <c r="I114" s="19">
        <f t="shared" si="88"/>
        <v>889.25719017332335</v>
      </c>
      <c r="J114" s="19">
        <f t="shared" si="88"/>
        <v>854.01183592396001</v>
      </c>
      <c r="K114" s="19">
        <f t="shared" si="88"/>
        <v>869.74469440175358</v>
      </c>
      <c r="L114" s="19">
        <f t="shared" si="88"/>
        <v>876.28747250871652</v>
      </c>
      <c r="M114" s="19">
        <f t="shared" si="88"/>
        <v>862.79879535794259</v>
      </c>
      <c r="N114" s="183">
        <f t="shared" si="88"/>
        <v>831.82103134555689</v>
      </c>
      <c r="O114" s="19">
        <f t="shared" si="88"/>
        <v>831.92753795547617</v>
      </c>
      <c r="P114" s="19">
        <f t="shared" si="88"/>
        <v>821.03901330872873</v>
      </c>
      <c r="Q114" s="19">
        <f t="shared" si="88"/>
        <v>815.26830075604926</v>
      </c>
      <c r="R114" s="19">
        <f t="shared" si="88"/>
        <v>815.54471258908745</v>
      </c>
      <c r="S114" s="19">
        <f t="shared" si="88"/>
        <v>818.72640720037566</v>
      </c>
      <c r="T114" s="19">
        <f t="shared" si="88"/>
        <v>806.86943052702634</v>
      </c>
      <c r="U114" s="19">
        <f t="shared" si="88"/>
        <v>822.77708542739083</v>
      </c>
      <c r="V114" s="19">
        <f t="shared" si="88"/>
        <v>839.01061574437836</v>
      </c>
      <c r="W114" s="19">
        <f t="shared" si="88"/>
        <v>827.02793851453976</v>
      </c>
      <c r="X114" s="183">
        <f t="shared" si="88"/>
        <v>840.9566413551006</v>
      </c>
      <c r="Y114" s="206">
        <f t="shared" si="88"/>
        <v>848.05887305136423</v>
      </c>
      <c r="Z114" s="206">
        <f t="shared" si="88"/>
        <v>851.65240371233597</v>
      </c>
      <c r="AA114" s="206">
        <f t="shared" si="88"/>
        <v>865.98022453182887</v>
      </c>
      <c r="AB114" s="206">
        <f t="shared" si="88"/>
        <v>872.19869878945394</v>
      </c>
      <c r="AC114" s="206">
        <f t="shared" si="88"/>
        <v>863.86171114229921</v>
      </c>
      <c r="AD114" s="206">
        <f t="shared" si="88"/>
        <v>872.85471679083628</v>
      </c>
      <c r="AE114" s="206">
        <f t="shared" si="88"/>
        <v>868.95067918893585</v>
      </c>
      <c r="AF114" s="206">
        <f t="shared" si="88"/>
        <v>865.77350187977675</v>
      </c>
      <c r="AG114" s="206">
        <f t="shared" si="88"/>
        <v>858.96613085875458</v>
      </c>
      <c r="AH114" s="183">
        <f t="shared" si="88"/>
        <v>841.71175611539866</v>
      </c>
      <c r="AI114" s="31"/>
    </row>
    <row r="115" spans="1:35" s="20" customFormat="1">
      <c r="A115" s="10" t="s">
        <v>385</v>
      </c>
      <c r="B115" s="37"/>
      <c r="C115" s="334">
        <f>SUMPRODUCT($B104:$B112,C104:C112)</f>
        <v>190.77270000000001</v>
      </c>
      <c r="D115" s="334">
        <f t="shared" ref="D115:AH115" si="89">SUMPRODUCT($B104:$B112,D104:D112)</f>
        <v>273.02255958729216</v>
      </c>
      <c r="E115" s="334">
        <f t="shared" si="89"/>
        <v>313.67489526356252</v>
      </c>
      <c r="F115" s="334">
        <f t="shared" si="89"/>
        <v>343.93589927235183</v>
      </c>
      <c r="G115" s="334">
        <f t="shared" si="89"/>
        <v>426.57891328098509</v>
      </c>
      <c r="H115" s="404">
        <f t="shared" si="89"/>
        <v>338.04569105531704</v>
      </c>
      <c r="I115" s="19">
        <f t="shared" si="89"/>
        <v>439.74313173906654</v>
      </c>
      <c r="J115" s="19">
        <f t="shared" si="89"/>
        <v>545.99176167606811</v>
      </c>
      <c r="K115" s="19">
        <f t="shared" si="89"/>
        <v>701.92690831225559</v>
      </c>
      <c r="L115" s="19">
        <f t="shared" si="89"/>
        <v>919.03861536959414</v>
      </c>
      <c r="M115" s="19">
        <f t="shared" si="89"/>
        <v>1186.248260241133</v>
      </c>
      <c r="N115" s="183">
        <f t="shared" si="89"/>
        <v>1508.5417326854772</v>
      </c>
      <c r="O115" s="19">
        <f t="shared" si="89"/>
        <v>1589.5541225810139</v>
      </c>
      <c r="P115" s="19">
        <f t="shared" si="89"/>
        <v>1652.8388971993766</v>
      </c>
      <c r="Q115" s="19">
        <f t="shared" si="89"/>
        <v>1729.2530740116435</v>
      </c>
      <c r="R115" s="19">
        <f t="shared" si="89"/>
        <v>1822.6834055137078</v>
      </c>
      <c r="S115" s="19">
        <f t="shared" si="89"/>
        <v>1928.0653860321077</v>
      </c>
      <c r="T115" s="19">
        <f t="shared" si="89"/>
        <v>2002.255949822279</v>
      </c>
      <c r="U115" s="19">
        <f t="shared" si="89"/>
        <v>2151.5211012397972</v>
      </c>
      <c r="V115" s="19">
        <f t="shared" si="89"/>
        <v>2312.0197257881741</v>
      </c>
      <c r="W115" s="19">
        <f t="shared" si="89"/>
        <v>2401.6976538436274</v>
      </c>
      <c r="X115" s="183">
        <f t="shared" si="89"/>
        <v>2573.7069731890574</v>
      </c>
      <c r="Y115" s="206">
        <f t="shared" si="89"/>
        <v>2644.5270950362456</v>
      </c>
      <c r="Z115" s="206">
        <f t="shared" si="89"/>
        <v>2705.9578602482125</v>
      </c>
      <c r="AA115" s="206">
        <f t="shared" si="89"/>
        <v>2803.5181438804589</v>
      </c>
      <c r="AB115" s="206">
        <f t="shared" si="89"/>
        <v>2877.0518249551615</v>
      </c>
      <c r="AC115" s="206">
        <f t="shared" si="89"/>
        <v>2903.4439069044506</v>
      </c>
      <c r="AD115" s="206">
        <f t="shared" si="89"/>
        <v>2989.1537405207287</v>
      </c>
      <c r="AE115" s="206">
        <f t="shared" si="89"/>
        <v>3032.065658084301</v>
      </c>
      <c r="AF115" s="206">
        <f t="shared" si="89"/>
        <v>3078.1165477983309</v>
      </c>
      <c r="AG115" s="206">
        <f t="shared" si="89"/>
        <v>3111.6748969398736</v>
      </c>
      <c r="AH115" s="183">
        <f t="shared" si="89"/>
        <v>3106.8414193448752</v>
      </c>
    </row>
    <row r="116" spans="1:35" s="20" customFormat="1">
      <c r="A116" s="10" t="s">
        <v>142</v>
      </c>
      <c r="B116" s="37"/>
      <c r="C116" s="334">
        <f>C47*Inputs!$C$60</f>
        <v>2311.54</v>
      </c>
      <c r="D116" s="334">
        <f>D47*Inputs!$C$60</f>
        <v>898.12593773846993</v>
      </c>
      <c r="E116" s="334">
        <f>E47*Inputs!$C$60</f>
        <v>432.99614872870842</v>
      </c>
      <c r="F116" s="334">
        <f>F47*Inputs!$C$60</f>
        <v>227.83423881316344</v>
      </c>
      <c r="G116" s="334">
        <f>G47*Inputs!$C$60</f>
        <v>244.54485943420192</v>
      </c>
      <c r="H116" s="404">
        <f>H47*Inputs!$C$60</f>
        <v>245.35044727828617</v>
      </c>
      <c r="I116" s="19">
        <f>I47*Inputs!$C$60</f>
        <v>244.35186405193394</v>
      </c>
      <c r="J116" s="19">
        <f>J47*Inputs!$C$60</f>
        <v>33.683427282159023</v>
      </c>
      <c r="K116" s="19">
        <f>K47*Inputs!$C$60</f>
        <v>125.53017370717178</v>
      </c>
      <c r="L116" s="19">
        <f>L47*Inputs!$C$60</f>
        <v>232.69703440638844</v>
      </c>
      <c r="M116" s="19">
        <f>M47*Inputs!$C$60</f>
        <v>271.60312214707068</v>
      </c>
      <c r="N116" s="183">
        <f>N47*Inputs!$C$60</f>
        <v>273.1755249608546</v>
      </c>
      <c r="O116" s="19">
        <f>O47*Inputs!$C$60</f>
        <v>277.06560606413234</v>
      </c>
      <c r="P116" s="19">
        <f>P47*Inputs!$C$60</f>
        <v>279.02732931554721</v>
      </c>
      <c r="Q116" s="19">
        <f>Q47*Inputs!$C$60</f>
        <v>279.62517840374841</v>
      </c>
      <c r="R116" s="19">
        <f>R47*Inputs!$C$60</f>
        <v>277.17521189195236</v>
      </c>
      <c r="S116" s="19">
        <f>S47*Inputs!$C$60</f>
        <v>274.0391524213864</v>
      </c>
      <c r="T116" s="19">
        <f>T47*Inputs!$C$60</f>
        <v>270.90043317101856</v>
      </c>
      <c r="U116" s="19">
        <f>U47*Inputs!$C$60</f>
        <v>409.9241911995901</v>
      </c>
      <c r="V116" s="19">
        <f>V47*Inputs!$C$60</f>
        <v>438.20856987814346</v>
      </c>
      <c r="W116" s="19">
        <f>W47*Inputs!$C$60</f>
        <v>437.28890322032333</v>
      </c>
      <c r="X116" s="183">
        <f>X47*Inputs!$C$60</f>
        <v>427.36761865960278</v>
      </c>
      <c r="Y116" s="206">
        <f>Y47*Inputs!$C$60</f>
        <v>420.94005679750211</v>
      </c>
      <c r="Z116" s="206">
        <f>Z47*Inputs!$C$60</f>
        <v>370.05431407600764</v>
      </c>
      <c r="AA116" s="206">
        <f>AA47*Inputs!$C$60</f>
        <v>359.22146475097986</v>
      </c>
      <c r="AB116" s="206">
        <f>AB47*Inputs!$C$60</f>
        <v>342.25922232001005</v>
      </c>
      <c r="AC116" s="206">
        <f>AC47*Inputs!$C$60</f>
        <v>332.33351576350299</v>
      </c>
      <c r="AD116" s="206">
        <f>AD47*Inputs!$C$60</f>
        <v>374.75621065677876</v>
      </c>
      <c r="AE116" s="206">
        <f>AE47*Inputs!$C$60</f>
        <v>366.94782950661244</v>
      </c>
      <c r="AF116" s="206">
        <f>AF47*Inputs!$C$60</f>
        <v>371.53308422147421</v>
      </c>
      <c r="AG116" s="206">
        <f>AG47*Inputs!$C$60</f>
        <v>369.29671557993049</v>
      </c>
      <c r="AH116" s="183">
        <f>AH47*Inputs!$C$60</f>
        <v>368.29486424738303</v>
      </c>
      <c r="AI116" s="31"/>
    </row>
    <row r="117" spans="1:35" s="20" customFormat="1">
      <c r="A117" s="10" t="s">
        <v>222</v>
      </c>
      <c r="B117" s="37"/>
      <c r="C117" s="334">
        <f>C48*Inputs!$C$61</f>
        <v>990.66</v>
      </c>
      <c r="D117" s="334">
        <f>D48*Inputs!$C$61</f>
        <v>2766.1759859409517</v>
      </c>
      <c r="E117" s="334">
        <f>E48*Inputs!$C$61</f>
        <v>2837.2557038255377</v>
      </c>
      <c r="F117" s="334">
        <f>F48*Inputs!$C$61</f>
        <v>2829.5951636340728</v>
      </c>
      <c r="G117" s="334">
        <f>G48*Inputs!$C$61</f>
        <v>2719.6088554250287</v>
      </c>
      <c r="H117" s="404">
        <f>H48*Inputs!$C$61</f>
        <v>2849.8918549987393</v>
      </c>
      <c r="I117" s="19">
        <f>I48*Inputs!$C$61</f>
        <v>2873.523711938883</v>
      </c>
      <c r="J117" s="19">
        <f>J48*Inputs!$C$61</f>
        <v>2997.1285163994116</v>
      </c>
      <c r="K117" s="19">
        <f>K48*Inputs!$C$61</f>
        <v>3010.6209520961861</v>
      </c>
      <c r="L117" s="19">
        <f>L48*Inputs!$C$61</f>
        <v>2949.2767778409211</v>
      </c>
      <c r="M117" s="19">
        <f>M48*Inputs!$C$61</f>
        <v>2862.9597899775254</v>
      </c>
      <c r="N117" s="183">
        <f>N48*Inputs!$C$61</f>
        <v>2726.6883565990261</v>
      </c>
      <c r="O117" s="19">
        <f>O48*Inputs!$C$61</f>
        <v>2666.2282970799865</v>
      </c>
      <c r="P117" s="19">
        <f>P48*Inputs!$C$61</f>
        <v>2567.1212575824952</v>
      </c>
      <c r="Q117" s="19">
        <f>Q48*Inputs!$C$61</f>
        <v>2486.5245548509488</v>
      </c>
      <c r="R117" s="19">
        <f>R48*Inputs!$C$61</f>
        <v>2429.5733760038484</v>
      </c>
      <c r="S117" s="19">
        <f>S48*Inputs!$C$61</f>
        <v>2380.395481914542</v>
      </c>
      <c r="T117" s="19">
        <f>T48*Inputs!$C$61</f>
        <v>2280.0941494827075</v>
      </c>
      <c r="U117" s="19">
        <f>U48*Inputs!$C$61</f>
        <v>2125.0225822785774</v>
      </c>
      <c r="V117" s="19">
        <f>V48*Inputs!$C$61</f>
        <v>2077.3918577682552</v>
      </c>
      <c r="W117" s="19">
        <f>W48*Inputs!$C$61</f>
        <v>1969.0936842160356</v>
      </c>
      <c r="X117" s="183">
        <f>X48*Inputs!$C$61</f>
        <v>1945.0214012425827</v>
      </c>
      <c r="Y117" s="206">
        <f>Y48*Inputs!$C$61</f>
        <v>1954.4170279554924</v>
      </c>
      <c r="Z117" s="206">
        <f>Z48*Inputs!$C$61</f>
        <v>1997.7743068510654</v>
      </c>
      <c r="AA117" s="206">
        <f>AA48*Inputs!$C$61</f>
        <v>2030.9429882744002</v>
      </c>
      <c r="AB117" s="206">
        <f>AB48*Inputs!$C$61</f>
        <v>2046.2657655411658</v>
      </c>
      <c r="AC117" s="206">
        <f>AC48*Inputs!$C$61</f>
        <v>2013.2013900414274</v>
      </c>
      <c r="AD117" s="206">
        <f>AD48*Inputs!$C$61</f>
        <v>1975.5606602611217</v>
      </c>
      <c r="AE117" s="206">
        <f>AE48*Inputs!$C$61</f>
        <v>1952.0376886143049</v>
      </c>
      <c r="AF117" s="206">
        <f>AF48*Inputs!$C$61</f>
        <v>1917.7275656293639</v>
      </c>
      <c r="AG117" s="206">
        <f>AG48*Inputs!$C$61</f>
        <v>1880.1607038249854</v>
      </c>
      <c r="AH117" s="183">
        <f>AH48*Inputs!$C$61</f>
        <v>1813.2086840180259</v>
      </c>
      <c r="AI117" s="31"/>
    </row>
    <row r="118" spans="1:35" s="20" customFormat="1">
      <c r="A118" s="10" t="s">
        <v>58</v>
      </c>
      <c r="B118" s="37"/>
      <c r="C118" s="334">
        <f>SUM(C113,C116,C117)</f>
        <v>4428.5612000000001</v>
      </c>
      <c r="D118" s="334">
        <f>SUM(D113,D116,D117)</f>
        <v>4949.1755661115549</v>
      </c>
      <c r="E118" s="334">
        <f t="shared" ref="E118:AH118" si="90">SUM(E113,E116,E117)</f>
        <v>4480.2259300800952</v>
      </c>
      <c r="F118" s="334">
        <f t="shared" si="90"/>
        <v>4238.5073801822764</v>
      </c>
      <c r="G118" s="334">
        <f t="shared" si="90"/>
        <v>4205.2939825916865</v>
      </c>
      <c r="H118" s="404">
        <f t="shared" si="90"/>
        <v>4328.7193121867995</v>
      </c>
      <c r="I118" s="19">
        <f t="shared" si="90"/>
        <v>4446.8758979032064</v>
      </c>
      <c r="J118" s="19">
        <f t="shared" si="90"/>
        <v>4430.8155412815995</v>
      </c>
      <c r="K118" s="19">
        <f t="shared" si="90"/>
        <v>4707.8227285173671</v>
      </c>
      <c r="L118" s="19">
        <f t="shared" si="90"/>
        <v>4977.2999001256203</v>
      </c>
      <c r="M118" s="19">
        <f t="shared" si="90"/>
        <v>5183.6099677236716</v>
      </c>
      <c r="N118" s="183">
        <f t="shared" si="90"/>
        <v>5340.2266455909157</v>
      </c>
      <c r="O118" s="19">
        <f t="shared" si="90"/>
        <v>5364.7755636806087</v>
      </c>
      <c r="P118" s="19">
        <f t="shared" si="90"/>
        <v>5320.0264974061474</v>
      </c>
      <c r="Q118" s="19">
        <f t="shared" si="90"/>
        <v>5310.6711080223904</v>
      </c>
      <c r="R118" s="19">
        <f t="shared" si="90"/>
        <v>5344.9767059985961</v>
      </c>
      <c r="S118" s="19">
        <f t="shared" si="90"/>
        <v>5401.226427568412</v>
      </c>
      <c r="T118" s="19">
        <f t="shared" si="90"/>
        <v>5360.1199630030314</v>
      </c>
      <c r="U118" s="19">
        <f t="shared" si="90"/>
        <v>5509.2449601453554</v>
      </c>
      <c r="V118" s="19">
        <f t="shared" si="90"/>
        <v>5666.6307691789516</v>
      </c>
      <c r="W118" s="19">
        <f t="shared" si="90"/>
        <v>5635.1081797945262</v>
      </c>
      <c r="X118" s="183">
        <f t="shared" si="90"/>
        <v>5787.0526344463433</v>
      </c>
      <c r="Y118" s="206">
        <f t="shared" si="90"/>
        <v>5867.9430528406047</v>
      </c>
      <c r="Z118" s="206">
        <f t="shared" si="90"/>
        <v>5925.4388848876215</v>
      </c>
      <c r="AA118" s="206">
        <f t="shared" si="90"/>
        <v>6059.6628214376678</v>
      </c>
      <c r="AB118" s="206">
        <f t="shared" si="90"/>
        <v>6137.7755116057915</v>
      </c>
      <c r="AC118" s="206">
        <f t="shared" si="90"/>
        <v>6112.8405238516807</v>
      </c>
      <c r="AD118" s="206">
        <f t="shared" si="90"/>
        <v>6212.3253282294654</v>
      </c>
      <c r="AE118" s="206">
        <f t="shared" si="90"/>
        <v>6220.0018553941545</v>
      </c>
      <c r="AF118" s="206">
        <f t="shared" si="90"/>
        <v>6233.1506995289456</v>
      </c>
      <c r="AG118" s="206">
        <f t="shared" si="90"/>
        <v>6220.0984472035434</v>
      </c>
      <c r="AH118" s="183">
        <f t="shared" si="90"/>
        <v>6130.0567237256837</v>
      </c>
      <c r="AI118" s="31"/>
    </row>
    <row r="119" spans="1:35" s="1" customFormat="1">
      <c r="A119" s="1" t="s">
        <v>335</v>
      </c>
      <c r="B119" s="13"/>
      <c r="C119" s="341">
        <f>C118-'Output - Jobs vs Yr (BAU)'!C55</f>
        <v>0.44000000000050932</v>
      </c>
      <c r="D119" s="341">
        <f>D118-'Output - Jobs vs Yr (BAU)'!D55</f>
        <v>21.6949946999448</v>
      </c>
      <c r="E119" s="341">
        <f>E118-'Output - Jobs vs Yr (BAU)'!E55</f>
        <v>21.706074219629954</v>
      </c>
      <c r="F119" s="341">
        <f>F118-'Output - Jobs vs Yr (BAU)'!F55</f>
        <v>20.039212150336425</v>
      </c>
      <c r="G119" s="341">
        <f>G118-'Output - Jobs vs Yr (BAU)'!G55</f>
        <v>21.622562028133871</v>
      </c>
      <c r="H119" s="405">
        <f>H118-'Output - Jobs vs Yr (BAU)'!H55</f>
        <v>-3.7678301923242543</v>
      </c>
      <c r="I119" s="15">
        <f>I118-'Output - Jobs vs Yr (BAU)'!I55</f>
        <v>70.267695604685287</v>
      </c>
      <c r="J119" s="15">
        <f>J118-'Output - Jobs vs Yr (BAU)'!J55</f>
        <v>112.71464455514524</v>
      </c>
      <c r="K119" s="15">
        <f>K118-'Output - Jobs vs Yr (BAU)'!K55</f>
        <v>157.15354318740174</v>
      </c>
      <c r="L119" s="15">
        <f>L118-'Output - Jobs vs Yr (BAU)'!L55</f>
        <v>286.64732940910926</v>
      </c>
      <c r="M119" s="15">
        <f>M118-'Output - Jobs vs Yr (BAU)'!M55</f>
        <v>455.40642115811443</v>
      </c>
      <c r="N119" s="183">
        <f>N118-'Output - Jobs vs Yr (BAU)'!N55</f>
        <v>668.93617299962534</v>
      </c>
      <c r="O119" s="15">
        <f>O118-'Output - Jobs vs Yr (BAU)'!O55</f>
        <v>724.57122771068316</v>
      </c>
      <c r="P119" s="15">
        <f>P118-'Output - Jobs vs Yr (BAU)'!P55</f>
        <v>765.67019443493155</v>
      </c>
      <c r="Q119" s="15">
        <f>Q118-'Output - Jobs vs Yr (BAU)'!Q55</f>
        <v>812.59879797971644</v>
      </c>
      <c r="R119" s="15">
        <f>R118-'Output - Jobs vs Yr (BAU)'!R55</f>
        <v>871.3871798986047</v>
      </c>
      <c r="S119" s="15">
        <f>S118-'Output - Jobs vs Yr (BAU)'!S55</f>
        <v>936.13150583868446</v>
      </c>
      <c r="T119" s="15">
        <f>T118-'Output - Jobs vs Yr (BAU)'!T55</f>
        <v>985.1839794054049</v>
      </c>
      <c r="U119" s="15">
        <f>U118-'Output - Jobs vs Yr (BAU)'!U55</f>
        <v>1078.5922518310763</v>
      </c>
      <c r="V119" s="15">
        <f>V118-'Output - Jobs vs Yr (BAU)'!V55</f>
        <v>1180.9479579192712</v>
      </c>
      <c r="W119" s="15">
        <f>W118-'Output - Jobs vs Yr (BAU)'!W55</f>
        <v>1239.64297262947</v>
      </c>
      <c r="X119" s="191">
        <f>X118-'Output - Jobs vs Yr (BAU)'!X55</f>
        <v>1344.3001077566478</v>
      </c>
      <c r="Y119" s="131">
        <f>Y118-'Output - Jobs vs Yr (BAU)'!Y55</f>
        <v>1387.6210809627737</v>
      </c>
      <c r="Z119" s="131">
        <f>Z118-'Output - Jobs vs Yr (BAU)'!Z55</f>
        <v>1424.9646753003253</v>
      </c>
      <c r="AA119" s="131">
        <f>AA118-'Output - Jobs vs Yr (BAU)'!AA55</f>
        <v>1485.3012901140855</v>
      </c>
      <c r="AB119" s="131">
        <f>AB118-'Output - Jobs vs Yr (BAU)'!AB55</f>
        <v>1532.7469346442895</v>
      </c>
      <c r="AC119" s="131">
        <f>AC118-'Output - Jobs vs Yr (BAU)'!AC55</f>
        <v>1551.4597100162227</v>
      </c>
      <c r="AD119" s="131">
        <f>AD118-'Output - Jobs vs Yr (BAU)'!AD55</f>
        <v>1609.9347148556462</v>
      </c>
      <c r="AE119" s="131">
        <f>AE118-'Output - Jobs vs Yr (BAU)'!AE55</f>
        <v>1643.8567268028519</v>
      </c>
      <c r="AF119" s="131">
        <f>AF118-'Output - Jobs vs Yr (BAU)'!AF55</f>
        <v>1671.7356213870899</v>
      </c>
      <c r="AG119" s="131">
        <f>AG118-'Output - Jobs vs Yr (BAU)'!AG55</f>
        <v>1695.9072699440439</v>
      </c>
      <c r="AH119" s="191">
        <f>AH118-'Output - Jobs vs Yr (BAU)'!AH55</f>
        <v>1698.3543037579038</v>
      </c>
    </row>
    <row r="120" spans="1:35" s="1" customFormat="1">
      <c r="B120" s="13"/>
      <c r="C120" s="328"/>
      <c r="D120" s="341"/>
      <c r="E120" s="341"/>
      <c r="F120" s="341"/>
      <c r="G120" s="341"/>
      <c r="H120" s="405"/>
      <c r="I120" s="15"/>
      <c r="J120" s="15"/>
      <c r="K120" s="15"/>
      <c r="L120" s="15"/>
      <c r="M120" s="15"/>
      <c r="N120" s="188" t="s">
        <v>0</v>
      </c>
      <c r="O120" s="15"/>
      <c r="P120" s="15"/>
      <c r="Q120" s="15"/>
      <c r="R120" s="15"/>
      <c r="S120" s="15"/>
      <c r="T120" s="15"/>
      <c r="U120" s="15"/>
      <c r="V120" s="15"/>
      <c r="W120" s="15"/>
      <c r="X120" s="191"/>
      <c r="Y120"/>
      <c r="Z120"/>
      <c r="AA120"/>
      <c r="AB120"/>
      <c r="AC120"/>
      <c r="AD120"/>
      <c r="AE120"/>
      <c r="AF120"/>
      <c r="AG120"/>
      <c r="AH120" s="280"/>
    </row>
    <row r="121" spans="1:35" hidden="1">
      <c r="W121" s="2" t="s">
        <v>133</v>
      </c>
      <c r="X121" s="188">
        <f>X100</f>
        <v>0</v>
      </c>
    </row>
    <row r="122" spans="1:35" hidden="1">
      <c r="W122" s="2" t="s">
        <v>136</v>
      </c>
      <c r="X122" s="188">
        <f>X103-'Output - Jobs vs Yr (BAU)'!X43</f>
        <v>7.4802529471412527</v>
      </c>
    </row>
    <row r="123" spans="1:35" hidden="1">
      <c r="W123" s="2" t="s">
        <v>134</v>
      </c>
      <c r="X123" s="188">
        <f>X115-'Output - Jobs vs Yr (BAU)'!X51</f>
        <v>2048.697607805731</v>
      </c>
    </row>
    <row r="124" spans="1:35" hidden="1">
      <c r="W124" s="2" t="s">
        <v>137</v>
      </c>
      <c r="X124" s="188">
        <f>SUM(X101,X106,X111)</f>
        <v>0</v>
      </c>
    </row>
    <row r="125" spans="1:35" hidden="1">
      <c r="W125" s="2" t="s">
        <v>132</v>
      </c>
      <c r="X125" s="188">
        <f>SUM(X121:X124)</f>
        <v>2056.1778607528722</v>
      </c>
    </row>
    <row r="126" spans="1:35">
      <c r="A126" s="1" t="s">
        <v>140</v>
      </c>
      <c r="C126" s="328">
        <v>2009</v>
      </c>
      <c r="D126" s="328">
        <v>2010</v>
      </c>
      <c r="E126" s="328">
        <v>2011</v>
      </c>
      <c r="F126" s="328">
        <v>2012</v>
      </c>
      <c r="G126" s="328">
        <v>2013</v>
      </c>
      <c r="H126" s="400">
        <v>2014</v>
      </c>
      <c r="I126" s="13">
        <v>2015</v>
      </c>
      <c r="J126" s="13">
        <v>2016</v>
      </c>
      <c r="K126" s="13">
        <v>2017</v>
      </c>
      <c r="L126" s="13">
        <v>2018</v>
      </c>
      <c r="M126" s="13">
        <v>2019</v>
      </c>
      <c r="N126" s="177">
        <v>2020</v>
      </c>
      <c r="O126" s="13">
        <v>2021</v>
      </c>
      <c r="P126" s="13">
        <v>2022</v>
      </c>
      <c r="Q126" s="13">
        <v>2023</v>
      </c>
      <c r="R126" s="13">
        <v>2024</v>
      </c>
      <c r="S126" s="13">
        <v>2025</v>
      </c>
      <c r="T126" s="13">
        <v>2026</v>
      </c>
      <c r="U126" s="13">
        <v>2027</v>
      </c>
      <c r="V126" s="13">
        <v>2028</v>
      </c>
      <c r="W126" s="13">
        <v>2029</v>
      </c>
      <c r="X126" s="177">
        <v>2030</v>
      </c>
      <c r="Y126" s="13">
        <v>2031</v>
      </c>
      <c r="Z126" s="13">
        <v>2032</v>
      </c>
      <c r="AA126" s="13">
        <v>2033</v>
      </c>
      <c r="AB126" s="13">
        <v>2034</v>
      </c>
      <c r="AC126" s="13">
        <v>2035</v>
      </c>
      <c r="AD126" s="13">
        <v>2036</v>
      </c>
      <c r="AE126" s="13">
        <v>2037</v>
      </c>
      <c r="AF126" s="13">
        <v>2038</v>
      </c>
      <c r="AG126" s="13">
        <v>2039</v>
      </c>
      <c r="AH126" s="177">
        <v>2040</v>
      </c>
      <c r="AI126" s="1" t="s">
        <v>0</v>
      </c>
    </row>
    <row r="127" spans="1:35">
      <c r="A127" s="10" t="s">
        <v>61</v>
      </c>
      <c r="B127" s="35">
        <v>0</v>
      </c>
      <c r="C127" s="331">
        <v>0</v>
      </c>
      <c r="D127" s="331">
        <f xml:space="preserve"> IF(D100&gt; 0, D100*Inputs!$H44, 0)</f>
        <v>0</v>
      </c>
      <c r="E127" s="331">
        <f xml:space="preserve"> IF(E100&gt; 0, E100*Inputs!$H44, 0)</f>
        <v>0</v>
      </c>
      <c r="F127" s="331">
        <f xml:space="preserve"> IF(F100&gt; 0, F100*Inputs!$H44, 0)</f>
        <v>0</v>
      </c>
      <c r="G127" s="331">
        <f xml:space="preserve"> IF(G100&gt; 0, G100*Inputs!$H44, 0)</f>
        <v>0</v>
      </c>
      <c r="H127" s="402">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3">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8">
        <f xml:space="preserve"> IF(X100&gt; 0, X100*Inputs!$H44, 0)</f>
        <v>0</v>
      </c>
      <c r="Y127" s="159">
        <f xml:space="preserve"> IF(Y100&gt; 0, Y100*Inputs!$H44, 0)</f>
        <v>0</v>
      </c>
      <c r="Z127" s="159">
        <f xml:space="preserve"> IF(Z100&gt; 0, Z100*Inputs!$H44, 0)</f>
        <v>0</v>
      </c>
      <c r="AA127" s="159">
        <f xml:space="preserve"> IF(AA100&gt; 0, AA100*Inputs!$H44, 0)</f>
        <v>0</v>
      </c>
      <c r="AB127" s="159">
        <f xml:space="preserve"> IF(AB100&gt; 0, AB100*Inputs!$H44, 0)</f>
        <v>0</v>
      </c>
      <c r="AC127" s="159">
        <f xml:space="preserve"> IF(AC100&gt; 0, AC100*Inputs!$H44, 0)</f>
        <v>0</v>
      </c>
      <c r="AD127" s="159">
        <f xml:space="preserve"> IF(AD100&gt; 0, AD100*Inputs!$H44, 0)</f>
        <v>0</v>
      </c>
      <c r="AE127" s="159">
        <f xml:space="preserve"> IF(AE100&gt; 0, AE100*Inputs!$H44, 0)</f>
        <v>0</v>
      </c>
      <c r="AF127" s="159">
        <f xml:space="preserve"> IF(AF100&gt; 0, AF100*Inputs!$H44, 0)</f>
        <v>0</v>
      </c>
      <c r="AG127" s="159">
        <f xml:space="preserve"> IF(AG100&gt; 0, AG100*Inputs!$H44, 0)</f>
        <v>0</v>
      </c>
      <c r="AH127" s="188">
        <f xml:space="preserve"> IF(AH100&gt; 0, AH100*Inputs!$H44, 0)</f>
        <v>0</v>
      </c>
    </row>
    <row r="128" spans="1:35">
      <c r="A128" s="10" t="s">
        <v>60</v>
      </c>
      <c r="B128" s="35">
        <v>0</v>
      </c>
      <c r="C128" s="331">
        <f>C101*Inputs!$H47</f>
        <v>0</v>
      </c>
      <c r="D128" s="331">
        <f>D101*Inputs!$H47</f>
        <v>0</v>
      </c>
      <c r="E128" s="331">
        <f>E101*Inputs!$H47</f>
        <v>0</v>
      </c>
      <c r="F128" s="331">
        <f>F101*Inputs!$H47</f>
        <v>0</v>
      </c>
      <c r="G128" s="331">
        <f>G101*Inputs!$H47</f>
        <v>0</v>
      </c>
      <c r="H128" s="402">
        <f>H101*Inputs!$H47</f>
        <v>0</v>
      </c>
      <c r="I128" s="14">
        <f>I101*Inputs!$H47</f>
        <v>0</v>
      </c>
      <c r="J128" s="14">
        <f>J101*Inputs!$H47</f>
        <v>0</v>
      </c>
      <c r="K128" s="14">
        <f>K101*Inputs!$H47</f>
        <v>0</v>
      </c>
      <c r="L128" s="14">
        <f>L101*Inputs!$H47</f>
        <v>0</v>
      </c>
      <c r="M128" s="14">
        <f>M101*Inputs!$H47</f>
        <v>0</v>
      </c>
      <c r="N128" s="183">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8">
        <f>X101*Inputs!$H47</f>
        <v>0</v>
      </c>
      <c r="Y128" s="159">
        <f>Y101*Inputs!$H47</f>
        <v>0</v>
      </c>
      <c r="Z128" s="159">
        <f>Z101*Inputs!$H47</f>
        <v>0</v>
      </c>
      <c r="AA128" s="159">
        <f>AA101*Inputs!$H47</f>
        <v>0</v>
      </c>
      <c r="AB128" s="159">
        <f>AB101*Inputs!$H47</f>
        <v>0</v>
      </c>
      <c r="AC128" s="159">
        <f>AC101*Inputs!$H47</f>
        <v>0</v>
      </c>
      <c r="AD128" s="159">
        <f>AD101*Inputs!$H47</f>
        <v>0</v>
      </c>
      <c r="AE128" s="159">
        <f>AE101*Inputs!$H47</f>
        <v>0</v>
      </c>
      <c r="AF128" s="159">
        <f>AF101*Inputs!$H47</f>
        <v>0</v>
      </c>
      <c r="AG128" s="159">
        <f>AG101*Inputs!$H47</f>
        <v>0</v>
      </c>
      <c r="AH128" s="188">
        <f>AH101*Inputs!$H47</f>
        <v>0</v>
      </c>
    </row>
    <row r="129" spans="1:35">
      <c r="A129" s="10" t="s">
        <v>49</v>
      </c>
      <c r="B129" s="35">
        <v>0</v>
      </c>
      <c r="C129" s="331">
        <f>C102*Inputs!$H48</f>
        <v>162.13364999999999</v>
      </c>
      <c r="D129" s="331">
        <f>D102*Inputs!$H48</f>
        <v>174.50289362964131</v>
      </c>
      <c r="E129" s="331">
        <f>E102*Inputs!$H48</f>
        <v>153.8098582555574</v>
      </c>
      <c r="F129" s="331">
        <f>F102*Inputs!$H48</f>
        <v>142.92916235832001</v>
      </c>
      <c r="G129" s="331">
        <f>G102*Inputs!$H48</f>
        <v>138.35001607071959</v>
      </c>
      <c r="H129" s="402">
        <f>H102*Inputs!$H48</f>
        <v>129.15949471427302</v>
      </c>
      <c r="I129" s="14">
        <f>I102*Inputs!$H48</f>
        <v>130.75013442600672</v>
      </c>
      <c r="J129" s="14">
        <f>J102*Inputs!$H48</f>
        <v>128.05917305186713</v>
      </c>
      <c r="K129" s="14">
        <f>K102*Inputs!$H48</f>
        <v>133.07358174350483</v>
      </c>
      <c r="L129" s="14">
        <f>L102*Inputs!$H48</f>
        <v>136.87738251895018</v>
      </c>
      <c r="M129" s="14">
        <f>M102*Inputs!$H48</f>
        <v>137.66475186199651</v>
      </c>
      <c r="N129" s="183">
        <f>N102*Inputs!$H48</f>
        <v>135.65210595776875</v>
      </c>
      <c r="O129" s="14">
        <f>O102*Inputs!$H48</f>
        <v>135.66947489338054</v>
      </c>
      <c r="P129" s="14">
        <f>P102*Inputs!$H48</f>
        <v>133.8937908899176</v>
      </c>
      <c r="Q129" s="14">
        <f>Q102*Inputs!$H48</f>
        <v>132.95271188235552</v>
      </c>
      <c r="R129" s="14">
        <f>R102*Inputs!$H48</f>
        <v>132.99778870278962</v>
      </c>
      <c r="S129" s="14">
        <f>S102*Inputs!$H48</f>
        <v>133.51665461056496</v>
      </c>
      <c r="T129" s="14">
        <f>T102*Inputs!$H48</f>
        <v>131.58303692668628</v>
      </c>
      <c r="U129" s="14">
        <f>U102*Inputs!$H48</f>
        <v>134.17723304191699</v>
      </c>
      <c r="V129" s="14">
        <f>V102*Inputs!$H48</f>
        <v>136.82457242340209</v>
      </c>
      <c r="W129" s="14">
        <f>W102*Inputs!$H48</f>
        <v>134.87045568435974</v>
      </c>
      <c r="X129" s="188">
        <f>X102*Inputs!$H48</f>
        <v>137.14192731393095</v>
      </c>
      <c r="Y129" s="159">
        <f>Y102*Inputs!$H48</f>
        <v>138.30014843397132</v>
      </c>
      <c r="Z129" s="159">
        <f>Z102*Inputs!$H48</f>
        <v>138.88617593702219</v>
      </c>
      <c r="AA129" s="159">
        <f>AA102*Inputs!$H48</f>
        <v>141.22273511827515</v>
      </c>
      <c r="AB129" s="159">
        <f>AB102*Inputs!$H48</f>
        <v>142.23683442221616</v>
      </c>
      <c r="AC129" s="159">
        <f>AC102*Inputs!$H48</f>
        <v>140.87725118367862</v>
      </c>
      <c r="AD129" s="159">
        <f>AD102*Inputs!$H48</f>
        <v>142.34381683800069</v>
      </c>
      <c r="AE129" s="159">
        <f>AE102*Inputs!$H48</f>
        <v>141.70715233628758</v>
      </c>
      <c r="AF129" s="159">
        <f>AF102*Inputs!$H48</f>
        <v>141.18902310325834</v>
      </c>
      <c r="AG129" s="159">
        <f>AG102*Inputs!$H48</f>
        <v>140.07888741271952</v>
      </c>
      <c r="AH129" s="188">
        <f>AH102*Inputs!$H48</f>
        <v>137.26507027811948</v>
      </c>
    </row>
    <row r="130" spans="1:35">
      <c r="A130" s="10" t="s">
        <v>59</v>
      </c>
      <c r="B130" s="35">
        <v>0</v>
      </c>
      <c r="C130" s="331">
        <f>C103*Inputs!$H53</f>
        <v>679.89600000000007</v>
      </c>
      <c r="D130" s="331">
        <f>D103*Inputs!$H53</f>
        <v>736.16308093071632</v>
      </c>
      <c r="E130" s="331">
        <f>E103*Inputs!$H53</f>
        <v>652.85940578050065</v>
      </c>
      <c r="F130" s="331">
        <f>F103*Inputs!$H53</f>
        <v>610.49870825809921</v>
      </c>
      <c r="G130" s="331">
        <f>G103*Inputs!$H53</f>
        <v>594.7552029356043</v>
      </c>
      <c r="H130" s="402">
        <f>H103*Inputs!$H53</f>
        <v>676.72869225473869</v>
      </c>
      <c r="I130" s="14">
        <f>I103*Inputs!$H53</f>
        <v>669.58133672998429</v>
      </c>
      <c r="J130" s="14">
        <f>J103*Inputs!$H53</f>
        <v>640.55147927969688</v>
      </c>
      <c r="K130" s="14">
        <f>K103*Inputs!$H53</f>
        <v>649.69664321807352</v>
      </c>
      <c r="L130" s="14">
        <f>L103*Inputs!$H53</f>
        <v>651.78134273889475</v>
      </c>
      <c r="M130" s="14">
        <f>M103*Inputs!$H53</f>
        <v>638.85416396015182</v>
      </c>
      <c r="N130" s="183">
        <f>N103*Inputs!$H53</f>
        <v>612.9868222532325</v>
      </c>
      <c r="O130" s="14">
        <f>O103*Inputs!$H53</f>
        <v>613.06530926654796</v>
      </c>
      <c r="P130" s="14">
        <f>P103*Inputs!$H53</f>
        <v>605.04132108793829</v>
      </c>
      <c r="Q130" s="14">
        <f>Q103*Inputs!$H53</f>
        <v>600.78875879808879</v>
      </c>
      <c r="R130" s="14">
        <f>R103*Inputs!$H53</f>
        <v>600.99245262738907</v>
      </c>
      <c r="S130" s="14">
        <f>S103*Inputs!$H53</f>
        <v>603.33711186977314</v>
      </c>
      <c r="T130" s="14">
        <f>T103*Inputs!$H53</f>
        <v>594.5994505476375</v>
      </c>
      <c r="U130" s="14">
        <f>U103*Inputs!$H53</f>
        <v>606.3221438427347</v>
      </c>
      <c r="V130" s="14">
        <f>V103*Inputs!$H53</f>
        <v>618.28498174653851</v>
      </c>
      <c r="W130" s="14">
        <f>W103*Inputs!$H53</f>
        <v>609.45468897872604</v>
      </c>
      <c r="X130" s="188">
        <f>X103*Inputs!$H53</f>
        <v>619.71904990565963</v>
      </c>
      <c r="Y130" s="159">
        <f>Y103*Inputs!$H53</f>
        <v>624.95283731225652</v>
      </c>
      <c r="Z130" s="159">
        <f>Z103*Inputs!$H53</f>
        <v>627.60098740408023</v>
      </c>
      <c r="AA130" s="159">
        <f>AA103*Inputs!$H53</f>
        <v>638.15946696037088</v>
      </c>
      <c r="AB130" s="159">
        <f>AB103*Inputs!$H53</f>
        <v>642.74199448829233</v>
      </c>
      <c r="AC130" s="159">
        <f>AC103*Inputs!$H53</f>
        <v>636.59828884439071</v>
      </c>
      <c r="AD130" s="159">
        <f>AD103*Inputs!$H53</f>
        <v>643.22542827375196</v>
      </c>
      <c r="AE130" s="159">
        <f>AE103*Inputs!$H53</f>
        <v>640.34845893375473</v>
      </c>
      <c r="AF130" s="159">
        <f>AF103*Inputs!$H53</f>
        <v>638.0071285885407</v>
      </c>
      <c r="AG130" s="159">
        <f>AG103*Inputs!$H53</f>
        <v>632.99063036015968</v>
      </c>
      <c r="AH130" s="188">
        <f>AH103*Inputs!$H53</f>
        <v>620.27551022573937</v>
      </c>
    </row>
    <row r="131" spans="1:35">
      <c r="A131" s="10" t="s">
        <v>121</v>
      </c>
      <c r="B131" s="35">
        <v>1</v>
      </c>
      <c r="C131" s="330">
        <f>Inputs!$H46*'Output -Jobs vs Yr'!C104</f>
        <v>21.734999999999999</v>
      </c>
      <c r="D131" s="330">
        <f>Inputs!$H46*'Output -Jobs vs Yr'!D104</f>
        <v>29.884904752008499</v>
      </c>
      <c r="E131" s="330">
        <f>Inputs!$H46*'Output -Jobs vs Yr'!E104</f>
        <v>33.658240655656719</v>
      </c>
      <c r="F131" s="330">
        <f>Inputs!$H46*'Output -Jobs vs Yr'!F104</f>
        <v>39.974607364376098</v>
      </c>
      <c r="G131" s="330">
        <f>Inputs!$H46*'Output -Jobs vs Yr'!G104</f>
        <v>49.465207071851246</v>
      </c>
      <c r="H131" s="286">
        <f>Inputs!$H46*'Output -Jobs vs Yr'!H104</f>
        <v>19.407701553683331</v>
      </c>
      <c r="I131" s="40">
        <f>Inputs!$H46*'Output -Jobs vs Yr'!I104</f>
        <v>24.802800291000725</v>
      </c>
      <c r="J131" s="40">
        <f>Inputs!$H46*'Output -Jobs vs Yr'!J104</f>
        <v>30.667867187138292</v>
      </c>
      <c r="K131" s="40">
        <f>Inputs!$H46*'Output -Jobs vs Yr'!K104</f>
        <v>40.233013161952648</v>
      </c>
      <c r="L131" s="40">
        <f>Inputs!$H46*'Output -Jobs vs Yr'!L104</f>
        <v>52.244885403122929</v>
      </c>
      <c r="M131" s="40">
        <f>Inputs!$H46*'Output -Jobs vs Yr'!M104</f>
        <v>66.337604696683059</v>
      </c>
      <c r="N131" s="178">
        <f>Inputs!$H46*'Output -Jobs vs Yr'!N104</f>
        <v>82.526247032450556</v>
      </c>
      <c r="O131" s="40">
        <f>Inputs!$H46*'Output -Jobs vs Yr'!O104</f>
        <v>86.958108847308395</v>
      </c>
      <c r="P131" s="40">
        <f>Inputs!$H46*'Output -Jobs vs Yr'!P104</f>
        <v>90.420164175569468</v>
      </c>
      <c r="Q131" s="40">
        <f>Inputs!$H46*'Output -Jobs vs Yr'!Q104</f>
        <v>94.600476258261651</v>
      </c>
      <c r="R131" s="40">
        <f>Inputs!$H46*'Output -Jobs vs Yr'!R104</f>
        <v>99.711673682105612</v>
      </c>
      <c r="S131" s="40">
        <f>Inputs!$H46*'Output -Jobs vs Yr'!S104</f>
        <v>105.47669772393209</v>
      </c>
      <c r="T131" s="40">
        <f>Inputs!$H46*'Output -Jobs vs Yr'!T104</f>
        <v>109.53536488716995</v>
      </c>
      <c r="U131" s="40">
        <f>Inputs!$H46*'Output -Jobs vs Yr'!U104</f>
        <v>117.70106060000208</v>
      </c>
      <c r="V131" s="40">
        <f>Inputs!$H46*'Output -Jobs vs Yr'!V104</f>
        <v>126.48129441843865</v>
      </c>
      <c r="W131" s="40">
        <f>Inputs!$H46*'Output -Jobs vs Yr'!W104</f>
        <v>131.38721295135713</v>
      </c>
      <c r="X131" s="185">
        <f>Inputs!$H46*'Output -Jobs vs Yr'!X104</f>
        <v>140.79715055707021</v>
      </c>
      <c r="Y131" s="271">
        <f>Inputs!$H46*'Output -Jobs vs Yr'!Y104</f>
        <v>144.67143440603277</v>
      </c>
      <c r="Z131" s="271">
        <f>Inputs!$H46*'Output -Jobs vs Yr'!Z104</f>
        <v>148.0320643411757</v>
      </c>
      <c r="AA131" s="271">
        <f>Inputs!$H46*'Output -Jobs vs Yr'!AA104</f>
        <v>153.36919482496947</v>
      </c>
      <c r="AB131" s="271">
        <f>Inputs!$H46*'Output -Jobs vs Yr'!AB104</f>
        <v>157.39192657848446</v>
      </c>
      <c r="AC131" s="271">
        <f>Inputs!$H46*'Output -Jobs vs Yr'!AC104</f>
        <v>158.83573116635642</v>
      </c>
      <c r="AD131" s="271">
        <f>Inputs!$H46*'Output -Jobs vs Yr'!AD104</f>
        <v>163.52457122219991</v>
      </c>
      <c r="AE131" s="271">
        <f>Inputs!$H46*'Output -Jobs vs Yr'!AE104</f>
        <v>165.87210953205053</v>
      </c>
      <c r="AF131" s="271">
        <f>Inputs!$H46*'Output -Jobs vs Yr'!AF104</f>
        <v>168.39136837538311</v>
      </c>
      <c r="AG131" s="271">
        <f>Inputs!$H46*'Output -Jobs vs Yr'!AG104</f>
        <v>170.22721060052729</v>
      </c>
      <c r="AH131" s="185">
        <f>Inputs!$H46*'Output -Jobs vs Yr'!AH104</f>
        <v>169.96279049375269</v>
      </c>
    </row>
    <row r="132" spans="1:35">
      <c r="A132" s="10" t="s">
        <v>50</v>
      </c>
      <c r="B132" s="35">
        <v>1</v>
      </c>
      <c r="C132" s="331">
        <f>C105*Inputs!$H49</f>
        <v>0</v>
      </c>
      <c r="D132" s="331">
        <f>D105*Inputs!$H49</f>
        <v>0</v>
      </c>
      <c r="E132" s="331">
        <f>E105*Inputs!$H49</f>
        <v>2.2500000000000002E-10</v>
      </c>
      <c r="F132" s="331">
        <f>F105*Inputs!$H49</f>
        <v>2.2500000000000002E-10</v>
      </c>
      <c r="G132" s="331">
        <f>G105*Inputs!$H49</f>
        <v>2.2500000000000002E-10</v>
      </c>
      <c r="H132" s="402">
        <f>H105*Inputs!$H49</f>
        <v>2.2500000000000002E-10</v>
      </c>
      <c r="I132" s="14">
        <f>I105*Inputs!$H49</f>
        <v>2.6891018823766722E-10</v>
      </c>
      <c r="J132" s="14">
        <f>J105*Inputs!$H49</f>
        <v>3.1094833909969636E-10</v>
      </c>
      <c r="K132" s="14">
        <f>K105*Inputs!$H49</f>
        <v>3.8149192896471683E-10</v>
      </c>
      <c r="L132" s="14">
        <f>L105*Inputs!$H49</f>
        <v>4.6328122805694413E-10</v>
      </c>
      <c r="M132" s="14">
        <f>M105*Inputs!$H49</f>
        <v>5.5012177501099665E-10</v>
      </c>
      <c r="N132" s="183">
        <f>N105*Inputs!$H49</f>
        <v>6.4001370282598066E-10</v>
      </c>
      <c r="O132" s="14">
        <f>O105*Inputs!$H49</f>
        <v>6.7438400794145411E-10</v>
      </c>
      <c r="P132" s="14">
        <f>P105*Inputs!$H49</f>
        <v>7.0123319749877773E-10</v>
      </c>
      <c r="Q132" s="14">
        <f>Q105*Inputs!$H49</f>
        <v>7.3365266537982637E-10</v>
      </c>
      <c r="R132" s="14">
        <f>R105*Inputs!$H49</f>
        <v>7.7329140465053013E-10</v>
      </c>
      <c r="S132" s="14">
        <f>S105*Inputs!$H49</f>
        <v>8.1800074884788981E-10</v>
      </c>
      <c r="T132" s="14">
        <f>T105*Inputs!$H49</f>
        <v>8.4947682698168245E-10</v>
      </c>
      <c r="U132" s="14">
        <f>U105*Inputs!$H49</f>
        <v>9.1280403907779226E-10</v>
      </c>
      <c r="V132" s="14">
        <f>V105*Inputs!$H49</f>
        <v>9.8089716290063864E-10</v>
      </c>
      <c r="W132" s="14">
        <f>W105*Inputs!$H49</f>
        <v>1.0189439080141191E-9</v>
      </c>
      <c r="X132" s="188">
        <f>X105*Inputs!$H49</f>
        <v>1.0919205575887169E-9</v>
      </c>
      <c r="Y132" s="159">
        <f>Y105*Inputs!$H49</f>
        <v>1.1219666924989645E-9</v>
      </c>
      <c r="Z132" s="159">
        <f>Z105*Inputs!$H49</f>
        <v>1.1480293002869194E-9</v>
      </c>
      <c r="AA132" s="159">
        <f>AA105*Inputs!$H49</f>
        <v>1.1894202124661088E-9</v>
      </c>
      <c r="AB132" s="159">
        <f>AB105*Inputs!$H49</f>
        <v>1.220617601631648E-9</v>
      </c>
      <c r="AC132" s="159">
        <f>AC105*Inputs!$H49</f>
        <v>1.2318147025985407E-9</v>
      </c>
      <c r="AD132" s="159">
        <f>AD105*Inputs!$H49</f>
        <v>1.2681779445247023E-9</v>
      </c>
      <c r="AE132" s="159">
        <f>AE105*Inputs!$H49</f>
        <v>1.286383748620247E-9</v>
      </c>
      <c r="AF132" s="159">
        <f>AF105*Inputs!$H49</f>
        <v>1.3059212925977937E-9</v>
      </c>
      <c r="AG132" s="159">
        <f>AG105*Inputs!$H49</f>
        <v>1.3201587530733295E-9</v>
      </c>
      <c r="AH132" s="188">
        <f>AH105*Inputs!$H49</f>
        <v>1.3181081025503284E-9</v>
      </c>
    </row>
    <row r="133" spans="1:35">
      <c r="A133" s="10" t="s">
        <v>119</v>
      </c>
      <c r="B133" s="35">
        <v>1</v>
      </c>
      <c r="C133" s="331">
        <f>C106*Inputs!$H50</f>
        <v>0</v>
      </c>
      <c r="D133" s="331">
        <f>D106*Inputs!$H50</f>
        <v>0</v>
      </c>
      <c r="E133" s="331">
        <f>E106*Inputs!$H50</f>
        <v>0</v>
      </c>
      <c r="F133" s="331">
        <f>F106*Inputs!$H50</f>
        <v>0</v>
      </c>
      <c r="G133" s="331">
        <f>G106*Inputs!$H50</f>
        <v>0</v>
      </c>
      <c r="H133" s="402">
        <f>H106*Inputs!$H50</f>
        <v>0</v>
      </c>
      <c r="I133" s="14">
        <f>I106*Inputs!$H50</f>
        <v>0</v>
      </c>
      <c r="J133" s="14">
        <f>J106*Inputs!$H50</f>
        <v>0</v>
      </c>
      <c r="K133" s="14">
        <f>K106*Inputs!$H50</f>
        <v>0</v>
      </c>
      <c r="L133" s="14">
        <f>L106*Inputs!$H50</f>
        <v>0</v>
      </c>
      <c r="M133" s="14">
        <f>M106*Inputs!$H50</f>
        <v>0</v>
      </c>
      <c r="N133" s="183">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8">
        <f>X106*Inputs!$H50</f>
        <v>0</v>
      </c>
      <c r="Y133" s="159">
        <f>Y106*Inputs!$H50</f>
        <v>0</v>
      </c>
      <c r="Z133" s="159">
        <f>Z106*Inputs!$H50</f>
        <v>0</v>
      </c>
      <c r="AA133" s="159">
        <f>AA106*Inputs!$H50</f>
        <v>0</v>
      </c>
      <c r="AB133" s="159">
        <f>AB106*Inputs!$H50</f>
        <v>0</v>
      </c>
      <c r="AC133" s="159">
        <f>AC106*Inputs!$H50</f>
        <v>0</v>
      </c>
      <c r="AD133" s="159">
        <f>AD106*Inputs!$H50</f>
        <v>0</v>
      </c>
      <c r="AE133" s="159">
        <f>AE106*Inputs!$H50</f>
        <v>0</v>
      </c>
      <c r="AF133" s="159">
        <f>AF106*Inputs!$H50</f>
        <v>0</v>
      </c>
      <c r="AG133" s="159">
        <f>AG106*Inputs!$H50</f>
        <v>0</v>
      </c>
      <c r="AH133" s="188">
        <f>AH106*Inputs!$H50</f>
        <v>0</v>
      </c>
    </row>
    <row r="134" spans="1:35">
      <c r="A134" s="10" t="s">
        <v>51</v>
      </c>
      <c r="B134" s="35">
        <v>1</v>
      </c>
      <c r="C134" s="331">
        <f>C107*Inputs!$H52</f>
        <v>149.04</v>
      </c>
      <c r="D134" s="331">
        <f>D107*Inputs!$H52</f>
        <v>191.64083999024865</v>
      </c>
      <c r="E134" s="331">
        <f>E107*Inputs!$H52</f>
        <v>201.84620732394717</v>
      </c>
      <c r="F134" s="331">
        <f>F107*Inputs!$H52</f>
        <v>224.18491239833477</v>
      </c>
      <c r="G134" s="331">
        <f>G107*Inputs!$H52</f>
        <v>259.42689540649201</v>
      </c>
      <c r="H134" s="402">
        <f>H107*Inputs!$H52</f>
        <v>176.87180977130072</v>
      </c>
      <c r="I134" s="14">
        <f>I107*Inputs!$H52</f>
        <v>211.38697467995974</v>
      </c>
      <c r="J134" s="14">
        <f>J107*Inputs!$H52</f>
        <v>244.42975534472143</v>
      </c>
      <c r="K134" s="14">
        <f>K107*Inputs!$H52</f>
        <v>299.87899795761774</v>
      </c>
      <c r="L134" s="14">
        <f>L107*Inputs!$H52</f>
        <v>364.16672877221049</v>
      </c>
      <c r="M134" s="14">
        <f>M107*Inputs!$H52</f>
        <v>432.42347504570756</v>
      </c>
      <c r="N134" s="183">
        <f>N107*Inputs!$H52</f>
        <v>503.07711817604365</v>
      </c>
      <c r="O134" s="14">
        <f>O107*Inputs!$H52</f>
        <v>530.09359293584282</v>
      </c>
      <c r="P134" s="14">
        <f>P107*Inputs!$H52</f>
        <v>551.19816124152067</v>
      </c>
      <c r="Q134" s="14">
        <f>Q107*Inputs!$H52</f>
        <v>576.68119762399829</v>
      </c>
      <c r="R134" s="14">
        <f>R107*Inputs!$H52</f>
        <v>607.83887851799511</v>
      </c>
      <c r="S134" s="14">
        <f>S107*Inputs!$H52</f>
        <v>642.9822636283983</v>
      </c>
      <c r="T134" s="14">
        <f>T107*Inputs!$H52</f>
        <v>667.72375683254893</v>
      </c>
      <c r="U134" s="14">
        <f>U107*Inputs!$H52</f>
        <v>717.50155256217624</v>
      </c>
      <c r="V134" s="14">
        <f>V107*Inputs!$H52</f>
        <v>771.02555110962044</v>
      </c>
      <c r="W134" s="14">
        <f>W107*Inputs!$H52</f>
        <v>800.93185905764335</v>
      </c>
      <c r="X134" s="188">
        <f>X107*Inputs!$H52</f>
        <v>858.29450988843951</v>
      </c>
      <c r="Y134" s="159">
        <f>Y107*Inputs!$H52</f>
        <v>881.91200885171679</v>
      </c>
      <c r="Z134" s="159">
        <f>Z107*Inputs!$H52</f>
        <v>902.3982915050774</v>
      </c>
      <c r="AA134" s="159">
        <f>AA107*Inputs!$H52</f>
        <v>934.93325243769686</v>
      </c>
      <c r="AB134" s="159">
        <f>AB107*Inputs!$H52</f>
        <v>959.45568463987638</v>
      </c>
      <c r="AC134" s="159">
        <f>AC107*Inputs!$H52</f>
        <v>968.25706695634574</v>
      </c>
      <c r="AD134" s="159">
        <f>AD107*Inputs!$H52</f>
        <v>996.84007209354309</v>
      </c>
      <c r="AE134" s="159">
        <f>AE107*Inputs!$H52</f>
        <v>1011.150583599817</v>
      </c>
      <c r="AF134" s="159">
        <f>AF107*Inputs!$H52</f>
        <v>1026.5078974777268</v>
      </c>
      <c r="AG134" s="159">
        <f>AG107*Inputs!$H52</f>
        <v>1037.6991275319456</v>
      </c>
      <c r="AH134" s="188">
        <f>AH107*Inputs!$H52</f>
        <v>1036.0872318007407</v>
      </c>
    </row>
    <row r="135" spans="1:35">
      <c r="A135" s="9" t="s">
        <v>347</v>
      </c>
      <c r="B135" s="35">
        <v>1</v>
      </c>
      <c r="C135" s="331">
        <f>C108*Inputs!$H54</f>
        <v>0</v>
      </c>
      <c r="D135" s="331">
        <f>D108*Inputs!$H54</f>
        <v>20.825434270449001</v>
      </c>
      <c r="E135" s="331">
        <f>E108*Inputs!$H54</f>
        <v>44.716068301696708</v>
      </c>
      <c r="F135" s="331">
        <f>F108*Inputs!$H54</f>
        <v>42.282920485759739</v>
      </c>
      <c r="G135" s="331">
        <f>G108*Inputs!$H54</f>
        <v>69.896023203402194</v>
      </c>
      <c r="H135" s="402">
        <f>H108*Inputs!$H54</f>
        <v>102.75480053503441</v>
      </c>
      <c r="I135" s="14">
        <f>I108*Inputs!$H54</f>
        <v>146.73745787992627</v>
      </c>
      <c r="J135" s="14">
        <f>J108*Inputs!$H54</f>
        <v>198.29657850018384</v>
      </c>
      <c r="K135" s="14">
        <f>K108*Inputs!$H54</f>
        <v>273.61697449845514</v>
      </c>
      <c r="L135" s="14">
        <f>L108*Inputs!$H54</f>
        <v>386.23214131384697</v>
      </c>
      <c r="M135" s="14">
        <f>M108*Inputs!$H54</f>
        <v>533.09986301893593</v>
      </c>
      <c r="N135" s="183">
        <f>N108*Inputs!$H54</f>
        <v>720.91661413388726</v>
      </c>
      <c r="O135" s="14">
        <f>O108*Inputs!$H54</f>
        <v>759.6316039554921</v>
      </c>
      <c r="P135" s="14">
        <f>P108*Inputs!$H54</f>
        <v>789.87474834824206</v>
      </c>
      <c r="Q135" s="14">
        <f>Q108*Inputs!$H54</f>
        <v>826.39229932196338</v>
      </c>
      <c r="R135" s="14">
        <f>R108*Inputs!$H54</f>
        <v>871.0416960104925</v>
      </c>
      <c r="S135" s="14">
        <f>S108*Inputs!$H54</f>
        <v>921.40266312195888</v>
      </c>
      <c r="T135" s="14">
        <f>T108*Inputs!$H54</f>
        <v>956.85757225004863</v>
      </c>
      <c r="U135" s="14">
        <f>U108*Inputs!$H54</f>
        <v>1028.1898564265944</v>
      </c>
      <c r="V135" s="14">
        <f>V108*Inputs!$H54</f>
        <v>1104.8905021399773</v>
      </c>
      <c r="W135" s="14">
        <f>W108*Inputs!$H54</f>
        <v>1147.7466637266973</v>
      </c>
      <c r="X135" s="188">
        <f>X108*Inputs!$H54</f>
        <v>1229.9481523664799</v>
      </c>
      <c r="Y135" s="159">
        <f>Y108*Inputs!$H54</f>
        <v>1263.7923618758425</v>
      </c>
      <c r="Z135" s="159">
        <f>Z108*Inputs!$H54</f>
        <v>1293.1494941982121</v>
      </c>
      <c r="AA135" s="159">
        <f>AA108*Inputs!$H54</f>
        <v>1339.772552630209</v>
      </c>
      <c r="AB135" s="159">
        <f>AB108*Inputs!$H54</f>
        <v>1374.9135442491854</v>
      </c>
      <c r="AC135" s="159">
        <f>AC108*Inputs!$H54</f>
        <v>1387.5260493901299</v>
      </c>
      <c r="AD135" s="159">
        <f>AD108*Inputs!$H54</f>
        <v>1428.4858993630103</v>
      </c>
      <c r="AE135" s="159">
        <f>AE108*Inputs!$H54</f>
        <v>1448.9930644255583</v>
      </c>
      <c r="AF135" s="159">
        <f>AF108*Inputs!$H54</f>
        <v>1471.0003120682147</v>
      </c>
      <c r="AG135" s="159">
        <f>AG108*Inputs!$H54</f>
        <v>1487.0375027636132</v>
      </c>
      <c r="AH135" s="188">
        <f>AH108*Inputs!$H54</f>
        <v>1484.7276334197438</v>
      </c>
    </row>
    <row r="136" spans="1:35">
      <c r="A136" s="9" t="s">
        <v>348</v>
      </c>
      <c r="B136" s="35">
        <v>1</v>
      </c>
      <c r="C136" s="331">
        <f>C109*Inputs!$H55</f>
        <v>0</v>
      </c>
      <c r="D136" s="331">
        <f>D109*Inputs!$H55</f>
        <v>0</v>
      </c>
      <c r="E136" s="331">
        <f>E109*Inputs!$H55</f>
        <v>2.0700000000000003E-2</v>
      </c>
      <c r="F136" s="331">
        <f>F109*Inputs!$H55</f>
        <v>2.0700000000000003E-2</v>
      </c>
      <c r="G136" s="331">
        <f>G109*Inputs!$H55</f>
        <v>2.0700000000000003E-2</v>
      </c>
      <c r="H136" s="402">
        <f>H109*Inputs!$H55</f>
        <v>2.0700000000000003E-2</v>
      </c>
      <c r="I136" s="14">
        <f>I109*Inputs!$H55</f>
        <v>2.4739737317865395E-2</v>
      </c>
      <c r="J136" s="14">
        <f>J109*Inputs!$H55</f>
        <v>2.8607247197172069E-2</v>
      </c>
      <c r="K136" s="14">
        <f>K109*Inputs!$H55</f>
        <v>3.5097257464753957E-2</v>
      </c>
      <c r="L136" s="14">
        <f>L109*Inputs!$H55</f>
        <v>4.2621872981238873E-2</v>
      </c>
      <c r="M136" s="14">
        <f>M109*Inputs!$H55</f>
        <v>5.0611203301011702E-2</v>
      </c>
      <c r="N136" s="188">
        <f>N109*Inputs!$H55</f>
        <v>5.8881260659990234E-2</v>
      </c>
      <c r="O136" s="14">
        <f>O109*Inputs!$H55</f>
        <v>6.20433287306138E-2</v>
      </c>
      <c r="P136" s="14">
        <f>P109*Inputs!$H55</f>
        <v>6.451345416988756E-2</v>
      </c>
      <c r="Q136" s="14">
        <f>Q109*Inputs!$H55</f>
        <v>6.7496045214944025E-2</v>
      </c>
      <c r="R136" s="14">
        <f>R109*Inputs!$H55</f>
        <v>7.1142809227848769E-2</v>
      </c>
      <c r="S136" s="14">
        <f>S109*Inputs!$H55</f>
        <v>7.5256068894005865E-2</v>
      </c>
      <c r="T136" s="14">
        <f>T109*Inputs!$H55</f>
        <v>7.8151868082314779E-2</v>
      </c>
      <c r="U136" s="14">
        <f>U109*Inputs!$H55</f>
        <v>8.3977971595156867E-2</v>
      </c>
      <c r="V136" s="14">
        <f>V109*Inputs!$H55</f>
        <v>9.0242538986858759E-2</v>
      </c>
      <c r="W136" s="14">
        <f>W109*Inputs!$H55</f>
        <v>9.3742839537298964E-2</v>
      </c>
      <c r="X136" s="188">
        <f>X109*Inputs!$H55</f>
        <v>0.10045669129816198</v>
      </c>
      <c r="Y136" s="159">
        <f>Y109*Inputs!$H55</f>
        <v>0.10322093570990475</v>
      </c>
      <c r="Z136" s="159">
        <f>Z109*Inputs!$H55</f>
        <v>0.1056186956263966</v>
      </c>
      <c r="AA136" s="159">
        <f>AA109*Inputs!$H55</f>
        <v>0.10942665954688206</v>
      </c>
      <c r="AB136" s="159">
        <f>AB109*Inputs!$H55</f>
        <v>0.11229681935011165</v>
      </c>
      <c r="AC136" s="159">
        <f>AC109*Inputs!$H55</f>
        <v>0.11332695263906579</v>
      </c>
      <c r="AD136" s="159">
        <f>AD109*Inputs!$H55</f>
        <v>0.11667237089627268</v>
      </c>
      <c r="AE136" s="159">
        <f>AE109*Inputs!$H55</f>
        <v>0.11834730487306279</v>
      </c>
      <c r="AF136" s="159">
        <f>AF109*Inputs!$H55</f>
        <v>0.12014475891899706</v>
      </c>
      <c r="AG136" s="159">
        <f>AG109*Inputs!$H55</f>
        <v>0.12145460528274636</v>
      </c>
      <c r="AH136" s="188">
        <f>AH109*Inputs!$H55</f>
        <v>0.12126594543463023</v>
      </c>
    </row>
    <row r="137" spans="1:35">
      <c r="A137" s="9" t="s">
        <v>344</v>
      </c>
      <c r="B137" s="35">
        <v>1</v>
      </c>
      <c r="C137" s="331">
        <f>C110*Inputs!$H56</f>
        <v>2.16E-3</v>
      </c>
      <c r="D137" s="331">
        <f>D110*Inputs!$H56</f>
        <v>2.7774363171244685E-3</v>
      </c>
      <c r="E137" s="331">
        <f>E110*Inputs!$H56</f>
        <v>2.9253765284626169E-3</v>
      </c>
      <c r="F137" s="331">
        <f>F110*Inputs!$H56</f>
        <v>3.2491719497692024E-3</v>
      </c>
      <c r="G137" s="331">
        <f>G110*Inputs!$H56</f>
        <v>3.7599878999965385E-3</v>
      </c>
      <c r="H137" s="402">
        <f>H110*Inputs!$H56</f>
        <v>2.16E-3</v>
      </c>
      <c r="I137" s="14">
        <f>I110*Inputs!$H56</f>
        <v>2.5815378070816056E-3</v>
      </c>
      <c r="J137" s="14">
        <f>J110*Inputs!$H56</f>
        <v>2.9851040553570841E-3</v>
      </c>
      <c r="K137" s="14">
        <f>K110*Inputs!$H56</f>
        <v>3.66232251806128E-3</v>
      </c>
      <c r="L137" s="14">
        <f>L110*Inputs!$H56</f>
        <v>4.4474997893466615E-3</v>
      </c>
      <c r="M137" s="14">
        <f>M110*Inputs!$H56</f>
        <v>5.2811690401055643E-3</v>
      </c>
      <c r="N137" s="188">
        <f>N110*Inputs!$H56</f>
        <v>6.1441315471294135E-3</v>
      </c>
      <c r="O137" s="14">
        <f>O110*Inputs!$H56</f>
        <v>6.4740864762379531E-3</v>
      </c>
      <c r="P137" s="14">
        <f>P110*Inputs!$H56</f>
        <v>6.7318386959882588E-3</v>
      </c>
      <c r="Q137" s="14">
        <f>Q110*Inputs!$H56</f>
        <v>7.0430655876463251E-3</v>
      </c>
      <c r="R137" s="14">
        <f>R110*Inputs!$H56</f>
        <v>7.4235974846450815E-3</v>
      </c>
      <c r="S137" s="14">
        <f>S110*Inputs!$H56</f>
        <v>7.8528071889397335E-3</v>
      </c>
      <c r="T137" s="14">
        <f>T110*Inputs!$H56</f>
        <v>8.1549775390241438E-3</v>
      </c>
      <c r="U137" s="14">
        <f>U110*Inputs!$H56</f>
        <v>8.7629187751467955E-3</v>
      </c>
      <c r="V137" s="14">
        <f>V110*Inputs!$H56</f>
        <v>9.4166127638461231E-3</v>
      </c>
      <c r="W137" s="14">
        <f>W110*Inputs!$H56</f>
        <v>9.7818615169355354E-3</v>
      </c>
      <c r="X137" s="188">
        <f>X110*Inputs!$H56</f>
        <v>1.0482437352851683E-2</v>
      </c>
      <c r="Y137" s="159">
        <f>Y110*Inputs!$H56</f>
        <v>1.0770880247990056E-2</v>
      </c>
      <c r="Z137" s="159">
        <f>Z110*Inputs!$H56</f>
        <v>1.1021081282754426E-2</v>
      </c>
      <c r="AA137" s="159">
        <f>AA110*Inputs!$H56</f>
        <v>1.1418434039674645E-2</v>
      </c>
      <c r="AB137" s="159">
        <f>AB110*Inputs!$H56</f>
        <v>1.1717928975663821E-2</v>
      </c>
      <c r="AC137" s="159">
        <f>AC110*Inputs!$H56</f>
        <v>1.1825421144945992E-2</v>
      </c>
      <c r="AD137" s="159">
        <f>AD110*Inputs!$H56</f>
        <v>1.2174508267437142E-2</v>
      </c>
      <c r="AE137" s="159">
        <f>AE110*Inputs!$H56</f>
        <v>1.2349283986754373E-2</v>
      </c>
      <c r="AF137" s="159">
        <f>AF110*Inputs!$H56</f>
        <v>1.2536844408938819E-2</v>
      </c>
      <c r="AG137" s="159">
        <f>AG110*Inputs!$H56</f>
        <v>1.2673524029503964E-2</v>
      </c>
      <c r="AH137" s="188">
        <f>AH110*Inputs!$H56</f>
        <v>1.265383778448315E-2</v>
      </c>
    </row>
    <row r="138" spans="1:35">
      <c r="A138" s="10" t="s">
        <v>120</v>
      </c>
      <c r="B138" s="35">
        <v>1</v>
      </c>
      <c r="C138" s="331">
        <f>C111*Inputs!$H56</f>
        <v>0</v>
      </c>
      <c r="D138" s="331">
        <f>D111*Inputs!$H56</f>
        <v>0</v>
      </c>
      <c r="E138" s="331">
        <f>E111*Inputs!$H56</f>
        <v>0</v>
      </c>
      <c r="F138" s="331">
        <f>F111*Inputs!$H56</f>
        <v>0</v>
      </c>
      <c r="G138" s="331">
        <f>G111*Inputs!$H56</f>
        <v>0</v>
      </c>
      <c r="H138" s="402">
        <f>H111*Inputs!$H56</f>
        <v>0</v>
      </c>
      <c r="I138" s="14">
        <f>I111*Inputs!$H56</f>
        <v>0</v>
      </c>
      <c r="J138" s="14">
        <f>J111*Inputs!$H56</f>
        <v>0</v>
      </c>
      <c r="K138" s="14">
        <f>K111*Inputs!$H56</f>
        <v>0</v>
      </c>
      <c r="L138" s="14">
        <f>L111*Inputs!$H56</f>
        <v>0</v>
      </c>
      <c r="M138" s="14">
        <f>M111*Inputs!$H56</f>
        <v>0</v>
      </c>
      <c r="N138" s="183">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8">
        <f>X111*Inputs!$H56</f>
        <v>0</v>
      </c>
      <c r="Y138" s="159">
        <f>Y111*Inputs!$H56</f>
        <v>0</v>
      </c>
      <c r="Z138" s="159">
        <f>Z111*Inputs!$H56</f>
        <v>0</v>
      </c>
      <c r="AA138" s="159">
        <f>AA111*Inputs!$H56</f>
        <v>0</v>
      </c>
      <c r="AB138" s="159">
        <f>AB111*Inputs!$H56</f>
        <v>0</v>
      </c>
      <c r="AC138" s="159">
        <f>AC111*Inputs!$H56</f>
        <v>0</v>
      </c>
      <c r="AD138" s="159">
        <f>AD111*Inputs!$H56</f>
        <v>0</v>
      </c>
      <c r="AE138" s="159">
        <f>AE111*Inputs!$H56</f>
        <v>0</v>
      </c>
      <c r="AF138" s="159">
        <f>AF111*Inputs!$H56</f>
        <v>0</v>
      </c>
      <c r="AG138" s="159">
        <f>AG111*Inputs!$H56</f>
        <v>0</v>
      </c>
      <c r="AH138" s="188">
        <f>AH111*Inputs!$H56</f>
        <v>0</v>
      </c>
    </row>
    <row r="139" spans="1:35">
      <c r="A139" s="10" t="s">
        <v>53</v>
      </c>
      <c r="B139" s="35">
        <v>1</v>
      </c>
      <c r="C139" s="331">
        <f>C112*Inputs!$H57</f>
        <v>0.91800000000000004</v>
      </c>
      <c r="D139" s="331">
        <f>D112*Inputs!$H57</f>
        <v>3.3660000000000001</v>
      </c>
      <c r="E139" s="331">
        <f>E112*Inputs!$H57</f>
        <v>2.0628984070861289</v>
      </c>
      <c r="F139" s="331">
        <f>F112*Inputs!$H57</f>
        <v>3.0755137779774948</v>
      </c>
      <c r="G139" s="331">
        <f>G112*Inputs!$H57</f>
        <v>5.1079662845285805</v>
      </c>
      <c r="H139" s="402">
        <f>H112*Inputs!$H57</f>
        <v>5.1836800895418387</v>
      </c>
      <c r="I139" s="14">
        <f>I112*Inputs!$H57</f>
        <v>12.813941746653457</v>
      </c>
      <c r="J139" s="14">
        <f>J112*Inputs!$H57</f>
        <v>17.966418986847323</v>
      </c>
      <c r="K139" s="14">
        <f>K112*Inputs!$H57</f>
        <v>17.966014492325414</v>
      </c>
      <c r="L139" s="14">
        <f>L112*Inputs!$H57</f>
        <v>24.443373032746845</v>
      </c>
      <c r="M139" s="14">
        <f>M112*Inputs!$H57</f>
        <v>35.705938936671885</v>
      </c>
      <c r="N139" s="183">
        <f>N112*Inputs!$H57</f>
        <v>51.101786665257634</v>
      </c>
      <c r="O139" s="14">
        <f>O112*Inputs!$H57</f>
        <v>53.846077907578561</v>
      </c>
      <c r="P139" s="14">
        <f>P112*Inputs!$H57</f>
        <v>55.989846940702641</v>
      </c>
      <c r="Q139" s="14">
        <f>Q112*Inputs!$H57</f>
        <v>58.578373911521219</v>
      </c>
      <c r="R139" s="14">
        <f>R112*Inputs!$H57</f>
        <v>61.743322394572743</v>
      </c>
      <c r="S139" s="14">
        <f>S112*Inputs!$H57</f>
        <v>65.313132476808235</v>
      </c>
      <c r="T139" s="14">
        <f>T112*Inputs!$H57</f>
        <v>67.826334651620698</v>
      </c>
      <c r="U139" s="14">
        <f>U112*Inputs!$H57</f>
        <v>72.882685270914905</v>
      </c>
      <c r="V139" s="14">
        <f>V112*Inputs!$H57</f>
        <v>78.319569311993334</v>
      </c>
      <c r="W139" s="14">
        <f>W112*Inputs!$H57</f>
        <v>81.357405288803903</v>
      </c>
      <c r="X139" s="188">
        <f>X112*Inputs!$H57</f>
        <v>87.184213623750338</v>
      </c>
      <c r="Y139" s="159">
        <f>Y112*Inputs!$H57</f>
        <v>89.583242221918482</v>
      </c>
      <c r="Z139" s="159">
        <f>Z112*Inputs!$H57</f>
        <v>91.664206765708087</v>
      </c>
      <c r="AA139" s="159">
        <f>AA112*Inputs!$H57</f>
        <v>94.969057200506455</v>
      </c>
      <c r="AB139" s="159">
        <f>AB112*Inputs!$H57</f>
        <v>97.460007501431292</v>
      </c>
      <c r="AC139" s="159">
        <f>AC112*Inputs!$H57</f>
        <v>98.354038148514292</v>
      </c>
      <c r="AD139" s="159">
        <f>AD112*Inputs!$H57</f>
        <v>101.25745509593725</v>
      </c>
      <c r="AE139" s="159">
        <f>AE112*Inputs!$H57</f>
        <v>102.71109446780075</v>
      </c>
      <c r="AF139" s="159">
        <f>AF112*Inputs!$H57</f>
        <v>104.27106638698815</v>
      </c>
      <c r="AG139" s="159">
        <f>AG112*Inputs!$H57</f>
        <v>105.40785402866415</v>
      </c>
      <c r="AH139" s="188">
        <f>AH112*Inputs!$H57</f>
        <v>105.24412018189072</v>
      </c>
      <c r="AI139" s="31">
        <f>SUM(C139:X139)</f>
        <v>862.75249419790305</v>
      </c>
    </row>
    <row r="140" spans="1:35">
      <c r="A140" s="10" t="s">
        <v>383</v>
      </c>
      <c r="C140" s="331">
        <f t="shared" ref="C140:AH140" si="91">SUM(C127:C139)</f>
        <v>1013.72481</v>
      </c>
      <c r="D140" s="331">
        <f t="shared" si="91"/>
        <v>1156.3859310093808</v>
      </c>
      <c r="E140" s="331">
        <f t="shared" si="91"/>
        <v>1088.9763041011981</v>
      </c>
      <c r="F140" s="331">
        <f t="shared" si="91"/>
        <v>1062.9697738150421</v>
      </c>
      <c r="G140" s="331">
        <f t="shared" si="91"/>
        <v>1117.0257709607229</v>
      </c>
      <c r="H140" s="402">
        <f t="shared" si="91"/>
        <v>1110.1290389187971</v>
      </c>
      <c r="I140" s="14">
        <f t="shared" si="91"/>
        <v>1196.099967028925</v>
      </c>
      <c r="J140" s="14">
        <f t="shared" si="91"/>
        <v>1260.0028647020185</v>
      </c>
      <c r="K140" s="14">
        <f t="shared" si="91"/>
        <v>1414.5039846522936</v>
      </c>
      <c r="L140" s="14">
        <f t="shared" si="91"/>
        <v>1615.7929231530061</v>
      </c>
      <c r="M140" s="14">
        <f t="shared" si="91"/>
        <v>1844.1416898930379</v>
      </c>
      <c r="N140" s="183">
        <f t="shared" si="91"/>
        <v>2106.3257196114878</v>
      </c>
      <c r="O140" s="14">
        <f t="shared" si="91"/>
        <v>2179.3326852220316</v>
      </c>
      <c r="P140" s="14">
        <f t="shared" si="91"/>
        <v>2226.4892779774577</v>
      </c>
      <c r="Q140" s="14">
        <f t="shared" si="91"/>
        <v>2290.068356907725</v>
      </c>
      <c r="R140" s="14">
        <f t="shared" si="91"/>
        <v>2374.4043783428306</v>
      </c>
      <c r="S140" s="14">
        <f t="shared" si="91"/>
        <v>2472.1116323083365</v>
      </c>
      <c r="T140" s="14">
        <f t="shared" si="91"/>
        <v>2528.2118229421826</v>
      </c>
      <c r="U140" s="14">
        <f t="shared" si="91"/>
        <v>2676.8672726356226</v>
      </c>
      <c r="V140" s="14">
        <f t="shared" si="91"/>
        <v>2835.9261303027015</v>
      </c>
      <c r="W140" s="14">
        <f t="shared" si="91"/>
        <v>2905.8518103896608</v>
      </c>
      <c r="X140" s="188">
        <f t="shared" si="91"/>
        <v>3073.1959427850734</v>
      </c>
      <c r="Y140" s="159">
        <f t="shared" si="91"/>
        <v>3143.3260249188183</v>
      </c>
      <c r="Z140" s="159">
        <f t="shared" si="91"/>
        <v>3201.8478599293326</v>
      </c>
      <c r="AA140" s="159">
        <f t="shared" si="91"/>
        <v>3302.5471042668041</v>
      </c>
      <c r="AB140" s="159">
        <f t="shared" si="91"/>
        <v>3374.3240066290323</v>
      </c>
      <c r="AC140" s="159">
        <f t="shared" si="91"/>
        <v>3390.5735780644309</v>
      </c>
      <c r="AD140" s="159">
        <f t="shared" si="91"/>
        <v>3475.8060897668747</v>
      </c>
      <c r="AE140" s="159">
        <f t="shared" si="91"/>
        <v>3510.9131598854146</v>
      </c>
      <c r="AF140" s="159">
        <f t="shared" si="91"/>
        <v>3549.4994776047456</v>
      </c>
      <c r="AG140" s="159">
        <f t="shared" si="91"/>
        <v>3573.5753408282621</v>
      </c>
      <c r="AH140" s="188">
        <f t="shared" si="91"/>
        <v>3553.6962761845234</v>
      </c>
      <c r="AI140" s="48" t="s">
        <v>0</v>
      </c>
    </row>
    <row r="141" spans="1:35">
      <c r="A141" s="10" t="s">
        <v>386</v>
      </c>
      <c r="C141" s="331">
        <f>SUM(C128:C130)</f>
        <v>842.02965000000006</v>
      </c>
      <c r="D141" s="331">
        <f t="shared" ref="D141:AH141" si="92">SUM(D128:D130)</f>
        <v>910.66597456035765</v>
      </c>
      <c r="E141" s="331">
        <f t="shared" si="92"/>
        <v>806.66926403605805</v>
      </c>
      <c r="F141" s="331">
        <f t="shared" si="92"/>
        <v>753.42787061641923</v>
      </c>
      <c r="G141" s="331">
        <f t="shared" si="92"/>
        <v>733.10521900632386</v>
      </c>
      <c r="H141" s="402">
        <f t="shared" si="92"/>
        <v>805.88818696901171</v>
      </c>
      <c r="I141" s="14">
        <f t="shared" si="92"/>
        <v>800.33147115599104</v>
      </c>
      <c r="J141" s="14">
        <f t="shared" si="92"/>
        <v>768.61065233156398</v>
      </c>
      <c r="K141" s="14">
        <f t="shared" si="92"/>
        <v>782.77022496157838</v>
      </c>
      <c r="L141" s="14">
        <f t="shared" si="92"/>
        <v>788.65872525784494</v>
      </c>
      <c r="M141" s="14">
        <f t="shared" si="92"/>
        <v>776.5189158221483</v>
      </c>
      <c r="N141" s="188">
        <f t="shared" si="92"/>
        <v>748.63892821100126</v>
      </c>
      <c r="O141" s="14">
        <f t="shared" si="92"/>
        <v>748.73478415992849</v>
      </c>
      <c r="P141" s="14">
        <f t="shared" si="92"/>
        <v>738.93511197785585</v>
      </c>
      <c r="Q141" s="14">
        <f t="shared" si="92"/>
        <v>733.74147068044431</v>
      </c>
      <c r="R141" s="14">
        <f t="shared" si="92"/>
        <v>733.99024133017872</v>
      </c>
      <c r="S141" s="14">
        <f t="shared" si="92"/>
        <v>736.85376648033809</v>
      </c>
      <c r="T141" s="14">
        <f t="shared" si="92"/>
        <v>726.18248747432381</v>
      </c>
      <c r="U141" s="14">
        <f t="shared" si="92"/>
        <v>740.49937688465172</v>
      </c>
      <c r="V141" s="14">
        <f t="shared" si="92"/>
        <v>755.10955416994057</v>
      </c>
      <c r="W141" s="14">
        <f t="shared" si="92"/>
        <v>744.32514466308578</v>
      </c>
      <c r="X141" s="188">
        <f t="shared" si="92"/>
        <v>756.86097721959061</v>
      </c>
      <c r="Y141" s="159">
        <f t="shared" si="92"/>
        <v>763.25298574622786</v>
      </c>
      <c r="Z141" s="159">
        <f t="shared" si="92"/>
        <v>766.48716334110236</v>
      </c>
      <c r="AA141" s="159">
        <f t="shared" si="92"/>
        <v>779.38220207864606</v>
      </c>
      <c r="AB141" s="159">
        <f t="shared" si="92"/>
        <v>784.97882891050847</v>
      </c>
      <c r="AC141" s="159">
        <f t="shared" si="92"/>
        <v>777.4755400280693</v>
      </c>
      <c r="AD141" s="159">
        <f t="shared" si="92"/>
        <v>785.56924511175271</v>
      </c>
      <c r="AE141" s="159">
        <f t="shared" si="92"/>
        <v>782.05561127004228</v>
      </c>
      <c r="AF141" s="159">
        <f t="shared" si="92"/>
        <v>779.19615169179906</v>
      </c>
      <c r="AG141" s="159">
        <f t="shared" si="92"/>
        <v>773.06951777287918</v>
      </c>
      <c r="AH141" s="188">
        <f t="shared" si="92"/>
        <v>757.54058050385879</v>
      </c>
      <c r="AI141" s="48"/>
    </row>
    <row r="142" spans="1:35">
      <c r="A142" s="10" t="s">
        <v>385</v>
      </c>
      <c r="C142" s="330">
        <f t="shared" ref="C142:AH142" si="93">SUMPRODUCT($B131:$B139,C131:C139)</f>
        <v>171.69515999999999</v>
      </c>
      <c r="D142" s="330">
        <f t="shared" si="93"/>
        <v>245.7199564490233</v>
      </c>
      <c r="E142" s="330">
        <f t="shared" si="93"/>
        <v>282.3070400651402</v>
      </c>
      <c r="F142" s="330">
        <f t="shared" si="93"/>
        <v>309.54190319862289</v>
      </c>
      <c r="G142" s="330">
        <f t="shared" si="93"/>
        <v>383.92055195439895</v>
      </c>
      <c r="H142" s="286">
        <f t="shared" si="93"/>
        <v>304.24085194978528</v>
      </c>
      <c r="I142" s="40">
        <f t="shared" si="93"/>
        <v>395.76849587293407</v>
      </c>
      <c r="J142" s="40">
        <f t="shared" si="93"/>
        <v>491.39221237045433</v>
      </c>
      <c r="K142" s="40">
        <f t="shared" si="93"/>
        <v>631.73375969071515</v>
      </c>
      <c r="L142" s="40">
        <f t="shared" si="93"/>
        <v>827.13419789516104</v>
      </c>
      <c r="M142" s="40">
        <f t="shared" si="93"/>
        <v>1067.6227740708896</v>
      </c>
      <c r="N142" s="178">
        <f t="shared" si="93"/>
        <v>1357.6867914004863</v>
      </c>
      <c r="O142" s="40">
        <f t="shared" si="93"/>
        <v>1430.5979010621031</v>
      </c>
      <c r="P142" s="40">
        <f t="shared" si="93"/>
        <v>1487.5541659996018</v>
      </c>
      <c r="Q142" s="40">
        <f t="shared" si="93"/>
        <v>1556.3268862272805</v>
      </c>
      <c r="R142" s="40">
        <f t="shared" si="93"/>
        <v>1640.4141370126517</v>
      </c>
      <c r="S142" s="40">
        <f t="shared" si="93"/>
        <v>1735.2578658279988</v>
      </c>
      <c r="T142" s="40">
        <f t="shared" si="93"/>
        <v>1802.0293354678593</v>
      </c>
      <c r="U142" s="40">
        <f t="shared" si="93"/>
        <v>1936.3678957509705</v>
      </c>
      <c r="V142" s="40">
        <f t="shared" si="93"/>
        <v>2080.8165761327614</v>
      </c>
      <c r="W142" s="40">
        <f t="shared" si="93"/>
        <v>2161.5266657265747</v>
      </c>
      <c r="X142" s="185">
        <f t="shared" si="93"/>
        <v>2316.3349655654829</v>
      </c>
      <c r="Y142" s="271">
        <f t="shared" si="93"/>
        <v>2380.0730391725906</v>
      </c>
      <c r="Z142" s="271">
        <f t="shared" si="93"/>
        <v>2435.3606965882304</v>
      </c>
      <c r="AA142" s="271">
        <f t="shared" si="93"/>
        <v>2523.1649021881576</v>
      </c>
      <c r="AB142" s="271">
        <f t="shared" si="93"/>
        <v>2589.3451777185237</v>
      </c>
      <c r="AC142" s="271">
        <f t="shared" si="93"/>
        <v>2613.0980380363617</v>
      </c>
      <c r="AD142" s="271">
        <f t="shared" si="93"/>
        <v>2690.2368446551218</v>
      </c>
      <c r="AE142" s="271">
        <f t="shared" si="93"/>
        <v>2728.8575486153727</v>
      </c>
      <c r="AF142" s="271">
        <f t="shared" si="93"/>
        <v>2770.3033259129465</v>
      </c>
      <c r="AG142" s="271">
        <f t="shared" si="93"/>
        <v>2800.5058230553827</v>
      </c>
      <c r="AH142" s="185">
        <f t="shared" si="93"/>
        <v>2796.1556956806648</v>
      </c>
    </row>
    <row r="143" spans="1:35">
      <c r="A143" s="10" t="s">
        <v>142</v>
      </c>
      <c r="C143" s="331">
        <f>C116*Inputs!$H$60</f>
        <v>2080.386</v>
      </c>
      <c r="D143" s="331">
        <f>D116*Inputs!$H$60</f>
        <v>808.31334396462296</v>
      </c>
      <c r="E143" s="331">
        <f>E116*Inputs!$H$60</f>
        <v>389.69653385583757</v>
      </c>
      <c r="F143" s="331">
        <f>F116*Inputs!$H$60</f>
        <v>205.0508149318471</v>
      </c>
      <c r="G143" s="331">
        <f>G116*Inputs!$H$60</f>
        <v>220.09037349078173</v>
      </c>
      <c r="H143" s="402">
        <f>H116*Inputs!$H$60</f>
        <v>220.81540255045755</v>
      </c>
      <c r="I143" s="14">
        <f>I116*Inputs!$H$60</f>
        <v>219.91667764674057</v>
      </c>
      <c r="J143" s="14">
        <f>J116*Inputs!$H$60</f>
        <v>30.315084553943123</v>
      </c>
      <c r="K143" s="14">
        <f>K116*Inputs!$H$60</f>
        <v>112.97715633645461</v>
      </c>
      <c r="L143" s="14">
        <f>L116*Inputs!$H$60</f>
        <v>209.4273309657496</v>
      </c>
      <c r="M143" s="14">
        <f>M116*Inputs!$H$60</f>
        <v>244.44280993236362</v>
      </c>
      <c r="N143" s="183">
        <f>N116*Inputs!$H$60</f>
        <v>245.85797246476915</v>
      </c>
      <c r="O143" s="14">
        <f>O116*Inputs!$H$60</f>
        <v>249.35904545771911</v>
      </c>
      <c r="P143" s="14">
        <f>P116*Inputs!$H$60</f>
        <v>251.1245963839925</v>
      </c>
      <c r="Q143" s="14">
        <f>Q116*Inputs!$H$60</f>
        <v>251.66266056337358</v>
      </c>
      <c r="R143" s="14">
        <f>R116*Inputs!$H$60</f>
        <v>249.45769070275713</v>
      </c>
      <c r="S143" s="14">
        <f>S116*Inputs!$H$60</f>
        <v>246.63523717924778</v>
      </c>
      <c r="T143" s="14">
        <f>T116*Inputs!$H$60</f>
        <v>243.81038985391672</v>
      </c>
      <c r="U143" s="14">
        <f>U116*Inputs!$H$60</f>
        <v>368.93177207963112</v>
      </c>
      <c r="V143" s="14">
        <f>V116*Inputs!$H$60</f>
        <v>394.38771289032911</v>
      </c>
      <c r="W143" s="14">
        <f>W116*Inputs!$H$60</f>
        <v>393.56001289829101</v>
      </c>
      <c r="X143" s="188">
        <f>X116*Inputs!$H$60</f>
        <v>384.63085679364252</v>
      </c>
      <c r="Y143" s="159">
        <f>Y116*Inputs!$H$60</f>
        <v>378.84605111775193</v>
      </c>
      <c r="Z143" s="159">
        <f>Z116*Inputs!$H$60</f>
        <v>333.04888266840686</v>
      </c>
      <c r="AA143" s="159">
        <f>AA116*Inputs!$H$60</f>
        <v>323.29931827588189</v>
      </c>
      <c r="AB143" s="159">
        <f>AB116*Inputs!$H$60</f>
        <v>308.03330008800907</v>
      </c>
      <c r="AC143" s="159">
        <f>AC116*Inputs!$H$60</f>
        <v>299.1001641871527</v>
      </c>
      <c r="AD143" s="159">
        <f>AD116*Inputs!$H$60</f>
        <v>337.28058959110092</v>
      </c>
      <c r="AE143" s="159">
        <f>AE116*Inputs!$H$60</f>
        <v>330.25304655595119</v>
      </c>
      <c r="AF143" s="159">
        <f>AF116*Inputs!$H$60</f>
        <v>334.37977579932681</v>
      </c>
      <c r="AG143" s="159">
        <f>AG116*Inputs!$H$60</f>
        <v>332.36704402193743</v>
      </c>
      <c r="AH143" s="188">
        <f>AH116*Inputs!$H$60</f>
        <v>331.46537782264471</v>
      </c>
      <c r="AI143" s="48"/>
    </row>
    <row r="144" spans="1:35">
      <c r="A144" s="10" t="s">
        <v>222</v>
      </c>
      <c r="C144" s="331">
        <f>C117*Inputs!$H$61</f>
        <v>891.59399999999994</v>
      </c>
      <c r="D144" s="331">
        <f>D117*Inputs!$H$61</f>
        <v>2489.5583873468568</v>
      </c>
      <c r="E144" s="331">
        <f>E117*Inputs!$H$61</f>
        <v>2553.5301334429842</v>
      </c>
      <c r="F144" s="331">
        <f>F117*Inputs!$H$61</f>
        <v>2546.6356472706657</v>
      </c>
      <c r="G144" s="331">
        <f>G117*Inputs!$H$61</f>
        <v>2447.647969882526</v>
      </c>
      <c r="H144" s="402">
        <f>H117*Inputs!$H$61</f>
        <v>2564.9026694988656</v>
      </c>
      <c r="I144" s="14">
        <f>I117*Inputs!$H$61</f>
        <v>2586.1713407449947</v>
      </c>
      <c r="J144" s="14">
        <f>J117*Inputs!$H$61</f>
        <v>2697.4156647594705</v>
      </c>
      <c r="K144" s="14">
        <f>K117*Inputs!$H$61</f>
        <v>2709.5588568865674</v>
      </c>
      <c r="L144" s="14">
        <f>L117*Inputs!$H$61</f>
        <v>2654.3491000568292</v>
      </c>
      <c r="M144" s="14">
        <f>M117*Inputs!$H$61</f>
        <v>2576.6638109797727</v>
      </c>
      <c r="N144" s="183">
        <f>N117*Inputs!$H$61</f>
        <v>2454.0195209391236</v>
      </c>
      <c r="O144" s="14">
        <f>O117*Inputs!$H$61</f>
        <v>2399.6054673719877</v>
      </c>
      <c r="P144" s="14">
        <f>P117*Inputs!$H$61</f>
        <v>2310.4091318242458</v>
      </c>
      <c r="Q144" s="14">
        <f>Q117*Inputs!$H$61</f>
        <v>2237.872099365854</v>
      </c>
      <c r="R144" s="14">
        <f>R117*Inputs!$H$61</f>
        <v>2186.6160384034638</v>
      </c>
      <c r="S144" s="14">
        <f>S117*Inputs!$H$61</f>
        <v>2142.3559337230877</v>
      </c>
      <c r="T144" s="14">
        <f>T117*Inputs!$H$61</f>
        <v>2052.0847345344368</v>
      </c>
      <c r="U144" s="14">
        <f>U117*Inputs!$H$61</f>
        <v>1912.5203240507196</v>
      </c>
      <c r="V144" s="14">
        <f>V117*Inputs!$H$61</f>
        <v>1869.6526719914298</v>
      </c>
      <c r="W144" s="14">
        <f>W117*Inputs!$H$61</f>
        <v>1772.184315794432</v>
      </c>
      <c r="X144" s="188">
        <f>X117*Inputs!$H$61</f>
        <v>1750.5192611183245</v>
      </c>
      <c r="Y144" s="159">
        <f>Y117*Inputs!$H$61</f>
        <v>1758.9753251599432</v>
      </c>
      <c r="Z144" s="159">
        <f>Z117*Inputs!$H$61</f>
        <v>1797.9968761659588</v>
      </c>
      <c r="AA144" s="159">
        <f>AA117*Inputs!$H$61</f>
        <v>1827.8486894469602</v>
      </c>
      <c r="AB144" s="159">
        <f>AB117*Inputs!$H$61</f>
        <v>1841.6391889870492</v>
      </c>
      <c r="AC144" s="159">
        <f>AC117*Inputs!$H$61</f>
        <v>1811.8812510372848</v>
      </c>
      <c r="AD144" s="159">
        <f>AD117*Inputs!$H$61</f>
        <v>1778.0045942350096</v>
      </c>
      <c r="AE144" s="159">
        <f>AE117*Inputs!$H$61</f>
        <v>1756.8339197528744</v>
      </c>
      <c r="AF144" s="159">
        <f>AF117*Inputs!$H$61</f>
        <v>1725.9548090664275</v>
      </c>
      <c r="AG144" s="159">
        <f>AG117*Inputs!$H$61</f>
        <v>1692.1446334424868</v>
      </c>
      <c r="AH144" s="188">
        <f>AH117*Inputs!$H$61</f>
        <v>1631.8878156162234</v>
      </c>
      <c r="AI144" s="48"/>
    </row>
    <row r="145" spans="1:35">
      <c r="A145" s="10" t="s">
        <v>58</v>
      </c>
      <c r="C145" s="331">
        <f>SUM(C140,C143,C144)</f>
        <v>3985.7048100000002</v>
      </c>
      <c r="D145" s="331">
        <f>SUM(D140,D143,D144)</f>
        <v>4454.2576623208606</v>
      </c>
      <c r="E145" s="331">
        <f t="shared" ref="E145:AH145" si="94">SUM(E140,E143,E144)</f>
        <v>4032.20297140002</v>
      </c>
      <c r="F145" s="331">
        <f t="shared" si="94"/>
        <v>3814.6562360175549</v>
      </c>
      <c r="G145" s="331">
        <f t="shared" si="94"/>
        <v>3784.7641143340306</v>
      </c>
      <c r="H145" s="402">
        <f t="shared" si="94"/>
        <v>3895.8471109681204</v>
      </c>
      <c r="I145" s="14">
        <f t="shared" si="94"/>
        <v>4002.18798542066</v>
      </c>
      <c r="J145" s="14">
        <f t="shared" si="94"/>
        <v>3987.7336140154321</v>
      </c>
      <c r="K145" s="14">
        <f t="shared" si="94"/>
        <v>4237.0399978753157</v>
      </c>
      <c r="L145" s="14">
        <f t="shared" si="94"/>
        <v>4479.5693541755845</v>
      </c>
      <c r="M145" s="14">
        <f t="shared" si="94"/>
        <v>4665.2483108051747</v>
      </c>
      <c r="N145" s="188">
        <f t="shared" si="94"/>
        <v>4806.2032130153802</v>
      </c>
      <c r="O145" s="14">
        <f t="shared" si="94"/>
        <v>4828.2971980517386</v>
      </c>
      <c r="P145" s="14">
        <f t="shared" si="94"/>
        <v>4788.0230061856964</v>
      </c>
      <c r="Q145" s="14">
        <f t="shared" si="94"/>
        <v>4779.6031168369527</v>
      </c>
      <c r="R145" s="14">
        <f t="shared" si="94"/>
        <v>4810.4781074490511</v>
      </c>
      <c r="S145" s="14">
        <f t="shared" si="94"/>
        <v>4861.1028032106715</v>
      </c>
      <c r="T145" s="14">
        <f t="shared" si="94"/>
        <v>4824.1069473305361</v>
      </c>
      <c r="U145" s="14">
        <f t="shared" si="94"/>
        <v>4958.3193687659732</v>
      </c>
      <c r="V145" s="14">
        <f t="shared" si="94"/>
        <v>5099.9665151844601</v>
      </c>
      <c r="W145" s="14">
        <f t="shared" si="94"/>
        <v>5071.5961390823841</v>
      </c>
      <c r="X145" s="188">
        <f t="shared" si="94"/>
        <v>5208.3460606970402</v>
      </c>
      <c r="Y145" s="159">
        <f t="shared" si="94"/>
        <v>5281.1474011965129</v>
      </c>
      <c r="Z145" s="159">
        <f t="shared" si="94"/>
        <v>5332.8936187636982</v>
      </c>
      <c r="AA145" s="159">
        <f t="shared" si="94"/>
        <v>5453.6951119896457</v>
      </c>
      <c r="AB145" s="159">
        <f t="shared" si="94"/>
        <v>5523.9964957040902</v>
      </c>
      <c r="AC145" s="159">
        <f t="shared" si="94"/>
        <v>5501.554993288868</v>
      </c>
      <c r="AD145" s="159">
        <f t="shared" si="94"/>
        <v>5591.0912735929851</v>
      </c>
      <c r="AE145" s="159">
        <f t="shared" si="94"/>
        <v>5598.0001261942398</v>
      </c>
      <c r="AF145" s="159">
        <f t="shared" si="94"/>
        <v>5609.8340624704997</v>
      </c>
      <c r="AG145" s="159">
        <f t="shared" si="94"/>
        <v>5598.0870182926865</v>
      </c>
      <c r="AH145" s="188">
        <f t="shared" si="94"/>
        <v>5517.0494696233918</v>
      </c>
      <c r="AI145" s="48"/>
    </row>
    <row r="146" spans="1:35" s="1" customFormat="1">
      <c r="A146" s="1" t="s">
        <v>335</v>
      </c>
      <c r="B146" s="13"/>
      <c r="C146" s="341">
        <f>C145-'Output - Jobs vs Yr (BAU)'!C73</f>
        <v>0.3957300000001851</v>
      </c>
      <c r="D146" s="341">
        <f>D145-'Output - Jobs vs Yr (BAU)'!D73</f>
        <v>19.525148050412099</v>
      </c>
      <c r="E146" s="341">
        <f>E145-'Output - Jobs vs Yr (BAU)'!E73</f>
        <v>19.535101125601159</v>
      </c>
      <c r="F146" s="341">
        <f>F145-'Output - Jobs vs Yr (BAU)'!F73</f>
        <v>18.034884788808995</v>
      </c>
      <c r="G146" s="341">
        <f>G145-'Output - Jobs vs Yr (BAU)'!G73</f>
        <v>19.459835826833114</v>
      </c>
      <c r="H146" s="405">
        <f>H145-'Output - Jobs vs Yr (BAU)'!H73</f>
        <v>-3.3913171730910108</v>
      </c>
      <c r="I146" s="15">
        <f>I145-'Output - Jobs vs Yr (BAU)'!I73</f>
        <v>63.240603351991012</v>
      </c>
      <c r="J146" s="15">
        <f>J145-'Output - Jobs vs Yr (BAU)'!J73</f>
        <v>101.44280696162332</v>
      </c>
      <c r="K146" s="15">
        <f>K145-'Output - Jobs vs Yr (BAU)'!K73</f>
        <v>141.43773107834659</v>
      </c>
      <c r="L146" s="15">
        <f>L145-'Output - Jobs vs Yr (BAU)'!L73</f>
        <v>257.98204053072368</v>
      </c>
      <c r="M146" s="15">
        <f>M145-'Output - Jobs vs Yr (BAU)'!M73</f>
        <v>409.86511889617395</v>
      </c>
      <c r="N146" s="183">
        <f>N145-'Output - Jobs vs Yr (BAU)'!N73</f>
        <v>602.0417876832189</v>
      </c>
      <c r="O146" s="15">
        <f>O145-'Output - Jobs vs Yr (BAU)'!O73</f>
        <v>652.11329567880603</v>
      </c>
      <c r="P146" s="15">
        <f>P145-'Output - Jobs vs Yr (BAU)'!P73</f>
        <v>689.10233351160241</v>
      </c>
      <c r="Q146" s="15">
        <f>Q145-'Output - Jobs vs Yr (BAU)'!Q73</f>
        <v>731.33803779854588</v>
      </c>
      <c r="R146" s="15">
        <f>R145-'Output - Jobs vs Yr (BAU)'!R73</f>
        <v>784.24753395905827</v>
      </c>
      <c r="S146" s="15">
        <f>S145-'Output - Jobs vs Yr (BAU)'!S73</f>
        <v>842.51737365391637</v>
      </c>
      <c r="T146" s="15">
        <f>T145-'Output - Jobs vs Yr (BAU)'!T73</f>
        <v>886.66456209267199</v>
      </c>
      <c r="U146" s="15">
        <f>U145-'Output - Jobs vs Yr (BAU)'!U73</f>
        <v>970.73193128312141</v>
      </c>
      <c r="V146" s="15">
        <f>V145-'Output - Jobs vs Yr (BAU)'!V73</f>
        <v>1062.8519850507473</v>
      </c>
      <c r="W146" s="15">
        <f>W145-'Output - Jobs vs Yr (BAU)'!W73</f>
        <v>1115.6774526338331</v>
      </c>
      <c r="X146" s="191">
        <f>X145-'Output - Jobs vs Yr (BAU)'!X73</f>
        <v>1209.8687866763139</v>
      </c>
      <c r="Y146" s="131">
        <f>Y145-'Output - Jobs vs Yr (BAU)'!Y73</f>
        <v>1248.8576265064644</v>
      </c>
      <c r="Z146" s="131">
        <f>Z145-'Output - Jobs vs Yr (BAU)'!Z73</f>
        <v>1282.4668301351312</v>
      </c>
      <c r="AA146" s="131">
        <f>AA145-'Output - Jobs vs Yr (BAU)'!AA73</f>
        <v>1336.7697337984218</v>
      </c>
      <c r="AB146" s="131">
        <f>AB145-'Output - Jobs vs Yr (BAU)'!AB73</f>
        <v>1379.4707764387376</v>
      </c>
      <c r="AC146" s="131">
        <f>AC145-'Output - Jobs vs Yr (BAU)'!AC73</f>
        <v>1396.3122608369558</v>
      </c>
      <c r="AD146" s="131">
        <f>AD145-'Output - Jobs vs Yr (BAU)'!AD73</f>
        <v>1448.9397215565477</v>
      </c>
      <c r="AE146" s="131">
        <f>AE145-'Output - Jobs vs Yr (BAU)'!AE73</f>
        <v>1479.4695104620669</v>
      </c>
      <c r="AF146" s="131">
        <f>AF145-'Output - Jobs vs Yr (BAU)'!AF73</f>
        <v>1504.5604921428294</v>
      </c>
      <c r="AG146" s="131">
        <f>AG145-'Output - Jobs vs Yr (BAU)'!AG73</f>
        <v>1526.3149587591365</v>
      </c>
      <c r="AH146" s="191">
        <f>AH145-'Output - Jobs vs Yr (BAU)'!AH73</f>
        <v>1528.5172916523898</v>
      </c>
    </row>
    <row r="147" spans="1:35" s="1" customFormat="1">
      <c r="A147" s="11"/>
      <c r="B147" s="13"/>
      <c r="C147" s="328"/>
      <c r="D147" s="341"/>
      <c r="E147" s="341"/>
      <c r="F147" s="341"/>
      <c r="G147" s="341"/>
      <c r="H147" s="405"/>
      <c r="I147" s="15"/>
      <c r="J147" s="15"/>
      <c r="K147" s="15"/>
      <c r="L147" s="15"/>
      <c r="M147" s="15"/>
      <c r="N147" s="188" t="s">
        <v>0</v>
      </c>
      <c r="O147" s="15"/>
      <c r="P147" s="15"/>
      <c r="Q147" s="15"/>
      <c r="R147" s="15"/>
      <c r="S147" s="15"/>
      <c r="T147" s="15"/>
      <c r="U147" s="15"/>
      <c r="V147" s="15"/>
      <c r="W147" s="15"/>
      <c r="X147" s="191"/>
      <c r="Y147"/>
      <c r="Z147"/>
      <c r="AA147"/>
      <c r="AB147"/>
      <c r="AC147"/>
      <c r="AD147"/>
      <c r="AE147"/>
      <c r="AF147"/>
      <c r="AG147"/>
      <c r="AH147" s="280"/>
    </row>
    <row r="148" spans="1:35" hidden="1">
      <c r="A148" s="1" t="s">
        <v>199</v>
      </c>
    </row>
    <row r="149" spans="1:35" hidden="1">
      <c r="A149" s="20" t="s">
        <v>197</v>
      </c>
      <c r="C149" s="333">
        <f>'backup - EIA liq_fuelS_aeo2014'!E44</f>
        <v>7088.7783050537164</v>
      </c>
      <c r="D149" s="333">
        <f>'backup - EIA liq_fuelS_aeo2014'!F44</f>
        <v>7149.5953941345133</v>
      </c>
      <c r="E149" s="333">
        <f>'backup - EIA liq_fuelS_aeo2014'!G44</f>
        <v>6912.5827950000003</v>
      </c>
      <c r="F149" s="333">
        <f>'backup - EIA liq_fuelS_aeo2014'!H44</f>
        <v>6786.185485</v>
      </c>
      <c r="G149" s="333">
        <f>'backup - EIA liq_fuelS_aeo2014'!I44</f>
        <v>6929.6414350000005</v>
      </c>
      <c r="H149" s="406">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9">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0">
        <f>'backup - EIA liq_fuelS_aeo2014'!Z44</f>
        <v>6908.05278</v>
      </c>
    </row>
    <row r="150" spans="1:35" hidden="1">
      <c r="A150" s="20" t="s">
        <v>198</v>
      </c>
      <c r="C150" s="333">
        <f>'backup - EIA liq_fuelS_aeo2014'!E44</f>
        <v>7088.7783050537164</v>
      </c>
      <c r="D150" s="333">
        <f>'backup - EIA liq_fuelS_aeo2014'!F44</f>
        <v>7149.5953941345133</v>
      </c>
      <c r="E150" s="333">
        <f>'backup - EIA liq_fuelS_aeo2014'!G44</f>
        <v>6912.5827950000003</v>
      </c>
      <c r="F150" s="333">
        <f>'backup - EIA liq_fuelS_aeo2014'!H44</f>
        <v>6786.185485</v>
      </c>
      <c r="G150" s="333">
        <f>'backup - EIA liq_fuelS_aeo2014'!I44</f>
        <v>6929.6414350000005</v>
      </c>
      <c r="H150" s="406">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9">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0">
        <f>'backup - EIA liq_fuelS_aeo2014'!Z44</f>
        <v>6908.05278</v>
      </c>
    </row>
    <row r="151" spans="1:35" hidden="1">
      <c r="A151" s="20" t="s">
        <v>200</v>
      </c>
      <c r="C151" s="342">
        <f>'backup - EIA liq_fuelS_aeo2014'!E46</f>
        <v>273.77869168296451</v>
      </c>
      <c r="D151" s="342">
        <f>'backup - EIA liq_fuelS_aeo2014'!F46</f>
        <v>330.59007454663532</v>
      </c>
      <c r="E151" s="342">
        <f>'backup - EIA liq_fuelS_aeo2014'!G46</f>
        <v>346.41273999999999</v>
      </c>
      <c r="F151" s="342">
        <f>'backup - EIA liq_fuelS_aeo2014'!H46</f>
        <v>332.23648773503913</v>
      </c>
      <c r="G151" s="342">
        <f>'backup - EIA liq_fuelS_aeo2014'!I46</f>
        <v>336.63400877733272</v>
      </c>
      <c r="H151" s="407">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90">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1">
        <f>'backup - EIA liq_fuelS_aeo2014'!Z46</f>
        <v>459.60339229062083</v>
      </c>
    </row>
    <row r="152" spans="1:35" hidden="1">
      <c r="A152" s="20" t="s">
        <v>203</v>
      </c>
      <c r="C152" s="332">
        <f>C151/C149</f>
        <v>3.8621421054708789E-2</v>
      </c>
      <c r="D152" s="332">
        <f t="shared" ref="D152:X152" si="95">D151/D149</f>
        <v>4.62389906452398E-2</v>
      </c>
      <c r="E152" s="332">
        <f t="shared" si="95"/>
        <v>5.0113358533740347E-2</v>
      </c>
      <c r="F152" s="332">
        <f t="shared" si="95"/>
        <v>4.8957766991398283E-2</v>
      </c>
      <c r="G152" s="332">
        <f t="shared" si="95"/>
        <v>4.8578849560248959E-2</v>
      </c>
      <c r="H152" s="284">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1">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6">
        <f t="shared" si="95"/>
        <v>6.6531540352623195E-2</v>
      </c>
    </row>
    <row r="153" spans="1:35" hidden="1">
      <c r="A153" t="s">
        <v>201</v>
      </c>
      <c r="C153" s="342">
        <f>'backup - EIA liq_fuelS_aeo2014'!E46</f>
        <v>273.77869168296451</v>
      </c>
      <c r="D153" s="342">
        <f>'backup - EIA liq_fuelS_aeo2014'!F46</f>
        <v>330.59007454663532</v>
      </c>
      <c r="E153" s="342">
        <f>'backup - EIA liq_fuelS_aeo2014'!G46</f>
        <v>346.41273999999999</v>
      </c>
      <c r="F153" s="342">
        <f>'backup - EIA liq_fuelS_aeo2014'!H46</f>
        <v>332.23648773503913</v>
      </c>
      <c r="G153" s="342">
        <f>'backup - EIA liq_fuelS_aeo2014'!I46</f>
        <v>336.63400877733272</v>
      </c>
      <c r="H153" s="407">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90">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1">
        <f>'backup - EIA liq_fuelS_aeo2014'!Z46</f>
        <v>459.60339229062083</v>
      </c>
    </row>
    <row r="154" spans="1:35" hidden="1">
      <c r="A154" t="s">
        <v>204</v>
      </c>
      <c r="C154" s="332">
        <f>C153/C149</f>
        <v>3.8621421054708789E-2</v>
      </c>
      <c r="D154" s="332">
        <f t="shared" ref="D154:X154" si="96">D153/D149</f>
        <v>4.62389906452398E-2</v>
      </c>
      <c r="E154" s="332">
        <f t="shared" si="96"/>
        <v>5.0113358533740347E-2</v>
      </c>
      <c r="F154" s="332">
        <f t="shared" si="96"/>
        <v>4.8957766991398283E-2</v>
      </c>
      <c r="G154" s="332">
        <f t="shared" si="96"/>
        <v>4.8578849560248959E-2</v>
      </c>
      <c r="H154" s="284">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1">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6">
        <f t="shared" si="96"/>
        <v>6.6531540352623195E-2</v>
      </c>
    </row>
    <row r="155" spans="1:35" hidden="1">
      <c r="A155" s="1" t="s">
        <v>202</v>
      </c>
      <c r="C155" s="342">
        <f>MAX(C151,C153)</f>
        <v>273.77869168296451</v>
      </c>
      <c r="D155" s="342">
        <f t="shared" ref="D155:X155" si="97">MAX(D151,D153)</f>
        <v>330.59007454663532</v>
      </c>
      <c r="E155" s="342">
        <f t="shared" si="97"/>
        <v>346.41273999999999</v>
      </c>
      <c r="F155" s="342">
        <f t="shared" si="97"/>
        <v>332.23648773503913</v>
      </c>
      <c r="G155" s="342">
        <f t="shared" si="97"/>
        <v>336.63400877733272</v>
      </c>
      <c r="H155" s="407">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90">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1">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3">
        <f>C149-C150</f>
        <v>0</v>
      </c>
      <c r="D157" s="333">
        <f t="shared" ref="D157:X157" si="98">D149-D150</f>
        <v>0</v>
      </c>
      <c r="E157" s="333">
        <f t="shared" si="98"/>
        <v>0</v>
      </c>
      <c r="F157" s="333">
        <f t="shared" si="98"/>
        <v>0</v>
      </c>
      <c r="G157" s="333">
        <f t="shared" si="98"/>
        <v>0</v>
      </c>
      <c r="H157" s="406">
        <f t="shared" si="98"/>
        <v>0</v>
      </c>
      <c r="I157" s="16">
        <f t="shared" si="98"/>
        <v>0</v>
      </c>
      <c r="J157" s="16">
        <f t="shared" si="98"/>
        <v>0</v>
      </c>
      <c r="K157" s="16">
        <f t="shared" si="98"/>
        <v>0</v>
      </c>
      <c r="L157" s="16">
        <f t="shared" si="98"/>
        <v>0</v>
      </c>
      <c r="M157" s="16">
        <f t="shared" si="98"/>
        <v>0</v>
      </c>
      <c r="N157" s="189">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70">
        <f t="shared" si="98"/>
        <v>0</v>
      </c>
    </row>
    <row r="158" spans="1:35" hidden="1"/>
    <row r="159" spans="1:35" hidden="1">
      <c r="A159" s="1" t="s">
        <v>252</v>
      </c>
    </row>
    <row r="160" spans="1:35" hidden="1">
      <c r="A160" t="s">
        <v>285</v>
      </c>
      <c r="C160" s="330">
        <v>0</v>
      </c>
      <c r="D160" s="330">
        <v>0</v>
      </c>
      <c r="E160" s="330">
        <v>0</v>
      </c>
      <c r="F160" s="330">
        <v>0</v>
      </c>
      <c r="G160" s="330">
        <v>0</v>
      </c>
      <c r="H160" s="286">
        <v>0</v>
      </c>
      <c r="I160" s="83">
        <v>0</v>
      </c>
      <c r="J160" s="83">
        <v>0</v>
      </c>
      <c r="K160" s="83">
        <v>0</v>
      </c>
      <c r="L160" s="83">
        <v>0</v>
      </c>
      <c r="M160" s="83">
        <v>0</v>
      </c>
      <c r="N160" s="178">
        <v>0</v>
      </c>
      <c r="O160" s="83">
        <v>0</v>
      </c>
      <c r="P160" s="83">
        <v>0</v>
      </c>
      <c r="Q160" s="83">
        <v>0</v>
      </c>
      <c r="R160" s="83">
        <v>0</v>
      </c>
      <c r="S160" s="83">
        <v>0</v>
      </c>
      <c r="T160" s="83">
        <v>0</v>
      </c>
      <c r="U160" s="83">
        <v>0</v>
      </c>
      <c r="V160" s="83">
        <v>0</v>
      </c>
      <c r="W160" s="83">
        <v>0</v>
      </c>
      <c r="X160" s="185">
        <v>0</v>
      </c>
    </row>
    <row r="161" spans="1:35" hidden="1">
      <c r="A161" t="s">
        <v>286</v>
      </c>
      <c r="C161" s="330">
        <v>0</v>
      </c>
      <c r="D161" s="330">
        <v>0</v>
      </c>
      <c r="E161" s="330">
        <v>0</v>
      </c>
      <c r="F161" s="330">
        <v>0</v>
      </c>
      <c r="G161" s="330">
        <v>0</v>
      </c>
      <c r="H161" s="286">
        <v>0</v>
      </c>
      <c r="I161" s="83">
        <v>0</v>
      </c>
      <c r="J161" s="83">
        <v>0</v>
      </c>
      <c r="K161" s="83">
        <v>0</v>
      </c>
      <c r="L161" s="83">
        <v>0</v>
      </c>
      <c r="M161" s="83">
        <v>0</v>
      </c>
      <c r="N161" s="178">
        <v>0</v>
      </c>
      <c r="O161" s="83">
        <v>0</v>
      </c>
      <c r="P161" s="83">
        <v>0</v>
      </c>
      <c r="Q161" s="83">
        <v>0</v>
      </c>
      <c r="R161" s="83">
        <v>0</v>
      </c>
      <c r="S161" s="83">
        <v>0</v>
      </c>
      <c r="T161" s="83">
        <v>0</v>
      </c>
      <c r="U161" s="83">
        <v>0</v>
      </c>
      <c r="V161" s="83">
        <v>0</v>
      </c>
      <c r="W161" s="83">
        <v>0</v>
      </c>
      <c r="X161" s="185">
        <v>0</v>
      </c>
    </row>
    <row r="162" spans="1:35" hidden="1">
      <c r="A162" t="s">
        <v>287</v>
      </c>
      <c r="C162" s="330">
        <v>0</v>
      </c>
      <c r="D162" s="330">
        <v>0</v>
      </c>
      <c r="E162" s="330">
        <v>0</v>
      </c>
      <c r="F162" s="330">
        <v>0</v>
      </c>
      <c r="G162" s="330">
        <v>0</v>
      </c>
      <c r="H162" s="286">
        <v>0</v>
      </c>
      <c r="I162" s="83">
        <v>0</v>
      </c>
      <c r="J162" s="83">
        <v>0</v>
      </c>
      <c r="K162" s="83">
        <v>0</v>
      </c>
      <c r="L162" s="83">
        <v>0</v>
      </c>
      <c r="M162" s="83">
        <v>0</v>
      </c>
      <c r="N162" s="178">
        <v>0</v>
      </c>
      <c r="O162" s="83">
        <v>0</v>
      </c>
      <c r="P162" s="83">
        <v>0</v>
      </c>
      <c r="Q162" s="83">
        <v>0</v>
      </c>
      <c r="R162" s="83">
        <v>0</v>
      </c>
      <c r="S162" s="83">
        <v>0</v>
      </c>
      <c r="T162" s="83">
        <v>0</v>
      </c>
      <c r="U162" s="83">
        <v>0</v>
      </c>
      <c r="V162" s="83">
        <v>0</v>
      </c>
      <c r="W162" s="83">
        <v>0</v>
      </c>
      <c r="X162" s="185">
        <v>0</v>
      </c>
    </row>
    <row r="163" spans="1:35" hidden="1">
      <c r="A163" t="s">
        <v>288</v>
      </c>
      <c r="C163" s="330">
        <v>0</v>
      </c>
      <c r="D163" s="330">
        <v>0</v>
      </c>
      <c r="E163" s="330">
        <v>0</v>
      </c>
      <c r="F163" s="330">
        <v>0</v>
      </c>
      <c r="G163" s="330">
        <v>0</v>
      </c>
      <c r="H163" s="286">
        <v>0</v>
      </c>
      <c r="I163" s="83">
        <v>0</v>
      </c>
      <c r="J163" s="83">
        <v>0</v>
      </c>
      <c r="K163" s="83">
        <v>0</v>
      </c>
      <c r="L163" s="83">
        <v>0</v>
      </c>
      <c r="M163" s="83">
        <v>0</v>
      </c>
      <c r="N163" s="178">
        <v>0</v>
      </c>
      <c r="O163" s="83">
        <v>0</v>
      </c>
      <c r="P163" s="83">
        <v>0</v>
      </c>
      <c r="Q163" s="83">
        <v>0</v>
      </c>
      <c r="R163" s="83">
        <v>0</v>
      </c>
      <c r="S163" s="83">
        <v>0</v>
      </c>
      <c r="T163" s="83">
        <v>0</v>
      </c>
      <c r="U163" s="83">
        <v>0</v>
      </c>
      <c r="V163" s="83">
        <v>0</v>
      </c>
      <c r="W163" s="83">
        <v>0</v>
      </c>
      <c r="X163" s="185">
        <v>0</v>
      </c>
      <c r="AI163" s="79" t="s">
        <v>0</v>
      </c>
    </row>
    <row r="164" spans="1:35" hidden="1">
      <c r="A164" t="s">
        <v>289</v>
      </c>
      <c r="C164" s="330" t="e">
        <f>C157*#REF!</f>
        <v>#REF!</v>
      </c>
      <c r="D164" s="330" t="e">
        <f>D157*#REF!</f>
        <v>#REF!</v>
      </c>
      <c r="E164" s="330" t="e">
        <f>E157*#REF!</f>
        <v>#REF!</v>
      </c>
      <c r="F164" s="330" t="e">
        <f>F157*#REF!</f>
        <v>#REF!</v>
      </c>
      <c r="G164" s="330" t="e">
        <f>G157*#REF!</f>
        <v>#REF!</v>
      </c>
      <c r="H164" s="286" t="e">
        <f>H157*#REF!</f>
        <v>#REF!</v>
      </c>
      <c r="I164" s="83" t="e">
        <f>I157*#REF!</f>
        <v>#REF!</v>
      </c>
      <c r="J164" s="83" t="e">
        <f>J157*#REF!</f>
        <v>#REF!</v>
      </c>
      <c r="K164" s="83" t="e">
        <f>K157*#REF!</f>
        <v>#REF!</v>
      </c>
      <c r="L164" s="83" t="e">
        <f>L157*#REF!</f>
        <v>#REF!</v>
      </c>
      <c r="M164" s="83" t="e">
        <f>M157*#REF!</f>
        <v>#REF!</v>
      </c>
      <c r="N164" s="178"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5" t="e">
        <f>X157*#REF!</f>
        <v>#REF!</v>
      </c>
    </row>
    <row r="165" spans="1:35" hidden="1">
      <c r="A165" t="s">
        <v>290</v>
      </c>
      <c r="C165" s="330">
        <v>0</v>
      </c>
      <c r="D165" s="330">
        <v>0</v>
      </c>
      <c r="E165" s="330">
        <v>0</v>
      </c>
      <c r="F165" s="330">
        <v>0</v>
      </c>
      <c r="G165" s="330">
        <v>0</v>
      </c>
      <c r="H165" s="286">
        <v>0</v>
      </c>
      <c r="I165" s="83">
        <v>0</v>
      </c>
      <c r="J165" s="83">
        <v>0</v>
      </c>
      <c r="K165" s="83">
        <v>0</v>
      </c>
      <c r="L165" s="83">
        <v>0</v>
      </c>
      <c r="M165" s="83">
        <v>0</v>
      </c>
      <c r="N165" s="178">
        <v>0</v>
      </c>
      <c r="O165" s="83">
        <v>0</v>
      </c>
      <c r="P165" s="83">
        <v>0</v>
      </c>
      <c r="Q165" s="83">
        <v>0</v>
      </c>
      <c r="R165" s="83">
        <v>0</v>
      </c>
      <c r="S165" s="83">
        <v>0</v>
      </c>
      <c r="T165" s="83">
        <v>0</v>
      </c>
      <c r="U165" s="83">
        <v>0</v>
      </c>
      <c r="V165" s="83">
        <v>0</v>
      </c>
      <c r="W165" s="83">
        <v>0</v>
      </c>
      <c r="X165" s="185">
        <v>0</v>
      </c>
    </row>
    <row r="166" spans="1:35" hidden="1">
      <c r="A166" t="s">
        <v>254</v>
      </c>
      <c r="C166" s="330" t="e">
        <f>C162-C160+C164+C165</f>
        <v>#REF!</v>
      </c>
      <c r="D166" s="330">
        <v>0</v>
      </c>
      <c r="E166" s="330">
        <v>0</v>
      </c>
      <c r="F166" s="330">
        <v>0</v>
      </c>
      <c r="G166" s="330">
        <v>0</v>
      </c>
      <c r="H166" s="286">
        <v>0</v>
      </c>
      <c r="I166" s="83">
        <v>0</v>
      </c>
      <c r="J166" s="83">
        <v>0</v>
      </c>
      <c r="K166" s="83">
        <v>0</v>
      </c>
      <c r="L166" s="83">
        <v>0</v>
      </c>
      <c r="M166" s="83">
        <v>0</v>
      </c>
      <c r="N166" s="178">
        <v>0</v>
      </c>
      <c r="O166" s="83">
        <v>0</v>
      </c>
      <c r="P166" s="83">
        <v>0</v>
      </c>
      <c r="Q166" s="83">
        <v>0</v>
      </c>
      <c r="R166" s="83">
        <v>0</v>
      </c>
      <c r="S166" s="83">
        <v>0</v>
      </c>
      <c r="T166" s="83">
        <v>0</v>
      </c>
      <c r="U166" s="83">
        <v>0</v>
      </c>
      <c r="V166" s="83">
        <v>0</v>
      </c>
      <c r="W166" s="83">
        <v>0</v>
      </c>
      <c r="X166" s="185">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0">
        <v>0</v>
      </c>
      <c r="D169" s="330">
        <v>0</v>
      </c>
      <c r="E169" s="330">
        <v>0</v>
      </c>
      <c r="F169" s="330">
        <v>0</v>
      </c>
      <c r="G169" s="330">
        <v>0</v>
      </c>
      <c r="H169" s="286">
        <v>0</v>
      </c>
      <c r="I169" s="83">
        <v>0</v>
      </c>
      <c r="J169" s="83">
        <v>0</v>
      </c>
      <c r="K169" s="83">
        <v>0</v>
      </c>
      <c r="L169" s="83">
        <v>0</v>
      </c>
      <c r="M169" s="83">
        <v>0</v>
      </c>
      <c r="N169" s="178">
        <v>0</v>
      </c>
      <c r="O169" s="83">
        <v>0</v>
      </c>
      <c r="P169" s="83">
        <v>0</v>
      </c>
      <c r="Q169" s="83">
        <v>0</v>
      </c>
      <c r="R169" s="83">
        <v>0</v>
      </c>
      <c r="S169" s="83">
        <v>0</v>
      </c>
      <c r="T169" s="83">
        <v>0</v>
      </c>
      <c r="U169" s="83">
        <v>0</v>
      </c>
      <c r="V169" s="83">
        <v>0</v>
      </c>
      <c r="W169" s="83">
        <v>0</v>
      </c>
      <c r="X169" s="185">
        <v>0</v>
      </c>
    </row>
    <row r="170" spans="1:35" hidden="1">
      <c r="A170" s="55" t="s">
        <v>295</v>
      </c>
      <c r="C170" s="330">
        <v>0</v>
      </c>
      <c r="D170" s="330">
        <v>0</v>
      </c>
      <c r="E170" s="330">
        <v>0</v>
      </c>
      <c r="F170" s="330">
        <v>0</v>
      </c>
      <c r="G170" s="330">
        <v>0</v>
      </c>
      <c r="H170" s="286">
        <v>0</v>
      </c>
      <c r="I170" s="83">
        <v>0</v>
      </c>
      <c r="J170" s="83">
        <v>0</v>
      </c>
      <c r="K170" s="83">
        <v>0</v>
      </c>
      <c r="L170" s="83">
        <v>0</v>
      </c>
      <c r="M170" s="83">
        <v>0</v>
      </c>
      <c r="N170" s="178">
        <v>0</v>
      </c>
      <c r="O170" s="83">
        <v>0</v>
      </c>
      <c r="P170" s="83">
        <v>0</v>
      </c>
      <c r="Q170" s="83">
        <v>0</v>
      </c>
      <c r="R170" s="83">
        <v>0</v>
      </c>
      <c r="S170" s="83">
        <v>0</v>
      </c>
      <c r="T170" s="83">
        <v>0</v>
      </c>
      <c r="U170" s="83">
        <v>0</v>
      </c>
      <c r="V170" s="83">
        <v>0</v>
      </c>
      <c r="W170" s="83">
        <v>0</v>
      </c>
      <c r="X170" s="185">
        <v>0</v>
      </c>
    </row>
    <row r="171" spans="1:35" hidden="1">
      <c r="A171" s="55" t="s">
        <v>296</v>
      </c>
      <c r="C171" s="330">
        <v>0</v>
      </c>
      <c r="D171" s="330">
        <v>0</v>
      </c>
      <c r="E171" s="330">
        <v>0</v>
      </c>
      <c r="F171" s="330">
        <v>0</v>
      </c>
      <c r="G171" s="330">
        <v>0</v>
      </c>
      <c r="H171" s="286">
        <v>0</v>
      </c>
      <c r="I171" s="83">
        <v>0</v>
      </c>
      <c r="J171" s="83">
        <v>0</v>
      </c>
      <c r="K171" s="83">
        <v>0</v>
      </c>
      <c r="L171" s="83">
        <v>0</v>
      </c>
      <c r="M171" s="83">
        <v>0</v>
      </c>
      <c r="N171" s="178">
        <v>0</v>
      </c>
      <c r="O171" s="83">
        <v>0</v>
      </c>
      <c r="P171" s="83">
        <v>0</v>
      </c>
      <c r="Q171" s="83">
        <v>0</v>
      </c>
      <c r="R171" s="83">
        <v>0</v>
      </c>
      <c r="S171" s="83">
        <v>0</v>
      </c>
      <c r="T171" s="83">
        <v>0</v>
      </c>
      <c r="U171" s="83">
        <v>0</v>
      </c>
      <c r="V171" s="83">
        <v>0</v>
      </c>
      <c r="W171" s="83">
        <v>0</v>
      </c>
      <c r="X171" s="185">
        <v>0</v>
      </c>
    </row>
    <row r="172" spans="1:35" hidden="1">
      <c r="A172" s="55" t="s">
        <v>297</v>
      </c>
      <c r="C172" s="330">
        <v>0</v>
      </c>
      <c r="D172" s="330">
        <v>0</v>
      </c>
      <c r="E172" s="330">
        <v>0</v>
      </c>
      <c r="F172" s="330">
        <v>0</v>
      </c>
      <c r="G172" s="330">
        <v>0</v>
      </c>
      <c r="H172" s="286">
        <v>0</v>
      </c>
      <c r="I172" s="83">
        <v>0</v>
      </c>
      <c r="J172" s="83">
        <v>0</v>
      </c>
      <c r="K172" s="83">
        <v>0</v>
      </c>
      <c r="L172" s="83">
        <v>0</v>
      </c>
      <c r="M172" s="83">
        <v>0</v>
      </c>
      <c r="N172" s="178">
        <v>0</v>
      </c>
      <c r="O172" s="83">
        <v>0</v>
      </c>
      <c r="P172" s="83">
        <v>0</v>
      </c>
      <c r="Q172" s="83">
        <v>0</v>
      </c>
      <c r="R172" s="83">
        <v>0</v>
      </c>
      <c r="S172" s="83">
        <v>0</v>
      </c>
      <c r="T172" s="83">
        <v>0</v>
      </c>
      <c r="U172" s="83">
        <v>0</v>
      </c>
      <c r="V172" s="83">
        <v>0</v>
      </c>
      <c r="W172" s="83">
        <v>0</v>
      </c>
      <c r="X172" s="185">
        <v>0</v>
      </c>
    </row>
    <row r="173" spans="1:35" hidden="1">
      <c r="A173" s="55" t="s">
        <v>255</v>
      </c>
      <c r="C173" s="330" t="e">
        <f>'backup - Mass Transit'!BC34</f>
        <v>#REF!</v>
      </c>
      <c r="D173" s="330" t="e">
        <f>'backup - Mass Transit'!BD34</f>
        <v>#REF!</v>
      </c>
      <c r="E173" s="330" t="e">
        <f>'backup - Mass Transit'!BE34</f>
        <v>#REF!</v>
      </c>
      <c r="F173" s="330" t="e">
        <f>'backup - Mass Transit'!BF34</f>
        <v>#REF!</v>
      </c>
      <c r="G173" s="330" t="e">
        <f>'backup - Mass Transit'!BG34</f>
        <v>#REF!</v>
      </c>
      <c r="H173" s="286"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8"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5" t="e">
        <f>'backup - Mass Transit'!BX34</f>
        <v>#REF!</v>
      </c>
    </row>
    <row r="175" spans="1:35">
      <c r="A175" s="75" t="s">
        <v>256</v>
      </c>
      <c r="C175" s="328">
        <v>2009</v>
      </c>
      <c r="D175" s="328">
        <v>2010</v>
      </c>
      <c r="E175" s="328">
        <v>2011</v>
      </c>
      <c r="F175" s="328">
        <v>2012</v>
      </c>
      <c r="G175" s="328">
        <v>2013</v>
      </c>
      <c r="H175" s="400">
        <v>2014</v>
      </c>
      <c r="I175" s="13">
        <v>2015</v>
      </c>
      <c r="J175" s="13">
        <v>2016</v>
      </c>
      <c r="K175" s="13">
        <v>2017</v>
      </c>
      <c r="L175" s="13">
        <v>2018</v>
      </c>
      <c r="M175" s="13">
        <v>2019</v>
      </c>
      <c r="N175" s="177">
        <v>2020</v>
      </c>
      <c r="O175" s="13">
        <v>2021</v>
      </c>
      <c r="P175" s="13">
        <v>2022</v>
      </c>
      <c r="Q175" s="13">
        <v>2023</v>
      </c>
      <c r="R175" s="13">
        <v>2024</v>
      </c>
      <c r="S175" s="13">
        <v>2025</v>
      </c>
      <c r="T175" s="13">
        <v>2026</v>
      </c>
      <c r="U175" s="13">
        <v>2027</v>
      </c>
      <c r="V175" s="13">
        <v>2028</v>
      </c>
      <c r="W175" s="13">
        <v>2029</v>
      </c>
      <c r="X175" s="177">
        <v>2030</v>
      </c>
      <c r="Y175" s="13">
        <v>2031</v>
      </c>
      <c r="Z175" s="13">
        <v>2032</v>
      </c>
      <c r="AA175" s="13">
        <v>2033</v>
      </c>
      <c r="AB175" s="13">
        <v>2034</v>
      </c>
      <c r="AC175" s="13">
        <v>2035</v>
      </c>
      <c r="AD175" s="13">
        <v>2036</v>
      </c>
      <c r="AE175" s="13">
        <v>2037</v>
      </c>
      <c r="AF175" s="13">
        <v>2038</v>
      </c>
      <c r="AG175" s="13">
        <v>2039</v>
      </c>
      <c r="AH175" s="177">
        <v>2040</v>
      </c>
      <c r="AI175" s="1" t="s">
        <v>0</v>
      </c>
    </row>
    <row r="176" spans="1:35">
      <c r="A176" s="75" t="s">
        <v>299</v>
      </c>
      <c r="C176" s="334">
        <f>'Output - Jobs vs Yr (BAU)'!C55+'Output - Jobs vs Yr (BAU)'!C73</f>
        <v>8413.4302800000005</v>
      </c>
      <c r="D176" s="334">
        <f>'Output - Jobs vs Yr (BAU)'!D55+'Output - Jobs vs Yr (BAU)'!D73</f>
        <v>9362.2130856820586</v>
      </c>
      <c r="E176" s="334">
        <f>'Output - Jobs vs Yr (BAU)'!E55+'Output - Jobs vs Yr (BAU)'!E73</f>
        <v>8471.1877261348836</v>
      </c>
      <c r="F176" s="334">
        <f>'Output - Jobs vs Yr (BAU)'!F55+'Output - Jobs vs Yr (BAU)'!F73</f>
        <v>8015.0895192606858</v>
      </c>
      <c r="G176" s="334">
        <f>'Output - Jobs vs Yr (BAU)'!G55+'Output - Jobs vs Yr (BAU)'!G73</f>
        <v>7948.9756990707501</v>
      </c>
      <c r="H176" s="404">
        <f>'Output - Jobs vs Yr (BAU)'!H55+'Output - Jobs vs Yr (BAU)'!H73</f>
        <v>8231.7255705203352</v>
      </c>
      <c r="I176" s="19">
        <f>'Output - Jobs vs Yr (BAU)'!I55+'Output - Jobs vs Yr (BAU)'!I73</f>
        <v>8315.55558436719</v>
      </c>
      <c r="J176" s="19">
        <f>'Output - Jobs vs Yr (BAU)'!J55+'Output - Jobs vs Yr (BAU)'!J73</f>
        <v>8204.3917037802639</v>
      </c>
      <c r="K176" s="19">
        <f>'Output - Jobs vs Yr (BAU)'!K55+'Output - Jobs vs Yr (BAU)'!K73</f>
        <v>8646.2714521269336</v>
      </c>
      <c r="L176" s="19">
        <f>'Output - Jobs vs Yr (BAU)'!L55+'Output - Jobs vs Yr (BAU)'!L73</f>
        <v>8912.2398843613719</v>
      </c>
      <c r="M176" s="19">
        <f>'Output - Jobs vs Yr (BAU)'!M55+'Output - Jobs vs Yr (BAU)'!M73</f>
        <v>8983.5867384745579</v>
      </c>
      <c r="N176" s="183">
        <f>'Output - Jobs vs Yr (BAU)'!N55+'Output - Jobs vs Yr (BAU)'!N73</f>
        <v>8875.4518979234526</v>
      </c>
      <c r="O176" s="19">
        <f>'Output - Jobs vs Yr (BAU)'!O55+'Output - Jobs vs Yr (BAU)'!O73</f>
        <v>8816.3882383428572</v>
      </c>
      <c r="P176" s="19">
        <f>'Output - Jobs vs Yr (BAU)'!P55+'Output - Jobs vs Yr (BAU)'!P73</f>
        <v>8653.276975645309</v>
      </c>
      <c r="Q176" s="19">
        <f>'Output - Jobs vs Yr (BAU)'!Q55+'Output - Jobs vs Yr (BAU)'!Q73</f>
        <v>8546.3373890810799</v>
      </c>
      <c r="R176" s="19">
        <f>'Output - Jobs vs Yr (BAU)'!R55+'Output - Jobs vs Yr (BAU)'!R73</f>
        <v>8499.8200995899842</v>
      </c>
      <c r="S176" s="19">
        <f>'Output - Jobs vs Yr (BAU)'!S55+'Output - Jobs vs Yr (BAU)'!S73</f>
        <v>8483.6803512864826</v>
      </c>
      <c r="T176" s="19">
        <f>'Output - Jobs vs Yr (BAU)'!T55+'Output - Jobs vs Yr (BAU)'!T73</f>
        <v>8312.3783688354906</v>
      </c>
      <c r="U176" s="19">
        <f>'Output - Jobs vs Yr (BAU)'!U55+'Output - Jobs vs Yr (BAU)'!U73</f>
        <v>8418.2401457971318</v>
      </c>
      <c r="V176" s="19">
        <f>'Output - Jobs vs Yr (BAU)'!V55+'Output - Jobs vs Yr (BAU)'!V73</f>
        <v>8522.7973413933942</v>
      </c>
      <c r="W176" s="19">
        <f>'Output - Jobs vs Yr (BAU)'!W55+'Output - Jobs vs Yr (BAU)'!W73</f>
        <v>8351.3838936136071</v>
      </c>
      <c r="X176" s="183">
        <f>'Output - Jobs vs Yr (BAU)'!X55+'Output - Jobs vs Yr (BAU)'!X73</f>
        <v>8441.2298007104218</v>
      </c>
      <c r="Y176" s="206">
        <f>'Output - Jobs vs Yr (BAU)'!Y55+'Output - Jobs vs Yr (BAU)'!Y73</f>
        <v>8512.6117465678799</v>
      </c>
      <c r="Z176" s="206">
        <f>'Output - Jobs vs Yr (BAU)'!Z55+'Output - Jobs vs Yr (BAU)'!Z73</f>
        <v>8550.9009982158641</v>
      </c>
      <c r="AA176" s="206">
        <f>'Output - Jobs vs Yr (BAU)'!AA55+'Output - Jobs vs Yr (BAU)'!AA73</f>
        <v>8691.2869095148053</v>
      </c>
      <c r="AB176" s="206">
        <f>'Output - Jobs vs Yr (BAU)'!AB55+'Output - Jobs vs Yr (BAU)'!AB73</f>
        <v>8749.5542962268555</v>
      </c>
      <c r="AC176" s="206">
        <f>'Output - Jobs vs Yr (BAU)'!AC55+'Output - Jobs vs Yr (BAU)'!AC73</f>
        <v>8666.6235462873701</v>
      </c>
      <c r="AD176" s="206">
        <f>'Output - Jobs vs Yr (BAU)'!AD55+'Output - Jobs vs Yr (BAU)'!AD73</f>
        <v>8744.5421654102574</v>
      </c>
      <c r="AE176" s="206">
        <f>'Output - Jobs vs Yr (BAU)'!AE55+'Output - Jobs vs Yr (BAU)'!AE73</f>
        <v>8694.6757443234746</v>
      </c>
      <c r="AF176" s="206">
        <f>'Output - Jobs vs Yr (BAU)'!AF55+'Output - Jobs vs Yr (BAU)'!AF73</f>
        <v>8666.688648469526</v>
      </c>
      <c r="AG176" s="206">
        <f>'Output - Jobs vs Yr (BAU)'!AG55+'Output - Jobs vs Yr (BAU)'!AG73</f>
        <v>8595.9632367930499</v>
      </c>
      <c r="AH176" s="183">
        <f>'Output - Jobs vs Yr (BAU)'!AH55+'Output - Jobs vs Yr (BAU)'!AH73</f>
        <v>8420.2345979387828</v>
      </c>
      <c r="AI176" s="1"/>
    </row>
    <row r="177" spans="1:35">
      <c r="A177" s="76" t="s">
        <v>300</v>
      </c>
      <c r="C177" s="334">
        <f>'Output - Jobs vs Yr (BAU)'!C55</f>
        <v>4428.1211999999996</v>
      </c>
      <c r="D177" s="334">
        <f>'Output - Jobs vs Yr (BAU)'!D55</f>
        <v>4927.4805714116101</v>
      </c>
      <c r="E177" s="334">
        <f>'Output - Jobs vs Yr (BAU)'!E55</f>
        <v>4458.5198558604652</v>
      </c>
      <c r="F177" s="334">
        <f>'Output - Jobs vs Yr (BAU)'!F55</f>
        <v>4218.46816803194</v>
      </c>
      <c r="G177" s="334">
        <f>'Output - Jobs vs Yr (BAU)'!G55</f>
        <v>4183.6714205635526</v>
      </c>
      <c r="H177" s="404">
        <f>'Output - Jobs vs Yr (BAU)'!H55</f>
        <v>4332.4871423791237</v>
      </c>
      <c r="I177" s="19">
        <f>'Output - Jobs vs Yr (BAU)'!I55</f>
        <v>4376.6082022985211</v>
      </c>
      <c r="J177" s="19">
        <f>'Output - Jobs vs Yr (BAU)'!J55</f>
        <v>4318.1008967264543</v>
      </c>
      <c r="K177" s="19">
        <f>'Output - Jobs vs Yr (BAU)'!K55</f>
        <v>4550.6691853299653</v>
      </c>
      <c r="L177" s="19">
        <f>'Output - Jobs vs Yr (BAU)'!L55</f>
        <v>4690.652570716511</v>
      </c>
      <c r="M177" s="19">
        <f>'Output - Jobs vs Yr (BAU)'!M55</f>
        <v>4728.2035465655572</v>
      </c>
      <c r="N177" s="183">
        <f>'Output - Jobs vs Yr (BAU)'!N55</f>
        <v>4671.2904725912904</v>
      </c>
      <c r="O177" s="19">
        <f>'Output - Jobs vs Yr (BAU)'!O55</f>
        <v>4640.2043359699255</v>
      </c>
      <c r="P177" s="19">
        <f>'Output - Jobs vs Yr (BAU)'!P55</f>
        <v>4554.3563029712159</v>
      </c>
      <c r="Q177" s="19">
        <f>'Output - Jobs vs Yr (BAU)'!Q55</f>
        <v>4498.072310042674</v>
      </c>
      <c r="R177" s="19">
        <f>'Output - Jobs vs Yr (BAU)'!R55</f>
        <v>4473.5895260999914</v>
      </c>
      <c r="S177" s="19">
        <f>'Output - Jobs vs Yr (BAU)'!S55</f>
        <v>4465.0949217297275</v>
      </c>
      <c r="T177" s="19">
        <f>'Output - Jobs vs Yr (BAU)'!T55</f>
        <v>4374.9359835976265</v>
      </c>
      <c r="U177" s="19">
        <f>'Output - Jobs vs Yr (BAU)'!U55</f>
        <v>4430.6527083142792</v>
      </c>
      <c r="V177" s="19">
        <f>'Output - Jobs vs Yr (BAU)'!V55</f>
        <v>4485.6828112596804</v>
      </c>
      <c r="W177" s="19">
        <f>'Output - Jobs vs Yr (BAU)'!W55</f>
        <v>4395.4652071650562</v>
      </c>
      <c r="X177" s="183">
        <f>'Output - Jobs vs Yr (BAU)'!X55</f>
        <v>4442.7525266896955</v>
      </c>
      <c r="Y177" s="206">
        <f>'Output - Jobs vs Yr (BAU)'!Y55</f>
        <v>4480.3219718778309</v>
      </c>
      <c r="Z177" s="206">
        <f>'Output - Jobs vs Yr (BAU)'!Z55</f>
        <v>4500.4742095872962</v>
      </c>
      <c r="AA177" s="206">
        <f>'Output - Jobs vs Yr (BAU)'!AA55</f>
        <v>4574.3615313235823</v>
      </c>
      <c r="AB177" s="206">
        <f>'Output - Jobs vs Yr (BAU)'!AB55</f>
        <v>4605.028576961502</v>
      </c>
      <c r="AC177" s="206">
        <f>'Output - Jobs vs Yr (BAU)'!AC55</f>
        <v>4561.380813835458</v>
      </c>
      <c r="AD177" s="206">
        <f>'Output - Jobs vs Yr (BAU)'!AD55</f>
        <v>4602.3906133738192</v>
      </c>
      <c r="AE177" s="206">
        <f>'Output - Jobs vs Yr (BAU)'!AE55</f>
        <v>4576.1451285913026</v>
      </c>
      <c r="AF177" s="206">
        <f>'Output - Jobs vs Yr (BAU)'!AF55</f>
        <v>4561.4150781418557</v>
      </c>
      <c r="AG177" s="206">
        <f>'Output - Jobs vs Yr (BAU)'!AG55</f>
        <v>4524.1911772594995</v>
      </c>
      <c r="AH177" s="183">
        <f>'Output - Jobs vs Yr (BAU)'!AH55</f>
        <v>4431.7024199677799</v>
      </c>
      <c r="AI177" s="1"/>
    </row>
    <row r="178" spans="1:35">
      <c r="A178" s="76" t="s">
        <v>301</v>
      </c>
      <c r="C178" s="334">
        <f>'Output - Jobs vs Yr (BAU)'!C73</f>
        <v>3985.30908</v>
      </c>
      <c r="D178" s="334">
        <f>'Output - Jobs vs Yr (BAU)'!D73</f>
        <v>4434.7325142704485</v>
      </c>
      <c r="E178" s="334">
        <f>'Output - Jobs vs Yr (BAU)'!E73</f>
        <v>4012.6678702744189</v>
      </c>
      <c r="F178" s="334">
        <f>'Output - Jobs vs Yr (BAU)'!F73</f>
        <v>3796.6213512287459</v>
      </c>
      <c r="G178" s="334">
        <f>'Output - Jobs vs Yr (BAU)'!G73</f>
        <v>3765.3042785071975</v>
      </c>
      <c r="H178" s="404">
        <f>'Output - Jobs vs Yr (BAU)'!H73</f>
        <v>3899.2384281412114</v>
      </c>
      <c r="I178" s="19">
        <f>'Output - Jobs vs Yr (BAU)'!I73</f>
        <v>3938.947382068669</v>
      </c>
      <c r="J178" s="19">
        <f>'Output - Jobs vs Yr (BAU)'!J73</f>
        <v>3886.2908070538087</v>
      </c>
      <c r="K178" s="19">
        <f>'Output - Jobs vs Yr (BAU)'!K73</f>
        <v>4095.6022667969692</v>
      </c>
      <c r="L178" s="19">
        <f>'Output - Jobs vs Yr (BAU)'!L73</f>
        <v>4221.5873136448608</v>
      </c>
      <c r="M178" s="19">
        <f>'Output - Jobs vs Yr (BAU)'!M73</f>
        <v>4255.3831919090007</v>
      </c>
      <c r="N178" s="183">
        <f>'Output - Jobs vs Yr (BAU)'!N73</f>
        <v>4204.1614253321613</v>
      </c>
      <c r="O178" s="19">
        <f>'Output - Jobs vs Yr (BAU)'!O73</f>
        <v>4176.1839023729326</v>
      </c>
      <c r="P178" s="19">
        <f>'Output - Jobs vs Yr (BAU)'!P73</f>
        <v>4098.920672674094</v>
      </c>
      <c r="Q178" s="19">
        <f>'Output - Jobs vs Yr (BAU)'!Q73</f>
        <v>4048.2650790384068</v>
      </c>
      <c r="R178" s="19">
        <f>'Output - Jobs vs Yr (BAU)'!R73</f>
        <v>4026.2305734899928</v>
      </c>
      <c r="S178" s="19">
        <f>'Output - Jobs vs Yr (BAU)'!S73</f>
        <v>4018.5854295567551</v>
      </c>
      <c r="T178" s="19">
        <f>'Output - Jobs vs Yr (BAU)'!T73</f>
        <v>3937.4423852378641</v>
      </c>
      <c r="U178" s="19">
        <f>'Output - Jobs vs Yr (BAU)'!U73</f>
        <v>3987.5874374828518</v>
      </c>
      <c r="V178" s="19">
        <f>'Output - Jobs vs Yr (BAU)'!V73</f>
        <v>4037.1145301337128</v>
      </c>
      <c r="W178" s="19">
        <f>'Output - Jobs vs Yr (BAU)'!W73</f>
        <v>3955.9186864485509</v>
      </c>
      <c r="X178" s="183">
        <f>'Output - Jobs vs Yr (BAU)'!X73</f>
        <v>3998.4772740207263</v>
      </c>
      <c r="Y178" s="206">
        <f>'Output - Jobs vs Yr (BAU)'!Y73</f>
        <v>4032.2897746900485</v>
      </c>
      <c r="Z178" s="206">
        <f>'Output - Jobs vs Yr (BAU)'!Z73</f>
        <v>4050.426788628567</v>
      </c>
      <c r="AA178" s="206">
        <f>'Output - Jobs vs Yr (BAU)'!AA73</f>
        <v>4116.9253781912239</v>
      </c>
      <c r="AB178" s="206">
        <f>'Output - Jobs vs Yr (BAU)'!AB73</f>
        <v>4144.5257192653526</v>
      </c>
      <c r="AC178" s="206">
        <f>'Output - Jobs vs Yr (BAU)'!AC73</f>
        <v>4105.2427324519122</v>
      </c>
      <c r="AD178" s="206">
        <f>'Output - Jobs vs Yr (BAU)'!AD73</f>
        <v>4142.1515520364374</v>
      </c>
      <c r="AE178" s="206">
        <f>'Output - Jobs vs Yr (BAU)'!AE73</f>
        <v>4118.5306157321729</v>
      </c>
      <c r="AF178" s="206">
        <f>'Output - Jobs vs Yr (BAU)'!AF73</f>
        <v>4105.2735703276703</v>
      </c>
      <c r="AG178" s="206">
        <f>'Output - Jobs vs Yr (BAU)'!AG73</f>
        <v>4071.77205953355</v>
      </c>
      <c r="AH178" s="183">
        <f>'Output - Jobs vs Yr (BAU)'!AH73</f>
        <v>3988.5321779710021</v>
      </c>
      <c r="AI178" s="80" t="s">
        <v>0</v>
      </c>
    </row>
    <row r="179" spans="1:35">
      <c r="A179" s="75" t="s">
        <v>298</v>
      </c>
      <c r="C179" s="331">
        <f>SUM(C118,C145)</f>
        <v>8414.2660099999994</v>
      </c>
      <c r="D179" s="331">
        <f t="shared" ref="D179:AH179" si="99">SUM(D118,D145)+D249+D252</f>
        <v>9403.4332284324155</v>
      </c>
      <c r="E179" s="331">
        <f t="shared" si="99"/>
        <v>8512.4289014801143</v>
      </c>
      <c r="F179" s="331">
        <f t="shared" si="99"/>
        <v>8053.1636161998313</v>
      </c>
      <c r="G179" s="331">
        <f t="shared" si="99"/>
        <v>7990.0580969257171</v>
      </c>
      <c r="H179" s="402">
        <f>SUM(H118,H145)+H249+H252</f>
        <v>8224.5664231549199</v>
      </c>
      <c r="I179" s="14">
        <f t="shared" si="99"/>
        <v>8449.0638833238663</v>
      </c>
      <c r="J179" s="14">
        <f t="shared" si="99"/>
        <v>8418.5491552970307</v>
      </c>
      <c r="K179" s="14">
        <f t="shared" si="99"/>
        <v>8944.8627263926828</v>
      </c>
      <c r="L179" s="14">
        <f t="shared" si="99"/>
        <v>9456.8692543012039</v>
      </c>
      <c r="M179" s="14">
        <f t="shared" si="99"/>
        <v>9848.8582785288454</v>
      </c>
      <c r="N179" s="188">
        <f t="shared" si="99"/>
        <v>10146.429858606296</v>
      </c>
      <c r="O179" s="14">
        <f t="shared" si="99"/>
        <v>10193.072761732346</v>
      </c>
      <c r="P179" s="14">
        <f t="shared" si="99"/>
        <v>10108.049503591843</v>
      </c>
      <c r="Q179" s="14">
        <f t="shared" si="99"/>
        <v>10090.274224859342</v>
      </c>
      <c r="R179" s="14">
        <f t="shared" si="99"/>
        <v>10155.454813447646</v>
      </c>
      <c r="S179" s="14">
        <f t="shared" si="99"/>
        <v>10262.329230779083</v>
      </c>
      <c r="T179" s="14">
        <f t="shared" si="99"/>
        <v>10184.226910333568</v>
      </c>
      <c r="U179" s="14">
        <f t="shared" si="99"/>
        <v>10467.564328911329</v>
      </c>
      <c r="V179" s="14">
        <f t="shared" si="99"/>
        <v>10766.597284363412</v>
      </c>
      <c r="W179" s="14">
        <f t="shared" si="99"/>
        <v>10706.704318876909</v>
      </c>
      <c r="X179" s="188">
        <f t="shared" si="99"/>
        <v>10995.398695143384</v>
      </c>
      <c r="Y179" s="159">
        <f t="shared" si="99"/>
        <v>11149.090454037118</v>
      </c>
      <c r="Z179" s="159">
        <f t="shared" si="99"/>
        <v>11258.33250365132</v>
      </c>
      <c r="AA179" s="159">
        <f t="shared" si="99"/>
        <v>11513.357933427313</v>
      </c>
      <c r="AB179" s="159">
        <f t="shared" si="99"/>
        <v>11661.772007309883</v>
      </c>
      <c r="AC179" s="159">
        <f t="shared" si="99"/>
        <v>11614.395517140549</v>
      </c>
      <c r="AD179" s="159">
        <f t="shared" si="99"/>
        <v>11803.41660182245</v>
      </c>
      <c r="AE179" s="159">
        <f t="shared" si="99"/>
        <v>11818.001981588393</v>
      </c>
      <c r="AF179" s="159">
        <f t="shared" si="99"/>
        <v>11842.984761999445</v>
      </c>
      <c r="AG179" s="159">
        <f t="shared" si="99"/>
        <v>11818.18546549623</v>
      </c>
      <c r="AH179" s="188">
        <f t="shared" si="99"/>
        <v>11647.106193349075</v>
      </c>
    </row>
    <row r="180" spans="1:35">
      <c r="A180" s="76" t="s">
        <v>302</v>
      </c>
      <c r="C180" s="331">
        <f>C118</f>
        <v>4428.5612000000001</v>
      </c>
      <c r="D180" s="331">
        <f t="shared" ref="D180:AH180" si="100">D118+D250+D253</f>
        <v>4949.1755661115549</v>
      </c>
      <c r="E180" s="331">
        <f t="shared" si="100"/>
        <v>4480.2259300800952</v>
      </c>
      <c r="F180" s="331">
        <f t="shared" si="100"/>
        <v>4238.5073801822764</v>
      </c>
      <c r="G180" s="331">
        <f t="shared" si="100"/>
        <v>4205.2939825916865</v>
      </c>
      <c r="H180" s="402">
        <f t="shared" si="100"/>
        <v>4328.7193121867995</v>
      </c>
      <c r="I180" s="14">
        <f t="shared" si="100"/>
        <v>4446.8758979032064</v>
      </c>
      <c r="J180" s="14">
        <f t="shared" si="100"/>
        <v>4430.8155412815995</v>
      </c>
      <c r="K180" s="14">
        <f t="shared" si="100"/>
        <v>4707.8227285173671</v>
      </c>
      <c r="L180" s="14">
        <f t="shared" si="100"/>
        <v>4977.2999001256203</v>
      </c>
      <c r="M180" s="14">
        <f t="shared" si="100"/>
        <v>5183.6099677236716</v>
      </c>
      <c r="N180" s="188">
        <f t="shared" si="100"/>
        <v>5340.2266455909157</v>
      </c>
      <c r="O180" s="14">
        <f t="shared" si="100"/>
        <v>5364.7755636806087</v>
      </c>
      <c r="P180" s="14">
        <f t="shared" si="100"/>
        <v>5320.0264974061474</v>
      </c>
      <c r="Q180" s="14">
        <f t="shared" si="100"/>
        <v>5310.6711080223904</v>
      </c>
      <c r="R180" s="14">
        <f t="shared" si="100"/>
        <v>5344.9767059985961</v>
      </c>
      <c r="S180" s="14">
        <f t="shared" si="100"/>
        <v>5401.226427568412</v>
      </c>
      <c r="T180" s="14">
        <f t="shared" si="100"/>
        <v>5360.1199630030314</v>
      </c>
      <c r="U180" s="14">
        <f t="shared" si="100"/>
        <v>5509.2449601453554</v>
      </c>
      <c r="V180" s="14">
        <f t="shared" si="100"/>
        <v>5666.6307691789516</v>
      </c>
      <c r="W180" s="14">
        <f t="shared" si="100"/>
        <v>5635.1081797945262</v>
      </c>
      <c r="X180" s="188">
        <f t="shared" si="100"/>
        <v>5787.0526344463433</v>
      </c>
      <c r="Y180" s="159">
        <f t="shared" si="100"/>
        <v>5867.9430528406047</v>
      </c>
      <c r="Z180" s="159">
        <f t="shared" si="100"/>
        <v>5925.4388848876215</v>
      </c>
      <c r="AA180" s="159">
        <f t="shared" si="100"/>
        <v>6059.6628214376678</v>
      </c>
      <c r="AB180" s="159">
        <f t="shared" si="100"/>
        <v>6137.7755116057915</v>
      </c>
      <c r="AC180" s="159">
        <f t="shared" si="100"/>
        <v>6112.8405238516807</v>
      </c>
      <c r="AD180" s="159">
        <f t="shared" si="100"/>
        <v>6212.3253282294654</v>
      </c>
      <c r="AE180" s="159">
        <f t="shared" si="100"/>
        <v>6220.0018553941545</v>
      </c>
      <c r="AF180" s="159">
        <f t="shared" si="100"/>
        <v>6233.1506995289456</v>
      </c>
      <c r="AG180" s="159">
        <f t="shared" si="100"/>
        <v>6220.0984472035434</v>
      </c>
      <c r="AH180" s="188">
        <f t="shared" si="100"/>
        <v>6130.0567237256837</v>
      </c>
    </row>
    <row r="181" spans="1:35">
      <c r="A181" s="76" t="s">
        <v>303</v>
      </c>
      <c r="C181" s="331">
        <f>C145</f>
        <v>3985.7048100000002</v>
      </c>
      <c r="D181" s="331">
        <f t="shared" ref="D181:AH181" si="101">D145+D251+D254</f>
        <v>4454.2576623208606</v>
      </c>
      <c r="E181" s="331">
        <f t="shared" si="101"/>
        <v>4032.20297140002</v>
      </c>
      <c r="F181" s="331">
        <f t="shared" si="101"/>
        <v>3814.6562360175549</v>
      </c>
      <c r="G181" s="331">
        <f t="shared" si="101"/>
        <v>3784.7641143340306</v>
      </c>
      <c r="H181" s="402">
        <f>H145+H251+H254</f>
        <v>3895.8471109681204</v>
      </c>
      <c r="I181" s="14">
        <f t="shared" si="101"/>
        <v>4002.18798542066</v>
      </c>
      <c r="J181" s="14">
        <f t="shared" si="101"/>
        <v>3987.7336140154321</v>
      </c>
      <c r="K181" s="14">
        <f t="shared" si="101"/>
        <v>4237.0399978753157</v>
      </c>
      <c r="L181" s="14">
        <f t="shared" si="101"/>
        <v>4479.5693541755845</v>
      </c>
      <c r="M181" s="14">
        <f t="shared" si="101"/>
        <v>4665.2483108051747</v>
      </c>
      <c r="N181" s="188">
        <f t="shared" si="101"/>
        <v>4806.2032130153802</v>
      </c>
      <c r="O181" s="14">
        <f t="shared" si="101"/>
        <v>4828.2971980517386</v>
      </c>
      <c r="P181" s="14">
        <f t="shared" si="101"/>
        <v>4788.0230061856964</v>
      </c>
      <c r="Q181" s="14">
        <f t="shared" si="101"/>
        <v>4779.6031168369527</v>
      </c>
      <c r="R181" s="14">
        <f t="shared" si="101"/>
        <v>4810.4781074490511</v>
      </c>
      <c r="S181" s="14">
        <f t="shared" si="101"/>
        <v>4861.1028032106715</v>
      </c>
      <c r="T181" s="14">
        <f t="shared" si="101"/>
        <v>4824.1069473305361</v>
      </c>
      <c r="U181" s="14">
        <f t="shared" si="101"/>
        <v>4958.3193687659732</v>
      </c>
      <c r="V181" s="14">
        <f t="shared" si="101"/>
        <v>5099.9665151844601</v>
      </c>
      <c r="W181" s="14">
        <f t="shared" si="101"/>
        <v>5071.5961390823841</v>
      </c>
      <c r="X181" s="188">
        <f t="shared" si="101"/>
        <v>5208.3460606970402</v>
      </c>
      <c r="Y181" s="159">
        <f t="shared" si="101"/>
        <v>5281.1474011965129</v>
      </c>
      <c r="Z181" s="159">
        <f t="shared" si="101"/>
        <v>5332.8936187636982</v>
      </c>
      <c r="AA181" s="159">
        <f t="shared" si="101"/>
        <v>5453.6951119896457</v>
      </c>
      <c r="AB181" s="159">
        <f t="shared" si="101"/>
        <v>5523.9964957040902</v>
      </c>
      <c r="AC181" s="159">
        <f t="shared" si="101"/>
        <v>5501.554993288868</v>
      </c>
      <c r="AD181" s="159">
        <f t="shared" si="101"/>
        <v>5591.0912735929851</v>
      </c>
      <c r="AE181" s="159">
        <f t="shared" si="101"/>
        <v>5598.0001261942398</v>
      </c>
      <c r="AF181" s="159">
        <f t="shared" si="101"/>
        <v>5609.8340624704997</v>
      </c>
      <c r="AG181" s="159">
        <f t="shared" si="101"/>
        <v>5598.0870182926865</v>
      </c>
      <c r="AH181" s="188">
        <f t="shared" si="101"/>
        <v>5517.0494696233918</v>
      </c>
      <c r="AI181" s="31" t="s">
        <v>0</v>
      </c>
    </row>
    <row r="182" spans="1:35" s="1" customFormat="1">
      <c r="A182" s="75" t="s">
        <v>304</v>
      </c>
      <c r="B182" s="13"/>
      <c r="C182" s="341" t="s">
        <v>0</v>
      </c>
      <c r="D182" s="341">
        <f t="shared" ref="D182:AH182" si="102">D179-D176</f>
        <v>41.220142750356899</v>
      </c>
      <c r="E182" s="341">
        <f t="shared" si="102"/>
        <v>41.241175345230658</v>
      </c>
      <c r="F182" s="341">
        <f t="shared" si="102"/>
        <v>38.07409693914542</v>
      </c>
      <c r="G182" s="341">
        <f t="shared" si="102"/>
        <v>41.082397854966985</v>
      </c>
      <c r="H182" s="405">
        <f>H179-H176</f>
        <v>-7.1591473654152651</v>
      </c>
      <c r="I182" s="15">
        <f t="shared" si="102"/>
        <v>133.5082989566763</v>
      </c>
      <c r="J182" s="15">
        <f t="shared" si="102"/>
        <v>214.15745151676674</v>
      </c>
      <c r="K182" s="15">
        <f t="shared" si="102"/>
        <v>298.59127426574923</v>
      </c>
      <c r="L182" s="15">
        <f t="shared" si="102"/>
        <v>544.62936993983203</v>
      </c>
      <c r="M182" s="15">
        <f t="shared" si="102"/>
        <v>865.27154005428747</v>
      </c>
      <c r="N182" s="191">
        <f t="shared" si="102"/>
        <v>1270.9779606828433</v>
      </c>
      <c r="O182" s="15">
        <f t="shared" si="102"/>
        <v>1376.6845233894892</v>
      </c>
      <c r="P182" s="15">
        <f t="shared" si="102"/>
        <v>1454.772527946534</v>
      </c>
      <c r="Q182" s="15">
        <f t="shared" si="102"/>
        <v>1543.9368357782623</v>
      </c>
      <c r="R182" s="15">
        <f t="shared" si="102"/>
        <v>1655.6347138576621</v>
      </c>
      <c r="S182" s="15">
        <f t="shared" si="102"/>
        <v>1778.6488794926008</v>
      </c>
      <c r="T182" s="15">
        <f t="shared" si="102"/>
        <v>1871.8485414980769</v>
      </c>
      <c r="U182" s="15">
        <f t="shared" si="102"/>
        <v>2049.3241831141968</v>
      </c>
      <c r="V182" s="15">
        <f t="shared" si="102"/>
        <v>2243.7999429700176</v>
      </c>
      <c r="W182" s="15">
        <f t="shared" si="102"/>
        <v>2355.3204252633022</v>
      </c>
      <c r="X182" s="191">
        <f t="shared" si="102"/>
        <v>2554.1688944329617</v>
      </c>
      <c r="Y182" s="131">
        <f t="shared" si="102"/>
        <v>2636.4787074692376</v>
      </c>
      <c r="Z182" s="131">
        <f t="shared" si="102"/>
        <v>2707.4315054354556</v>
      </c>
      <c r="AA182" s="131">
        <f t="shared" si="102"/>
        <v>2822.0710239125074</v>
      </c>
      <c r="AB182" s="131">
        <f t="shared" si="102"/>
        <v>2912.2177110830271</v>
      </c>
      <c r="AC182" s="131">
        <f t="shared" si="102"/>
        <v>2947.7719708531786</v>
      </c>
      <c r="AD182" s="131">
        <f t="shared" si="102"/>
        <v>3058.8744364121922</v>
      </c>
      <c r="AE182" s="131">
        <f t="shared" si="102"/>
        <v>3123.3262372649187</v>
      </c>
      <c r="AF182" s="131">
        <f t="shared" si="102"/>
        <v>3176.2961135299192</v>
      </c>
      <c r="AG182" s="131">
        <f t="shared" si="102"/>
        <v>3222.22222870318</v>
      </c>
      <c r="AH182" s="191">
        <f t="shared" si="102"/>
        <v>3226.8715954102918</v>
      </c>
    </row>
    <row r="183" spans="1:35" s="20" customFormat="1">
      <c r="A183" s="20" t="s">
        <v>305</v>
      </c>
      <c r="B183" s="33"/>
      <c r="C183" s="334" t="s">
        <v>0</v>
      </c>
      <c r="D183" s="334">
        <f t="shared" ref="D183:AH183" si="103">D180-D177</f>
        <v>21.6949946999448</v>
      </c>
      <c r="E183" s="334">
        <f t="shared" si="103"/>
        <v>21.706074219629954</v>
      </c>
      <c r="F183" s="334">
        <f t="shared" si="103"/>
        <v>20.039212150336425</v>
      </c>
      <c r="G183" s="334">
        <f t="shared" si="103"/>
        <v>21.622562028133871</v>
      </c>
      <c r="H183" s="404">
        <f>H180-H177</f>
        <v>-3.7678301923242543</v>
      </c>
      <c r="I183" s="19">
        <f t="shared" si="103"/>
        <v>70.267695604685287</v>
      </c>
      <c r="J183" s="19">
        <f t="shared" si="103"/>
        <v>112.71464455514524</v>
      </c>
      <c r="K183" s="19">
        <f t="shared" si="103"/>
        <v>157.15354318740174</v>
      </c>
      <c r="L183" s="19">
        <f t="shared" si="103"/>
        <v>286.64732940910926</v>
      </c>
      <c r="M183" s="19">
        <f t="shared" si="103"/>
        <v>455.40642115811443</v>
      </c>
      <c r="N183" s="183">
        <f t="shared" si="103"/>
        <v>668.93617299962534</v>
      </c>
      <c r="O183" s="19">
        <f t="shared" si="103"/>
        <v>724.57122771068316</v>
      </c>
      <c r="P183" s="19">
        <f t="shared" si="103"/>
        <v>765.67019443493155</v>
      </c>
      <c r="Q183" s="19">
        <f t="shared" si="103"/>
        <v>812.59879797971644</v>
      </c>
      <c r="R183" s="19">
        <f t="shared" si="103"/>
        <v>871.3871798986047</v>
      </c>
      <c r="S183" s="19">
        <f t="shared" si="103"/>
        <v>936.13150583868446</v>
      </c>
      <c r="T183" s="19">
        <f t="shared" si="103"/>
        <v>985.1839794054049</v>
      </c>
      <c r="U183" s="19">
        <f t="shared" si="103"/>
        <v>1078.5922518310763</v>
      </c>
      <c r="V183" s="19">
        <f t="shared" si="103"/>
        <v>1180.9479579192712</v>
      </c>
      <c r="W183" s="19">
        <f t="shared" si="103"/>
        <v>1239.64297262947</v>
      </c>
      <c r="X183" s="183">
        <f t="shared" si="103"/>
        <v>1344.3001077566478</v>
      </c>
      <c r="Y183" s="206">
        <f t="shared" si="103"/>
        <v>1387.6210809627737</v>
      </c>
      <c r="Z183" s="206">
        <f t="shared" si="103"/>
        <v>1424.9646753003253</v>
      </c>
      <c r="AA183" s="206">
        <f t="shared" si="103"/>
        <v>1485.3012901140855</v>
      </c>
      <c r="AB183" s="206">
        <f t="shared" si="103"/>
        <v>1532.7469346442895</v>
      </c>
      <c r="AC183" s="206">
        <f t="shared" si="103"/>
        <v>1551.4597100162227</v>
      </c>
      <c r="AD183" s="206">
        <f t="shared" si="103"/>
        <v>1609.9347148556462</v>
      </c>
      <c r="AE183" s="206">
        <f t="shared" si="103"/>
        <v>1643.8567268028519</v>
      </c>
      <c r="AF183" s="206">
        <f t="shared" si="103"/>
        <v>1671.7356213870899</v>
      </c>
      <c r="AG183" s="206">
        <f t="shared" si="103"/>
        <v>1695.9072699440439</v>
      </c>
      <c r="AH183" s="183">
        <f t="shared" si="103"/>
        <v>1698.3543037579038</v>
      </c>
    </row>
    <row r="184" spans="1:35" s="20" customFormat="1">
      <c r="A184" s="20" t="s">
        <v>306</v>
      </c>
      <c r="B184" s="33"/>
      <c r="C184" s="334" t="s">
        <v>0</v>
      </c>
      <c r="D184" s="334">
        <f t="shared" ref="D184:AH184" si="104">D181-D178</f>
        <v>19.525148050412099</v>
      </c>
      <c r="E184" s="334">
        <f t="shared" si="104"/>
        <v>19.535101125601159</v>
      </c>
      <c r="F184" s="334">
        <f t="shared" si="104"/>
        <v>18.034884788808995</v>
      </c>
      <c r="G184" s="334">
        <f t="shared" si="104"/>
        <v>19.459835826833114</v>
      </c>
      <c r="H184" s="404">
        <f t="shared" si="104"/>
        <v>-3.3913171730910108</v>
      </c>
      <c r="I184" s="19">
        <f t="shared" si="104"/>
        <v>63.240603351991012</v>
      </c>
      <c r="J184" s="19">
        <f t="shared" si="104"/>
        <v>101.44280696162332</v>
      </c>
      <c r="K184" s="19">
        <f t="shared" si="104"/>
        <v>141.43773107834659</v>
      </c>
      <c r="L184" s="19">
        <f t="shared" si="104"/>
        <v>257.98204053072368</v>
      </c>
      <c r="M184" s="19">
        <f t="shared" si="104"/>
        <v>409.86511889617395</v>
      </c>
      <c r="N184" s="183">
        <f t="shared" si="104"/>
        <v>602.0417876832189</v>
      </c>
      <c r="O184" s="19">
        <f t="shared" si="104"/>
        <v>652.11329567880603</v>
      </c>
      <c r="P184" s="19">
        <f t="shared" si="104"/>
        <v>689.10233351160241</v>
      </c>
      <c r="Q184" s="19">
        <f t="shared" si="104"/>
        <v>731.33803779854588</v>
      </c>
      <c r="R184" s="19">
        <f t="shared" si="104"/>
        <v>784.24753395905827</v>
      </c>
      <c r="S184" s="19">
        <f t="shared" si="104"/>
        <v>842.51737365391637</v>
      </c>
      <c r="T184" s="19">
        <f t="shared" si="104"/>
        <v>886.66456209267199</v>
      </c>
      <c r="U184" s="19">
        <f t="shared" si="104"/>
        <v>970.73193128312141</v>
      </c>
      <c r="V184" s="19">
        <f t="shared" si="104"/>
        <v>1062.8519850507473</v>
      </c>
      <c r="W184" s="19">
        <f t="shared" si="104"/>
        <v>1115.6774526338331</v>
      </c>
      <c r="X184" s="183">
        <f t="shared" si="104"/>
        <v>1209.8687866763139</v>
      </c>
      <c r="Y184" s="206">
        <f t="shared" si="104"/>
        <v>1248.8576265064644</v>
      </c>
      <c r="Z184" s="206">
        <f t="shared" si="104"/>
        <v>1282.4668301351312</v>
      </c>
      <c r="AA184" s="206">
        <f t="shared" si="104"/>
        <v>1336.7697337984218</v>
      </c>
      <c r="AB184" s="206">
        <f t="shared" si="104"/>
        <v>1379.4707764387376</v>
      </c>
      <c r="AC184" s="206">
        <f t="shared" si="104"/>
        <v>1396.3122608369558</v>
      </c>
      <c r="AD184" s="206">
        <f t="shared" si="104"/>
        <v>1448.9397215565477</v>
      </c>
      <c r="AE184" s="206">
        <f t="shared" si="104"/>
        <v>1479.4695104620669</v>
      </c>
      <c r="AF184" s="206">
        <f t="shared" si="104"/>
        <v>1504.5604921428294</v>
      </c>
      <c r="AG184" s="206">
        <f t="shared" si="104"/>
        <v>1526.3149587591365</v>
      </c>
      <c r="AH184" s="183">
        <f t="shared" si="104"/>
        <v>1528.5172916523898</v>
      </c>
    </row>
    <row r="185" spans="1:35" s="1" customFormat="1">
      <c r="A185" s="1" t="s">
        <v>449</v>
      </c>
      <c r="B185" s="13"/>
      <c r="C185" s="341"/>
      <c r="D185" s="341">
        <f>D182</f>
        <v>41.220142750356899</v>
      </c>
      <c r="E185" s="341">
        <f>D185+E182</f>
        <v>82.461318095587558</v>
      </c>
      <c r="F185" s="341">
        <f t="shared" ref="E185:N187" si="105">E185+F182</f>
        <v>120.53541503473298</v>
      </c>
      <c r="G185" s="341">
        <f t="shared" si="105"/>
        <v>161.61781288969996</v>
      </c>
      <c r="H185" s="405">
        <f>H182</f>
        <v>-7.1591473654152651</v>
      </c>
      <c r="I185" s="15">
        <f t="shared" si="105"/>
        <v>126.34915159126103</v>
      </c>
      <c r="J185" s="15">
        <f t="shared" si="105"/>
        <v>340.50660310802778</v>
      </c>
      <c r="K185" s="15">
        <f t="shared" si="105"/>
        <v>639.09787737377701</v>
      </c>
      <c r="L185" s="15">
        <f t="shared" si="105"/>
        <v>1183.727247313609</v>
      </c>
      <c r="M185" s="15">
        <f t="shared" si="105"/>
        <v>2048.9987873678965</v>
      </c>
      <c r="N185" s="15">
        <f t="shared" si="105"/>
        <v>3319.9767480507398</v>
      </c>
      <c r="O185" s="15">
        <f t="shared" ref="O185:X185" si="106">N185+O182</f>
        <v>4696.661271440229</v>
      </c>
      <c r="P185" s="15">
        <f t="shared" si="106"/>
        <v>6151.433799386763</v>
      </c>
      <c r="Q185" s="15">
        <f t="shared" si="106"/>
        <v>7695.3706351650253</v>
      </c>
      <c r="R185" s="15">
        <f t="shared" si="106"/>
        <v>9351.0053490226874</v>
      </c>
      <c r="S185" s="131">
        <f t="shared" si="106"/>
        <v>11129.654228515288</v>
      </c>
      <c r="T185" s="15">
        <f t="shared" si="106"/>
        <v>13001.502770013365</v>
      </c>
      <c r="U185" s="15">
        <f t="shared" si="106"/>
        <v>15050.826953127562</v>
      </c>
      <c r="V185" s="15">
        <f t="shared" si="106"/>
        <v>17294.626896097579</v>
      </c>
      <c r="W185" s="15">
        <f t="shared" si="106"/>
        <v>19649.94732136088</v>
      </c>
      <c r="X185" s="191">
        <f t="shared" si="106"/>
        <v>22204.116215793842</v>
      </c>
      <c r="Y185" s="131">
        <f t="shared" ref="Y185:AH185" si="107">X185+Y182</f>
        <v>24840.594923263081</v>
      </c>
      <c r="Z185" s="131">
        <f t="shared" si="107"/>
        <v>27548.026428698537</v>
      </c>
      <c r="AA185" s="131">
        <f t="shared" si="107"/>
        <v>30370.097452611044</v>
      </c>
      <c r="AB185" s="131">
        <f t="shared" si="107"/>
        <v>33282.315163694075</v>
      </c>
      <c r="AC185" s="131">
        <f t="shared" si="107"/>
        <v>36230.087134547255</v>
      </c>
      <c r="AD185" s="131">
        <f t="shared" si="107"/>
        <v>39288.961570959451</v>
      </c>
      <c r="AE185" s="131">
        <f t="shared" si="107"/>
        <v>42412.28780822437</v>
      </c>
      <c r="AF185" s="131">
        <f t="shared" si="107"/>
        <v>45588.583921754289</v>
      </c>
      <c r="AG185" s="131">
        <f t="shared" si="107"/>
        <v>48810.806150457473</v>
      </c>
      <c r="AH185" s="191">
        <f t="shared" si="107"/>
        <v>52037.677745867768</v>
      </c>
    </row>
    <row r="186" spans="1:35" s="20" customFormat="1">
      <c r="A186" s="20" t="s">
        <v>450</v>
      </c>
      <c r="B186" s="33"/>
      <c r="C186" s="334"/>
      <c r="D186" s="334">
        <f>D183</f>
        <v>21.6949946999448</v>
      </c>
      <c r="E186" s="334">
        <f t="shared" si="105"/>
        <v>43.401068919574755</v>
      </c>
      <c r="F186" s="334">
        <f t="shared" si="105"/>
        <v>63.44028106991118</v>
      </c>
      <c r="G186" s="334">
        <f t="shared" si="105"/>
        <v>85.06284309804505</v>
      </c>
      <c r="H186" s="404">
        <f t="shared" si="105"/>
        <v>81.295012905720796</v>
      </c>
      <c r="I186" s="19">
        <f t="shared" ref="I186:X186" si="108">H186+I183</f>
        <v>151.56270851040608</v>
      </c>
      <c r="J186" s="19">
        <f t="shared" si="108"/>
        <v>264.27735306555132</v>
      </c>
      <c r="K186" s="19">
        <f t="shared" si="108"/>
        <v>421.43089625295306</v>
      </c>
      <c r="L186" s="19">
        <f t="shared" si="108"/>
        <v>708.07822566206232</v>
      </c>
      <c r="M186" s="19">
        <f t="shared" si="108"/>
        <v>1163.4846468201767</v>
      </c>
      <c r="N186" s="183">
        <f t="shared" si="108"/>
        <v>1832.4208198198021</v>
      </c>
      <c r="O186" s="19">
        <f t="shared" si="108"/>
        <v>2556.9920475304853</v>
      </c>
      <c r="P186" s="19">
        <f t="shared" si="108"/>
        <v>3322.6622419654168</v>
      </c>
      <c r="Q186" s="19">
        <f t="shared" si="108"/>
        <v>4135.2610399451332</v>
      </c>
      <c r="R186" s="19">
        <f t="shared" si="108"/>
        <v>5006.6482198437379</v>
      </c>
      <c r="S186" s="206">
        <f t="shared" si="108"/>
        <v>5942.7797256824224</v>
      </c>
      <c r="T186" s="19">
        <f t="shared" si="108"/>
        <v>6927.9637050878273</v>
      </c>
      <c r="U186" s="19">
        <f t="shared" si="108"/>
        <v>8006.5559569189036</v>
      </c>
      <c r="V186" s="19">
        <f t="shared" si="108"/>
        <v>9187.5039148381748</v>
      </c>
      <c r="W186" s="19">
        <f t="shared" si="108"/>
        <v>10427.146887467645</v>
      </c>
      <c r="X186" s="183">
        <f t="shared" si="108"/>
        <v>11771.446995224293</v>
      </c>
      <c r="Y186" s="206">
        <f t="shared" ref="Y186:AH186" si="109">X186+Y183</f>
        <v>13159.068076187066</v>
      </c>
      <c r="Z186" s="206">
        <f t="shared" si="109"/>
        <v>14584.032751487392</v>
      </c>
      <c r="AA186" s="206">
        <f t="shared" si="109"/>
        <v>16069.334041601476</v>
      </c>
      <c r="AB186" s="206">
        <f t="shared" si="109"/>
        <v>17602.080976245765</v>
      </c>
      <c r="AC186" s="206">
        <f t="shared" si="109"/>
        <v>19153.540686261986</v>
      </c>
      <c r="AD186" s="206">
        <f t="shared" si="109"/>
        <v>20763.475401117634</v>
      </c>
      <c r="AE186" s="206">
        <f t="shared" si="109"/>
        <v>22407.332127920487</v>
      </c>
      <c r="AF186" s="206">
        <f t="shared" si="109"/>
        <v>24079.067749307578</v>
      </c>
      <c r="AG186" s="206">
        <f t="shared" si="109"/>
        <v>25774.975019251622</v>
      </c>
      <c r="AH186" s="183">
        <f t="shared" si="109"/>
        <v>27473.329323009526</v>
      </c>
    </row>
    <row r="187" spans="1:35" s="20" customFormat="1">
      <c r="A187" s="20" t="s">
        <v>451</v>
      </c>
      <c r="B187" s="33"/>
      <c r="C187" s="334"/>
      <c r="D187" s="334">
        <f>D184</f>
        <v>19.525148050412099</v>
      </c>
      <c r="E187" s="334">
        <f t="shared" si="105"/>
        <v>39.060249176013258</v>
      </c>
      <c r="F187" s="334">
        <f t="shared" si="105"/>
        <v>57.095133964822253</v>
      </c>
      <c r="G187" s="334">
        <f t="shared" si="105"/>
        <v>76.554969791655367</v>
      </c>
      <c r="H187" s="404">
        <f t="shared" si="105"/>
        <v>73.163652618564356</v>
      </c>
      <c r="I187" s="19">
        <f t="shared" ref="I187:X187" si="110">H187+I184</f>
        <v>136.40425597055537</v>
      </c>
      <c r="J187" s="19">
        <f t="shared" si="110"/>
        <v>237.84706293217869</v>
      </c>
      <c r="K187" s="19">
        <f t="shared" si="110"/>
        <v>379.28479401052527</v>
      </c>
      <c r="L187" s="19">
        <f t="shared" si="110"/>
        <v>637.26683454124895</v>
      </c>
      <c r="M187" s="19">
        <f t="shared" si="110"/>
        <v>1047.1319534374229</v>
      </c>
      <c r="N187" s="183">
        <f t="shared" si="110"/>
        <v>1649.1737411206418</v>
      </c>
      <c r="O187" s="19">
        <f t="shared" si="110"/>
        <v>2301.2870367994478</v>
      </c>
      <c r="P187" s="19">
        <f t="shared" si="110"/>
        <v>2990.3893703110502</v>
      </c>
      <c r="Q187" s="19">
        <f t="shared" si="110"/>
        <v>3721.7274081095961</v>
      </c>
      <c r="R187" s="19">
        <f t="shared" si="110"/>
        <v>4505.9749420686549</v>
      </c>
      <c r="S187" s="206">
        <f t="shared" si="110"/>
        <v>5348.4923157225712</v>
      </c>
      <c r="T187" s="19">
        <f t="shared" si="110"/>
        <v>6235.1568778152432</v>
      </c>
      <c r="U187" s="19">
        <f t="shared" si="110"/>
        <v>7205.8888090983646</v>
      </c>
      <c r="V187" s="19">
        <f t="shared" si="110"/>
        <v>8268.740794149111</v>
      </c>
      <c r="W187" s="19">
        <f t="shared" si="110"/>
        <v>9384.4182467829451</v>
      </c>
      <c r="X187" s="183">
        <f t="shared" si="110"/>
        <v>10594.287033459259</v>
      </c>
      <c r="Y187" s="206">
        <f t="shared" ref="Y187:AH187" si="111">X187+Y184</f>
        <v>11843.144659965723</v>
      </c>
      <c r="Z187" s="206">
        <f t="shared" si="111"/>
        <v>13125.611490100855</v>
      </c>
      <c r="AA187" s="206">
        <f t="shared" si="111"/>
        <v>14462.381223899276</v>
      </c>
      <c r="AB187" s="206">
        <f t="shared" si="111"/>
        <v>15841.852000338014</v>
      </c>
      <c r="AC187" s="206">
        <f t="shared" si="111"/>
        <v>17238.16426117497</v>
      </c>
      <c r="AD187" s="206">
        <f t="shared" si="111"/>
        <v>18687.103982731518</v>
      </c>
      <c r="AE187" s="206">
        <f t="shared" si="111"/>
        <v>20166.573493193584</v>
      </c>
      <c r="AF187" s="206">
        <f t="shared" si="111"/>
        <v>21671.133985336412</v>
      </c>
      <c r="AG187" s="206">
        <f t="shared" si="111"/>
        <v>23197.448944095548</v>
      </c>
      <c r="AH187" s="183">
        <f t="shared" si="111"/>
        <v>24725.966235747939</v>
      </c>
    </row>
    <row r="188" spans="1:35" s="519" customFormat="1">
      <c r="A188" s="519" t="s">
        <v>549</v>
      </c>
      <c r="B188" s="520"/>
      <c r="C188" s="521"/>
      <c r="D188"/>
      <c r="E188"/>
      <c r="F188"/>
      <c r="G188"/>
      <c r="H188"/>
      <c r="I188"/>
      <c r="J188"/>
      <c r="K188"/>
      <c r="L188"/>
      <c r="M188"/>
      <c r="N188"/>
      <c r="O188"/>
      <c r="P188"/>
      <c r="Q188"/>
      <c r="R188"/>
      <c r="S188"/>
      <c r="T188"/>
      <c r="U188"/>
      <c r="V188"/>
      <c r="W188"/>
      <c r="X188"/>
      <c r="Y188"/>
      <c r="Z188"/>
      <c r="AA188"/>
      <c r="AB188"/>
      <c r="AC188"/>
      <c r="AD188"/>
      <c r="AE188"/>
      <c r="AF188"/>
      <c r="AG188"/>
      <c r="AH188"/>
    </row>
    <row r="189" spans="1:35" s="1" customFormat="1">
      <c r="B189" s="13"/>
      <c r="C189" s="341"/>
      <c r="D189"/>
      <c r="E189"/>
      <c r="F189"/>
      <c r="G189"/>
      <c r="H189"/>
      <c r="I189"/>
      <c r="J189"/>
      <c r="K189"/>
      <c r="L189"/>
      <c r="M189"/>
      <c r="N189"/>
      <c r="O189"/>
      <c r="P189"/>
      <c r="Q189"/>
      <c r="R189"/>
      <c r="S189"/>
      <c r="T189"/>
      <c r="U189"/>
      <c r="V189"/>
      <c r="W189"/>
      <c r="X189"/>
      <c r="Y189"/>
      <c r="Z189"/>
      <c r="AA189"/>
      <c r="AB189"/>
      <c r="AC189"/>
      <c r="AD189"/>
      <c r="AE189"/>
      <c r="AF189"/>
      <c r="AG189"/>
      <c r="AH189"/>
    </row>
    <row r="190" spans="1:35" s="1" customFormat="1">
      <c r="A190" s="1" t="s">
        <v>411</v>
      </c>
      <c r="B190" s="13"/>
      <c r="C190" s="328"/>
      <c r="D190"/>
      <c r="E190"/>
      <c r="F190"/>
      <c r="G190"/>
      <c r="H190"/>
      <c r="I190"/>
      <c r="J190"/>
      <c r="K190"/>
      <c r="L190"/>
      <c r="M190"/>
      <c r="N190"/>
      <c r="O190"/>
      <c r="P190"/>
      <c r="Q190"/>
      <c r="R190"/>
      <c r="S190"/>
      <c r="T190"/>
      <c r="U190"/>
      <c r="V190"/>
      <c r="W190"/>
      <c r="X190"/>
      <c r="Y190"/>
      <c r="Z190"/>
      <c r="AA190"/>
      <c r="AB190"/>
      <c r="AC190"/>
      <c r="AD190"/>
      <c r="AE190"/>
      <c r="AF190"/>
      <c r="AG190"/>
      <c r="AH190"/>
    </row>
    <row r="191" spans="1:35">
      <c r="A191" t="s">
        <v>405</v>
      </c>
      <c r="I191" s="112"/>
      <c r="J191" s="112"/>
      <c r="K191" s="112"/>
      <c r="L191" s="112"/>
      <c r="M191" s="132"/>
      <c r="N191" s="192"/>
      <c r="O191" s="132"/>
      <c r="P191" s="112"/>
      <c r="Q191" s="112"/>
      <c r="R191" s="132"/>
      <c r="S191" s="132"/>
      <c r="T191" s="132"/>
      <c r="U191" s="132"/>
      <c r="V191" s="112"/>
      <c r="W191" s="112"/>
    </row>
    <row r="192" spans="1:35">
      <c r="A192" t="s">
        <v>406</v>
      </c>
      <c r="I192" s="112"/>
      <c r="J192" s="112"/>
      <c r="K192" s="112"/>
      <c r="L192" s="112"/>
      <c r="M192" s="132"/>
      <c r="N192" s="192"/>
      <c r="O192" s="132"/>
      <c r="P192" s="112"/>
      <c r="Q192" s="112"/>
      <c r="R192" s="132"/>
      <c r="S192" s="132"/>
      <c r="T192" s="132"/>
      <c r="U192" s="132"/>
      <c r="V192" s="112"/>
      <c r="W192" s="112"/>
    </row>
    <row r="193" spans="1:34">
      <c r="A193" t="s">
        <v>407</v>
      </c>
      <c r="I193" s="112"/>
      <c r="J193" s="112"/>
      <c r="K193" s="112"/>
      <c r="L193" s="112"/>
      <c r="M193" s="132"/>
      <c r="N193" s="192"/>
      <c r="O193" s="132"/>
      <c r="P193" s="112"/>
      <c r="Q193" s="112"/>
      <c r="R193" s="132"/>
      <c r="S193" s="132"/>
      <c r="T193" s="132"/>
      <c r="U193" s="132"/>
      <c r="V193" s="112"/>
      <c r="W193" s="112"/>
    </row>
    <row r="194" spans="1:34">
      <c r="A194" t="s">
        <v>387</v>
      </c>
      <c r="C194" s="331">
        <f>SUM(C195:C196)</f>
        <v>362.46812999999997</v>
      </c>
      <c r="D194" s="331">
        <f t="shared" ref="D194:AH194" si="112">SUM(D195:D196)</f>
        <v>421.57593568205903</v>
      </c>
      <c r="E194" s="331">
        <f t="shared" si="112"/>
        <v>466.65213430077495</v>
      </c>
      <c r="F194" s="331">
        <f t="shared" si="112"/>
        <v>476.81720297381941</v>
      </c>
      <c r="G194" s="331">
        <f t="shared" si="112"/>
        <v>571.61311660199181</v>
      </c>
      <c r="H194" s="402">
        <f t="shared" si="112"/>
        <v>642.28681300510232</v>
      </c>
      <c r="I194" s="14">
        <f t="shared" si="112"/>
        <v>753.81176952480268</v>
      </c>
      <c r="J194" s="14">
        <f t="shared" si="112"/>
        <v>885.72749567641245</v>
      </c>
      <c r="K194" s="14">
        <f t="shared" si="112"/>
        <v>988.75725900405223</v>
      </c>
      <c r="L194" s="14">
        <f t="shared" si="112"/>
        <v>1006.2421281950241</v>
      </c>
      <c r="M194" s="14">
        <f t="shared" si="112"/>
        <v>1012.4702321782104</v>
      </c>
      <c r="N194" s="188">
        <f t="shared" si="112"/>
        <v>1007.6371613224505</v>
      </c>
      <c r="O194" s="14">
        <f t="shared" si="112"/>
        <v>1009.339686898089</v>
      </c>
      <c r="P194" s="14">
        <f t="shared" si="112"/>
        <v>999.57468366411058</v>
      </c>
      <c r="Q194" s="14">
        <f t="shared" si="112"/>
        <v>993.03556862254686</v>
      </c>
      <c r="R194" s="14">
        <f t="shared" si="112"/>
        <v>990.91306878504406</v>
      </c>
      <c r="S194" s="15">
        <f t="shared" si="112"/>
        <v>991.26775339521146</v>
      </c>
      <c r="T194" s="14">
        <f t="shared" si="112"/>
        <v>981.77282480049053</v>
      </c>
      <c r="U194" s="14">
        <f t="shared" si="112"/>
        <v>990.32629129526254</v>
      </c>
      <c r="V194" s="14">
        <f t="shared" si="112"/>
        <v>1002.9932075323824</v>
      </c>
      <c r="W194" s="14">
        <f t="shared" si="112"/>
        <v>991.64065921736312</v>
      </c>
      <c r="X194" s="188">
        <f t="shared" si="112"/>
        <v>997.5177942283201</v>
      </c>
      <c r="Y194" s="159">
        <f t="shared" si="112"/>
        <v>1004.023794822064</v>
      </c>
      <c r="Z194" s="159">
        <f t="shared" si="112"/>
        <v>1006.3891840346437</v>
      </c>
      <c r="AA194" s="159">
        <f t="shared" si="112"/>
        <v>1016.640590679061</v>
      </c>
      <c r="AB194" s="159">
        <f t="shared" si="112"/>
        <v>1020.8672577176766</v>
      </c>
      <c r="AC194" s="159">
        <f t="shared" si="112"/>
        <v>1016.6255040984469</v>
      </c>
      <c r="AD194" s="159">
        <f t="shared" si="112"/>
        <v>1025.3880073983255</v>
      </c>
      <c r="AE194" s="159">
        <f t="shared" si="112"/>
        <v>1026.7784645303955</v>
      </c>
      <c r="AF194" s="159">
        <f t="shared" si="112"/>
        <v>1025.3591219120324</v>
      </c>
      <c r="AG194" s="159">
        <f t="shared" si="112"/>
        <v>1021.3594708864578</v>
      </c>
      <c r="AH194" s="188">
        <f t="shared" si="112"/>
        <v>1012.2905421007185</v>
      </c>
    </row>
    <row r="195" spans="1:34">
      <c r="A195" t="s">
        <v>388</v>
      </c>
      <c r="C195" s="330">
        <f>'Output - Jobs vs Yr (BAU)'!C51</f>
        <v>190.77270000000001</v>
      </c>
      <c r="D195" s="330">
        <f>'Output - Jobs vs Yr (BAU)'!D51</f>
        <v>221.88207141161001</v>
      </c>
      <c r="E195" s="330">
        <f>'Output - Jobs vs Yr (BAU)'!E51</f>
        <v>245.60638647409209</v>
      </c>
      <c r="F195" s="330">
        <f>'Output - Jobs vs Yr (BAU)'!F51</f>
        <v>250.95642261779966</v>
      </c>
      <c r="G195" s="330">
        <f>'Output - Jobs vs Yr (BAU)'!G51</f>
        <v>300.84900873789041</v>
      </c>
      <c r="H195" s="286">
        <f>'Output - Jobs vs Yr (BAU)'!H51</f>
        <v>338.04569105531704</v>
      </c>
      <c r="I195" s="118">
        <f>'Output - Jobs vs Yr (BAU)'!I51</f>
        <v>396.74303659200143</v>
      </c>
      <c r="J195" s="118">
        <f>'Output - Jobs vs Yr (BAU)'!J51</f>
        <v>466.17236614548028</v>
      </c>
      <c r="K195" s="118">
        <f>'Output - Jobs vs Yr (BAU)'!K51</f>
        <v>520.39855737055382</v>
      </c>
      <c r="L195" s="118">
        <f>'Output - Jobs vs Yr (BAU)'!L51</f>
        <v>529.60112010264424</v>
      </c>
      <c r="M195" s="118">
        <f>'Output - Jobs vs Yr (BAU)'!M51</f>
        <v>532.87906956747918</v>
      </c>
      <c r="N195" s="178">
        <f>'Output - Jobs vs Yr (BAU)'!N51</f>
        <v>530.33534806444766</v>
      </c>
      <c r="O195" s="118">
        <f>'Output - Jobs vs Yr (BAU)'!O51</f>
        <v>531.23141415688895</v>
      </c>
      <c r="P195" s="118">
        <f>'Output - Jobs vs Yr (BAU)'!P51</f>
        <v>526.09193877058453</v>
      </c>
      <c r="Q195" s="118">
        <f>'Output - Jobs vs Yr (BAU)'!Q51</f>
        <v>522.65029927502474</v>
      </c>
      <c r="R195" s="118">
        <f>'Output - Jobs vs Yr (BAU)'!R51</f>
        <v>521.53319409739163</v>
      </c>
      <c r="S195" s="118">
        <f>'Output - Jobs vs Yr (BAU)'!S51</f>
        <v>521.719870208006</v>
      </c>
      <c r="T195" s="118">
        <f>'Output - Jobs vs Yr (BAU)'!T51</f>
        <v>516.72253936867924</v>
      </c>
      <c r="U195" s="118">
        <f>'Output - Jobs vs Yr (BAU)'!U51</f>
        <v>521.2243638396119</v>
      </c>
      <c r="V195" s="118">
        <f>'Output - Jobs vs Yr (BAU)'!V51</f>
        <v>527.89116185914861</v>
      </c>
      <c r="W195" s="118">
        <f>'Output - Jobs vs Yr (BAU)'!W51</f>
        <v>521.91613643019116</v>
      </c>
      <c r="X195" s="185">
        <f>'Output - Jobs vs Yr (BAU)'!X51</f>
        <v>525.00936538332644</v>
      </c>
      <c r="Y195" s="271">
        <f>'Output - Jobs vs Yr (BAU)'!Y51</f>
        <v>528.43357622213898</v>
      </c>
      <c r="Z195" s="271">
        <f>'Output - Jobs vs Yr (BAU)'!Z51</f>
        <v>529.67851791297039</v>
      </c>
      <c r="AA195" s="271">
        <f>'Output - Jobs vs Yr (BAU)'!AA51</f>
        <v>535.07399509424272</v>
      </c>
      <c r="AB195" s="271">
        <f>'Output - Jobs vs Yr (BAU)'!AB51</f>
        <v>537.298556693514</v>
      </c>
      <c r="AC195" s="271">
        <f>'Output - Jobs vs Yr (BAU)'!AC51</f>
        <v>535.06605478865629</v>
      </c>
      <c r="AD195" s="271">
        <f>'Output - Jobs vs Yr (BAU)'!AD51</f>
        <v>539.67789863069765</v>
      </c>
      <c r="AE195" s="271">
        <f>'Output - Jobs vs Yr (BAU)'!AE51</f>
        <v>540.40971817389243</v>
      </c>
      <c r="AF195" s="271">
        <f>'Output - Jobs vs Yr (BAU)'!AF51</f>
        <v>539.66269574317494</v>
      </c>
      <c r="AG195" s="271">
        <f>'Output - Jobs vs Yr (BAU)'!AG51</f>
        <v>537.55761625603043</v>
      </c>
      <c r="AH195" s="185">
        <f>'Output - Jobs vs Yr (BAU)'!AH51</f>
        <v>532.78449584248347</v>
      </c>
    </row>
    <row r="196" spans="1:34">
      <c r="A196" t="s">
        <v>389</v>
      </c>
      <c r="C196" s="330">
        <f>'Output - Jobs vs Yr (BAU)'!C69</f>
        <v>171.69542999999999</v>
      </c>
      <c r="D196" s="330">
        <f>'Output - Jobs vs Yr (BAU)'!D69</f>
        <v>199.69386427044901</v>
      </c>
      <c r="E196" s="330">
        <f>'Output - Jobs vs Yr (BAU)'!E69</f>
        <v>221.04574782668288</v>
      </c>
      <c r="F196" s="330">
        <f>'Output - Jobs vs Yr (BAU)'!F69</f>
        <v>225.86078035601975</v>
      </c>
      <c r="G196" s="330">
        <f>'Output - Jobs vs Yr (BAU)'!G69</f>
        <v>270.76410786410133</v>
      </c>
      <c r="H196" s="286">
        <f>'Output - Jobs vs Yr (BAU)'!H69</f>
        <v>304.24112194978528</v>
      </c>
      <c r="I196" s="118">
        <f>'Output - Jobs vs Yr (BAU)'!I69</f>
        <v>357.06873293280131</v>
      </c>
      <c r="J196" s="118">
        <f>'Output - Jobs vs Yr (BAU)'!J69</f>
        <v>419.55512953093222</v>
      </c>
      <c r="K196" s="118">
        <f>'Output - Jobs vs Yr (BAU)'!K69</f>
        <v>468.35870163349841</v>
      </c>
      <c r="L196" s="118">
        <f>'Output - Jobs vs Yr (BAU)'!L69</f>
        <v>476.64100809237982</v>
      </c>
      <c r="M196" s="118">
        <f>'Output - Jobs vs Yr (BAU)'!M69</f>
        <v>479.5911626107312</v>
      </c>
      <c r="N196" s="178">
        <f>'Output - Jobs vs Yr (BAU)'!N69</f>
        <v>477.30181325800288</v>
      </c>
      <c r="O196" s="118">
        <f>'Output - Jobs vs Yr (BAU)'!O69</f>
        <v>478.10827274119998</v>
      </c>
      <c r="P196" s="118">
        <f>'Output - Jobs vs Yr (BAU)'!P69</f>
        <v>473.48274489352605</v>
      </c>
      <c r="Q196" s="118">
        <f>'Output - Jobs vs Yr (BAU)'!Q69</f>
        <v>470.38526934752218</v>
      </c>
      <c r="R196" s="118">
        <f>'Output - Jobs vs Yr (BAU)'!R69</f>
        <v>469.37987468765243</v>
      </c>
      <c r="S196" s="118">
        <f>'Output - Jobs vs Yr (BAU)'!S69</f>
        <v>469.54788318720546</v>
      </c>
      <c r="T196" s="118">
        <f>'Output - Jobs vs Yr (BAU)'!T69</f>
        <v>465.05028543181129</v>
      </c>
      <c r="U196" s="118">
        <f>'Output - Jobs vs Yr (BAU)'!U69</f>
        <v>469.10192745565064</v>
      </c>
      <c r="V196" s="118">
        <f>'Output - Jobs vs Yr (BAU)'!V69</f>
        <v>475.10204567323376</v>
      </c>
      <c r="W196" s="118">
        <f>'Output - Jobs vs Yr (BAU)'!W69</f>
        <v>469.72452278717196</v>
      </c>
      <c r="X196" s="185">
        <f>'Output - Jobs vs Yr (BAU)'!X69</f>
        <v>472.50842884499372</v>
      </c>
      <c r="Y196" s="271">
        <f>'Output - Jobs vs Yr (BAU)'!Y69</f>
        <v>475.59021859992509</v>
      </c>
      <c r="Z196" s="271">
        <f>'Output - Jobs vs Yr (BAU)'!Z69</f>
        <v>476.71066612167334</v>
      </c>
      <c r="AA196" s="271">
        <f>'Output - Jobs vs Yr (BAU)'!AA69</f>
        <v>481.56659558481834</v>
      </c>
      <c r="AB196" s="271">
        <f>'Output - Jobs vs Yr (BAU)'!AB69</f>
        <v>483.56870102416258</v>
      </c>
      <c r="AC196" s="271">
        <f>'Output - Jobs vs Yr (BAU)'!AC69</f>
        <v>481.55944930979058</v>
      </c>
      <c r="AD196" s="271">
        <f>'Output - Jobs vs Yr (BAU)'!AD69</f>
        <v>485.71010876762784</v>
      </c>
      <c r="AE196" s="271">
        <f>'Output - Jobs vs Yr (BAU)'!AE69</f>
        <v>486.36874635650304</v>
      </c>
      <c r="AF196" s="271">
        <f>'Output - Jobs vs Yr (BAU)'!AF69</f>
        <v>485.69642616885744</v>
      </c>
      <c r="AG196" s="271">
        <f>'Output - Jobs vs Yr (BAU)'!AG69</f>
        <v>483.80185463042733</v>
      </c>
      <c r="AH196" s="185">
        <f>'Output - Jobs vs Yr (BAU)'!AH69</f>
        <v>479.50604625823507</v>
      </c>
    </row>
    <row r="197" spans="1:34">
      <c r="A197" t="s">
        <v>390</v>
      </c>
      <c r="C197" s="331">
        <f>SUM(C198:C199)</f>
        <v>1777.6181500000002</v>
      </c>
      <c r="D197" s="331">
        <f t="shared" ref="D197:AH197" si="113">SUM(D198:D199)</f>
        <v>1858.0451500000004</v>
      </c>
      <c r="E197" s="331">
        <f t="shared" si="113"/>
        <v>1722.8241094120381</v>
      </c>
      <c r="F197" s="331">
        <f t="shared" si="113"/>
        <v>1745.8170624464465</v>
      </c>
      <c r="G197" s="331">
        <f t="shared" si="113"/>
        <v>1690.6127990540922</v>
      </c>
      <c r="H197" s="402">
        <f t="shared" si="113"/>
        <v>1701.3195058234692</v>
      </c>
      <c r="I197" s="14">
        <f t="shared" si="113"/>
        <v>1547.9435178745894</v>
      </c>
      <c r="J197" s="14">
        <f t="shared" si="113"/>
        <v>1567.3348551687184</v>
      </c>
      <c r="K197" s="14">
        <f t="shared" si="113"/>
        <v>1573.3515964557087</v>
      </c>
      <c r="L197" s="14">
        <f t="shared" si="113"/>
        <v>1576.4603924117569</v>
      </c>
      <c r="M197" s="14">
        <f t="shared" si="113"/>
        <v>1579.5704964461745</v>
      </c>
      <c r="N197" s="188">
        <f t="shared" si="113"/>
        <v>1580.4599595565583</v>
      </c>
      <c r="O197" s="14">
        <f t="shared" si="113"/>
        <v>1580.4600409186642</v>
      </c>
      <c r="P197" s="14">
        <f t="shared" si="113"/>
        <v>1580.4601159960946</v>
      </c>
      <c r="Q197" s="14">
        <f t="shared" si="113"/>
        <v>1594.6390831023987</v>
      </c>
      <c r="R197" s="14">
        <f t="shared" si="113"/>
        <v>1594.6390455636833</v>
      </c>
      <c r="S197" s="15">
        <f t="shared" si="113"/>
        <v>1594.6393834121211</v>
      </c>
      <c r="T197" s="14">
        <f t="shared" si="113"/>
        <v>1594.6400215702813</v>
      </c>
      <c r="U197" s="14">
        <f t="shared" si="113"/>
        <v>1596.7381792696228</v>
      </c>
      <c r="V197" s="14">
        <f t="shared" si="113"/>
        <v>1598.8324954506522</v>
      </c>
      <c r="W197" s="14">
        <f t="shared" si="113"/>
        <v>1598.83283329909</v>
      </c>
      <c r="X197" s="188">
        <f t="shared" si="113"/>
        <v>1598.8327957603747</v>
      </c>
      <c r="Y197" s="159">
        <f t="shared" si="113"/>
        <v>1598.83283329909</v>
      </c>
      <c r="Z197" s="159">
        <f t="shared" si="113"/>
        <v>1598.8329083765207</v>
      </c>
      <c r="AA197" s="159">
        <f t="shared" si="113"/>
        <v>1598.8324579119367</v>
      </c>
      <c r="AB197" s="159">
        <f t="shared" si="113"/>
        <v>1598.8324579119367</v>
      </c>
      <c r="AC197" s="159">
        <f t="shared" si="113"/>
        <v>1598.8324579119367</v>
      </c>
      <c r="AD197" s="159">
        <f t="shared" si="113"/>
        <v>1600.3510491009747</v>
      </c>
      <c r="AE197" s="159">
        <f t="shared" si="113"/>
        <v>1600.3511304630806</v>
      </c>
      <c r="AF197" s="159">
        <f t="shared" si="113"/>
        <v>1600.3511304630806</v>
      </c>
      <c r="AG197" s="159">
        <f t="shared" si="113"/>
        <v>1600.3510491009747</v>
      </c>
      <c r="AH197" s="188">
        <f t="shared" si="113"/>
        <v>1600.351424488128</v>
      </c>
    </row>
    <row r="198" spans="1:34">
      <c r="A198" t="s">
        <v>392</v>
      </c>
      <c r="C198" s="330">
        <f>SUM('Output - Jobs vs Yr (BAU)'!C40:C43)</f>
        <v>935.58850000000007</v>
      </c>
      <c r="D198" s="330">
        <f>SUM('Output - Jobs vs Yr (BAU)'!D40:D43)</f>
        <v>977.91850000000011</v>
      </c>
      <c r="E198" s="330">
        <f>SUM('Output - Jobs vs Yr (BAU)'!E40:E43)</f>
        <v>906.74953126949379</v>
      </c>
      <c r="F198" s="330">
        <f>SUM('Output - Jobs vs Yr (BAU)'!F40:F43)</f>
        <v>918.85108549812969</v>
      </c>
      <c r="G198" s="330">
        <f>SUM('Output - Jobs vs Yr (BAU)'!G40:G43)</f>
        <v>889.79621002846955</v>
      </c>
      <c r="H198" s="286">
        <f>SUM('Output - Jobs vs Yr (BAU)'!H40:H43)</f>
        <v>895.43131885445746</v>
      </c>
      <c r="I198" s="118">
        <f>SUM('Output - Jobs vs Yr (BAU)'!I40:I43)</f>
        <v>814.70711467083652</v>
      </c>
      <c r="J198" s="118">
        <f>SUM('Output - Jobs vs Yr (BAU)'!J40:J43)</f>
        <v>824.9130816677465</v>
      </c>
      <c r="K198" s="118">
        <f>SUM('Output - Jobs vs Yr (BAU)'!K40:K43)</f>
        <v>828.07978760826768</v>
      </c>
      <c r="L198" s="118">
        <f>SUM('Output - Jobs vs Yr (BAU)'!L40:L43)</f>
        <v>829.71599600618788</v>
      </c>
      <c r="M198" s="118">
        <f>SUM('Output - Jobs vs Yr (BAU)'!M40:M43)</f>
        <v>831.35289286640761</v>
      </c>
      <c r="N198" s="178">
        <f>SUM('Output - Jobs vs Yr (BAU)'!N40:N43)</f>
        <v>831.82103134555689</v>
      </c>
      <c r="O198" s="118">
        <f>SUM('Output - Jobs vs Yr (BAU)'!O40:O43)</f>
        <v>831.82107416771794</v>
      </c>
      <c r="P198" s="118">
        <f>SUM('Output - Jobs vs Yr (BAU)'!P40:P43)</f>
        <v>831.8211136821551</v>
      </c>
      <c r="Q198" s="118">
        <f>SUM('Output - Jobs vs Yr (BAU)'!Q40:Q43)</f>
        <v>839.28372794863083</v>
      </c>
      <c r="R198" s="118">
        <f>SUM('Output - Jobs vs Yr (BAU)'!R40:R43)</f>
        <v>839.28370819141219</v>
      </c>
      <c r="S198" s="118">
        <f>SUM('Output - Jobs vs Yr (BAU)'!S40:S43)</f>
        <v>839.28388600637948</v>
      </c>
      <c r="T198" s="118">
        <f>SUM('Output - Jobs vs Yr (BAU)'!T40:T43)</f>
        <v>839.28422187909541</v>
      </c>
      <c r="U198" s="118">
        <f>SUM('Output - Jobs vs Yr (BAU)'!U40:U43)</f>
        <v>840.3885154050646</v>
      </c>
      <c r="V198" s="118">
        <f>SUM('Output - Jobs vs Yr (BAU)'!V40:V43)</f>
        <v>841.49078707929061</v>
      </c>
      <c r="W198" s="118">
        <f>SUM('Output - Jobs vs Yr (BAU)'!W40:W43)</f>
        <v>841.49096489425779</v>
      </c>
      <c r="X198" s="185">
        <f>SUM('Output - Jobs vs Yr (BAU)'!X40:X43)</f>
        <v>841.49094513703926</v>
      </c>
      <c r="Y198" s="271">
        <f>SUM('Output - Jobs vs Yr (BAU)'!Y40:Y43)</f>
        <v>841.49096489425779</v>
      </c>
      <c r="Z198" s="271">
        <f>SUM('Output - Jobs vs Yr (BAU)'!Z40:Z43)</f>
        <v>841.49100440869506</v>
      </c>
      <c r="AA198" s="271">
        <f>SUM('Output - Jobs vs Yr (BAU)'!AA40:AA43)</f>
        <v>841.49076732207197</v>
      </c>
      <c r="AB198" s="271">
        <f>SUM('Output - Jobs vs Yr (BAU)'!AB40:AB43)</f>
        <v>841.49076732207197</v>
      </c>
      <c r="AC198" s="271">
        <f>SUM('Output - Jobs vs Yr (BAU)'!AC40:AC43)</f>
        <v>841.49076732207197</v>
      </c>
      <c r="AD198" s="271">
        <f>SUM('Output - Jobs vs Yr (BAU)'!AD40:AD43)</f>
        <v>842.29002584261821</v>
      </c>
      <c r="AE198" s="271">
        <f>SUM('Output - Jobs vs Yr (BAU)'!AE40:AE43)</f>
        <v>842.29006866477926</v>
      </c>
      <c r="AF198" s="271">
        <f>SUM('Output - Jobs vs Yr (BAU)'!AF40:AF43)</f>
        <v>842.29006866477926</v>
      </c>
      <c r="AG198" s="271">
        <f>SUM('Output - Jobs vs Yr (BAU)'!AG40:AG43)</f>
        <v>842.29002584261821</v>
      </c>
      <c r="AH198" s="185">
        <f>SUM('Output - Jobs vs Yr (BAU)'!AH40:AH43)</f>
        <v>842.29022341480413</v>
      </c>
    </row>
    <row r="199" spans="1:34">
      <c r="A199" t="s">
        <v>391</v>
      </c>
      <c r="C199" s="330">
        <f>SUM('Output - Jobs vs Yr (BAU)'!C58:C61)</f>
        <v>842.02965000000006</v>
      </c>
      <c r="D199" s="330">
        <f>SUM('Output - Jobs vs Yr (BAU)'!D58:D61)</f>
        <v>880.12665000000015</v>
      </c>
      <c r="E199" s="330">
        <f>SUM('Output - Jobs vs Yr (BAU)'!E58:E61)</f>
        <v>816.0745781425444</v>
      </c>
      <c r="F199" s="330">
        <f>SUM('Output - Jobs vs Yr (BAU)'!F58:F61)</f>
        <v>826.96597694831678</v>
      </c>
      <c r="G199" s="330">
        <f>SUM('Output - Jobs vs Yr (BAU)'!G58:G61)</f>
        <v>800.81658902562265</v>
      </c>
      <c r="H199" s="286">
        <f>SUM('Output - Jobs vs Yr (BAU)'!H58:H61)</f>
        <v>805.88818696901171</v>
      </c>
      <c r="I199" s="118">
        <f>SUM('Output - Jobs vs Yr (BAU)'!I58:I61)</f>
        <v>733.23640320375284</v>
      </c>
      <c r="J199" s="118">
        <f>SUM('Output - Jobs vs Yr (BAU)'!J58:J61)</f>
        <v>742.42177350097188</v>
      </c>
      <c r="K199" s="118">
        <f>SUM('Output - Jobs vs Yr (BAU)'!K58:K61)</f>
        <v>745.27180884744098</v>
      </c>
      <c r="L199" s="118">
        <f>SUM('Output - Jobs vs Yr (BAU)'!L58:L61)</f>
        <v>746.74439640556909</v>
      </c>
      <c r="M199" s="118">
        <f>SUM('Output - Jobs vs Yr (BAU)'!M58:M61)</f>
        <v>748.21760357976689</v>
      </c>
      <c r="N199" s="178">
        <f>SUM('Output - Jobs vs Yr (BAU)'!N58:N61)</f>
        <v>748.63892821100126</v>
      </c>
      <c r="O199" s="118">
        <f>SUM('Output - Jobs vs Yr (BAU)'!O58:O61)</f>
        <v>748.63896675094611</v>
      </c>
      <c r="P199" s="118">
        <f>SUM('Output - Jobs vs Yr (BAU)'!P58:P61)</f>
        <v>748.6390023139395</v>
      </c>
      <c r="Q199" s="118">
        <f>SUM('Output - Jobs vs Yr (BAU)'!Q58:Q61)</f>
        <v>755.35535515376785</v>
      </c>
      <c r="R199" s="118">
        <f>SUM('Output - Jobs vs Yr (BAU)'!R58:R61)</f>
        <v>755.35533737227115</v>
      </c>
      <c r="S199" s="118">
        <f>SUM('Output - Jobs vs Yr (BAU)'!S58:S61)</f>
        <v>755.35549740574163</v>
      </c>
      <c r="T199" s="118">
        <f>SUM('Output - Jobs vs Yr (BAU)'!T58:T61)</f>
        <v>755.35579969118589</v>
      </c>
      <c r="U199" s="118">
        <f>SUM('Output - Jobs vs Yr (BAU)'!U58:U61)</f>
        <v>756.34966386455812</v>
      </c>
      <c r="V199" s="118">
        <f>SUM('Output - Jobs vs Yr (BAU)'!V58:V61)</f>
        <v>757.34170837136162</v>
      </c>
      <c r="W199" s="118">
        <f>SUM('Output - Jobs vs Yr (BAU)'!W58:W61)</f>
        <v>757.3418684048321</v>
      </c>
      <c r="X199" s="185">
        <f>SUM('Output - Jobs vs Yr (BAU)'!X58:X61)</f>
        <v>757.3418506233354</v>
      </c>
      <c r="Y199" s="271">
        <f>SUM('Output - Jobs vs Yr (BAU)'!Y58:Y61)</f>
        <v>757.3418684048321</v>
      </c>
      <c r="Z199" s="271">
        <f>SUM('Output - Jobs vs Yr (BAU)'!Z58:Z61)</f>
        <v>757.3419039678256</v>
      </c>
      <c r="AA199" s="271">
        <f>SUM('Output - Jobs vs Yr (BAU)'!AA58:AA61)</f>
        <v>757.34169058986481</v>
      </c>
      <c r="AB199" s="271">
        <f>SUM('Output - Jobs vs Yr (BAU)'!AB58:AB61)</f>
        <v>757.34169058986481</v>
      </c>
      <c r="AC199" s="271">
        <f>SUM('Output - Jobs vs Yr (BAU)'!AC58:AC61)</f>
        <v>757.34169058986481</v>
      </c>
      <c r="AD199" s="271">
        <f>SUM('Output - Jobs vs Yr (BAU)'!AD58:AD61)</f>
        <v>758.0610232583565</v>
      </c>
      <c r="AE199" s="271">
        <f>SUM('Output - Jobs vs Yr (BAU)'!AE58:AE61)</f>
        <v>758.06106179830135</v>
      </c>
      <c r="AF199" s="271">
        <f>SUM('Output - Jobs vs Yr (BAU)'!AF58:AF61)</f>
        <v>758.06106179830135</v>
      </c>
      <c r="AG199" s="271">
        <f>SUM('Output - Jobs vs Yr (BAU)'!AG58:AG61)</f>
        <v>758.0610232583565</v>
      </c>
      <c r="AH199" s="185">
        <f>SUM('Output - Jobs vs Yr (BAU)'!AH58:AH61)</f>
        <v>758.06120107332379</v>
      </c>
    </row>
    <row r="200" spans="1:34">
      <c r="A200" t="s">
        <v>393</v>
      </c>
      <c r="C200" s="331">
        <f>SUM(C201:C202)</f>
        <v>6273.3439999999991</v>
      </c>
      <c r="D200" s="331">
        <f t="shared" ref="D200:AH200" si="114">SUM(D201:D202)</f>
        <v>7082.5919999999996</v>
      </c>
      <c r="E200" s="331">
        <f t="shared" si="114"/>
        <v>6281.7114824220716</v>
      </c>
      <c r="F200" s="331">
        <f t="shared" si="114"/>
        <v>5792.4552538404205</v>
      </c>
      <c r="G200" s="331">
        <f t="shared" si="114"/>
        <v>5686.749783414667</v>
      </c>
      <c r="H200" s="402">
        <f t="shared" si="114"/>
        <v>5888.1192516917636</v>
      </c>
      <c r="I200" s="14">
        <f t="shared" si="114"/>
        <v>6013.8002969677973</v>
      </c>
      <c r="J200" s="14">
        <f t="shared" si="114"/>
        <v>5751.3293529351322</v>
      </c>
      <c r="K200" s="14">
        <f t="shared" si="114"/>
        <v>6084.1625966671727</v>
      </c>
      <c r="L200" s="14">
        <f t="shared" si="114"/>
        <v>6329.5373637545908</v>
      </c>
      <c r="M200" s="14">
        <f t="shared" si="114"/>
        <v>6391.5460098501726</v>
      </c>
      <c r="N200" s="188">
        <f t="shared" si="114"/>
        <v>6287.354777044442</v>
      </c>
      <c r="O200" s="14">
        <f t="shared" si="114"/>
        <v>6226.588510526105</v>
      </c>
      <c r="P200" s="14">
        <f t="shared" si="114"/>
        <v>6073.242175985105</v>
      </c>
      <c r="Q200" s="14">
        <f t="shared" si="114"/>
        <v>5958.6627373561359</v>
      </c>
      <c r="R200" s="14">
        <f t="shared" si="114"/>
        <v>5914.2679852412575</v>
      </c>
      <c r="S200" s="15">
        <f t="shared" si="114"/>
        <v>5897.7732144791498</v>
      </c>
      <c r="T200" s="14">
        <f t="shared" si="114"/>
        <v>5735.9655224647195</v>
      </c>
      <c r="U200" s="14">
        <f t="shared" si="114"/>
        <v>5831.1756752322453</v>
      </c>
      <c r="V200" s="14">
        <f t="shared" si="114"/>
        <v>5920.9716384103594</v>
      </c>
      <c r="W200" s="14">
        <f t="shared" si="114"/>
        <v>5760.9104010971541</v>
      </c>
      <c r="X200" s="188">
        <f t="shared" si="114"/>
        <v>5844.8792107217278</v>
      </c>
      <c r="Y200" s="159">
        <f t="shared" si="114"/>
        <v>5909.7551184467247</v>
      </c>
      <c r="Z200" s="159">
        <f t="shared" si="114"/>
        <v>5945.6789058046998</v>
      </c>
      <c r="AA200" s="159">
        <f t="shared" si="114"/>
        <v>6075.8138609238085</v>
      </c>
      <c r="AB200" s="159">
        <f t="shared" si="114"/>
        <v>6129.8545805972417</v>
      </c>
      <c r="AC200" s="159">
        <f t="shared" si="114"/>
        <v>6051.1655842769869</v>
      </c>
      <c r="AD200" s="159">
        <f t="shared" si="114"/>
        <v>6118.8031089109572</v>
      </c>
      <c r="AE200" s="159">
        <f t="shared" si="114"/>
        <v>6067.5461493299999</v>
      </c>
      <c r="AF200" s="159">
        <f t="shared" si="114"/>
        <v>6040.9783960944123</v>
      </c>
      <c r="AG200" s="159">
        <f t="shared" si="114"/>
        <v>5974.2527168056167</v>
      </c>
      <c r="AH200" s="188">
        <f t="shared" si="114"/>
        <v>5807.5926313499349</v>
      </c>
    </row>
    <row r="201" spans="1:34">
      <c r="A201" t="s">
        <v>394</v>
      </c>
      <c r="C201" s="330">
        <f>SUM('Output - Jobs vs Yr (BAU)'!C53:C54)</f>
        <v>3301.7599999999998</v>
      </c>
      <c r="D201" s="330">
        <f>SUM('Output - Jobs vs Yr (BAU)'!D53:D54)</f>
        <v>3727.68</v>
      </c>
      <c r="E201" s="330">
        <f>SUM('Output - Jobs vs Yr (BAU)'!E53:E54)</f>
        <v>3306.1639381168798</v>
      </c>
      <c r="F201" s="330">
        <f>SUM('Output - Jobs vs Yr (BAU)'!F53:F54)</f>
        <v>3048.6606599160104</v>
      </c>
      <c r="G201" s="330">
        <f>SUM('Output - Jobs vs Yr (BAU)'!G53:G54)</f>
        <v>2993.0262017971932</v>
      </c>
      <c r="H201" s="286">
        <f>SUM('Output - Jobs vs Yr (BAU)'!H53:H54)</f>
        <v>3099.0101324693496</v>
      </c>
      <c r="I201" s="118">
        <f>SUM('Output - Jobs vs Yr (BAU)'!I53:I54)</f>
        <v>3165.1580510356825</v>
      </c>
      <c r="J201" s="118">
        <f>SUM('Output - Jobs vs Yr (BAU)'!J53:J54)</f>
        <v>3027.0154489132274</v>
      </c>
      <c r="K201" s="118">
        <f>SUM('Output - Jobs vs Yr (BAU)'!K53:K54)</f>
        <v>3202.1908403511438</v>
      </c>
      <c r="L201" s="118">
        <f>SUM('Output - Jobs vs Yr (BAU)'!L53:L54)</f>
        <v>3331.3354546076794</v>
      </c>
      <c r="M201" s="118">
        <f>SUM('Output - Jobs vs Yr (BAU)'!M53:M54)</f>
        <v>3363.9715841316697</v>
      </c>
      <c r="N201" s="178">
        <f>SUM('Output - Jobs vs Yr (BAU)'!N53:N54)</f>
        <v>3309.1340931812856</v>
      </c>
      <c r="O201" s="118">
        <f>SUM('Output - Jobs vs Yr (BAU)'!O53:O54)</f>
        <v>3277.1518476453184</v>
      </c>
      <c r="P201" s="118">
        <f>SUM('Output - Jobs vs Yr (BAU)'!P53:P54)</f>
        <v>3196.4432505184764</v>
      </c>
      <c r="Q201" s="118">
        <f>SUM('Output - Jobs vs Yr (BAU)'!Q53:Q54)</f>
        <v>3136.138282819019</v>
      </c>
      <c r="R201" s="118">
        <f>SUM('Output - Jobs vs Yr (BAU)'!R53:R54)</f>
        <v>3112.7726238111882</v>
      </c>
      <c r="S201" s="118">
        <f>SUM('Output - Jobs vs Yr (BAU)'!S53:S54)</f>
        <v>3104.0911655153423</v>
      </c>
      <c r="T201" s="118">
        <f>SUM('Output - Jobs vs Yr (BAU)'!T53:T54)</f>
        <v>3018.9292223498524</v>
      </c>
      <c r="U201" s="118">
        <f>SUM('Output - Jobs vs Yr (BAU)'!U53:U54)</f>
        <v>3069.039829069603</v>
      </c>
      <c r="V201" s="118">
        <f>SUM('Output - Jobs vs Yr (BAU)'!V53:V54)</f>
        <v>3116.3008623212413</v>
      </c>
      <c r="W201" s="118">
        <f>SUM('Output - Jobs vs Yr (BAU)'!W53:W54)</f>
        <v>3032.0581058406074</v>
      </c>
      <c r="X201" s="185">
        <f>SUM('Output - Jobs vs Yr (BAU)'!X53:X54)</f>
        <v>3076.2522161693305</v>
      </c>
      <c r="Y201" s="271">
        <f>SUM('Output - Jobs vs Yr (BAU)'!Y53:Y54)</f>
        <v>3110.3974307614344</v>
      </c>
      <c r="Z201" s="271">
        <f>SUM('Output - Jobs vs Yr (BAU)'!Z53:Z54)</f>
        <v>3129.3046872656314</v>
      </c>
      <c r="AA201" s="271">
        <f>SUM('Output - Jobs vs Yr (BAU)'!AA53:AA54)</f>
        <v>3197.7967689072675</v>
      </c>
      <c r="AB201" s="271">
        <f>SUM('Output - Jobs vs Yr (BAU)'!AB53:AB54)</f>
        <v>3226.2392529459166</v>
      </c>
      <c r="AC201" s="271">
        <f>SUM('Output - Jobs vs Yr (BAU)'!AC53:AC54)</f>
        <v>3184.8239917247297</v>
      </c>
      <c r="AD201" s="271">
        <f>SUM('Output - Jobs vs Yr (BAU)'!AD53:AD54)</f>
        <v>3220.4226889005035</v>
      </c>
      <c r="AE201" s="271">
        <f>SUM('Output - Jobs vs Yr (BAU)'!AE53:AE54)</f>
        <v>3193.4453417526315</v>
      </c>
      <c r="AF201" s="271">
        <f>SUM('Output - Jobs vs Yr (BAU)'!AF53:AF54)</f>
        <v>3179.4623137339013</v>
      </c>
      <c r="AG201" s="271">
        <f>SUM('Output - Jobs vs Yr (BAU)'!AG53:AG54)</f>
        <v>3144.3435351608509</v>
      </c>
      <c r="AH201" s="185">
        <f>SUM('Output - Jobs vs Yr (BAU)'!AH53:AH54)</f>
        <v>3056.6277007104918</v>
      </c>
    </row>
    <row r="202" spans="1:34">
      <c r="A202" t="s">
        <v>395</v>
      </c>
      <c r="C202" s="330">
        <f>SUM('Output - Jobs vs Yr (BAU)'!C71:C72)</f>
        <v>2971.5839999999998</v>
      </c>
      <c r="D202" s="330">
        <f>SUM('Output - Jobs vs Yr (BAU)'!D71:D72)</f>
        <v>3354.9119999999998</v>
      </c>
      <c r="E202" s="330">
        <f>SUM('Output - Jobs vs Yr (BAU)'!E71:E72)</f>
        <v>2975.5475443051914</v>
      </c>
      <c r="F202" s="330">
        <f>SUM('Output - Jobs vs Yr (BAU)'!F71:F72)</f>
        <v>2743.7945939244096</v>
      </c>
      <c r="G202" s="330">
        <f>SUM('Output - Jobs vs Yr (BAU)'!G71:G72)</f>
        <v>2693.7235816174734</v>
      </c>
      <c r="H202" s="286">
        <f>SUM('Output - Jobs vs Yr (BAU)'!H71:H72)</f>
        <v>2789.1091192224144</v>
      </c>
      <c r="I202" s="118">
        <f>SUM('Output - Jobs vs Yr (BAU)'!I71:I72)</f>
        <v>2848.6422459321147</v>
      </c>
      <c r="J202" s="118">
        <f>SUM('Output - Jobs vs Yr (BAU)'!J71:J72)</f>
        <v>2724.3139040219048</v>
      </c>
      <c r="K202" s="118">
        <f>SUM('Output - Jobs vs Yr (BAU)'!K71:K72)</f>
        <v>2881.9717563160293</v>
      </c>
      <c r="L202" s="118">
        <f>SUM('Output - Jobs vs Yr (BAU)'!L71:L72)</f>
        <v>2998.2019091469119</v>
      </c>
      <c r="M202" s="118">
        <f>SUM('Output - Jobs vs Yr (BAU)'!M71:M72)</f>
        <v>3027.5744257185029</v>
      </c>
      <c r="N202" s="178">
        <f>SUM('Output - Jobs vs Yr (BAU)'!N71:N72)</f>
        <v>2978.2206838631569</v>
      </c>
      <c r="O202" s="118">
        <f>SUM('Output - Jobs vs Yr (BAU)'!O71:O72)</f>
        <v>2949.4366628807866</v>
      </c>
      <c r="P202" s="118">
        <f>SUM('Output - Jobs vs Yr (BAU)'!P71:P72)</f>
        <v>2876.7989254666286</v>
      </c>
      <c r="Q202" s="118">
        <f>SUM('Output - Jobs vs Yr (BAU)'!Q71:Q72)</f>
        <v>2822.524454537117</v>
      </c>
      <c r="R202" s="118">
        <f>SUM('Output - Jobs vs Yr (BAU)'!R71:R72)</f>
        <v>2801.4953614300694</v>
      </c>
      <c r="S202" s="118">
        <f>SUM('Output - Jobs vs Yr (BAU)'!S71:S72)</f>
        <v>2793.682048963808</v>
      </c>
      <c r="T202" s="118">
        <f>SUM('Output - Jobs vs Yr (BAU)'!T71:T72)</f>
        <v>2717.0363001148671</v>
      </c>
      <c r="U202" s="118">
        <f>SUM('Output - Jobs vs Yr (BAU)'!U71:U72)</f>
        <v>2762.1358461626428</v>
      </c>
      <c r="V202" s="118">
        <f>SUM('Output - Jobs vs Yr (BAU)'!V71:V72)</f>
        <v>2804.6707760891177</v>
      </c>
      <c r="W202" s="118">
        <f>SUM('Output - Jobs vs Yr (BAU)'!W71:W72)</f>
        <v>2728.8522952565468</v>
      </c>
      <c r="X202" s="185">
        <f>SUM('Output - Jobs vs Yr (BAU)'!X71:X72)</f>
        <v>2768.6269945523973</v>
      </c>
      <c r="Y202" s="271">
        <f>SUM('Output - Jobs vs Yr (BAU)'!Y71:Y72)</f>
        <v>2799.3576876852908</v>
      </c>
      <c r="Z202" s="271">
        <f>SUM('Output - Jobs vs Yr (BAU)'!Z71:Z72)</f>
        <v>2816.3742185390679</v>
      </c>
      <c r="AA202" s="271">
        <f>SUM('Output - Jobs vs Yr (BAU)'!AA71:AA72)</f>
        <v>2878.0170920165406</v>
      </c>
      <c r="AB202" s="271">
        <f>SUM('Output - Jobs vs Yr (BAU)'!AB71:AB72)</f>
        <v>2903.6153276513251</v>
      </c>
      <c r="AC202" s="271">
        <f>SUM('Output - Jobs vs Yr (BAU)'!AC71:AC72)</f>
        <v>2866.3415925522568</v>
      </c>
      <c r="AD202" s="271">
        <f>SUM('Output - Jobs vs Yr (BAU)'!AD71:AD72)</f>
        <v>2898.3804200104532</v>
      </c>
      <c r="AE202" s="271">
        <f>SUM('Output - Jobs vs Yr (BAU)'!AE71:AE72)</f>
        <v>2874.1008075773684</v>
      </c>
      <c r="AF202" s="271">
        <f>SUM('Output - Jobs vs Yr (BAU)'!AF71:AF72)</f>
        <v>2861.5160823605111</v>
      </c>
      <c r="AG202" s="271">
        <f>SUM('Output - Jobs vs Yr (BAU)'!AG71:AG72)</f>
        <v>2829.9091816447662</v>
      </c>
      <c r="AH202" s="185">
        <f>SUM('Output - Jobs vs Yr (BAU)'!AH71:AH72)</f>
        <v>2750.9649306394426</v>
      </c>
    </row>
    <row r="203" spans="1:34">
      <c r="A203" s="1" t="s">
        <v>424</v>
      </c>
      <c r="C203" s="331">
        <f>SUM(C191,C194,C197,C200)</f>
        <v>8413.4302800000005</v>
      </c>
      <c r="D203" s="331">
        <f t="shared" ref="D203:AH203" si="115">SUM(D191,D194,D197,D200)</f>
        <v>9362.2130856820586</v>
      </c>
      <c r="E203" s="331">
        <f t="shared" si="115"/>
        <v>8471.1877261348855</v>
      </c>
      <c r="F203" s="331">
        <f t="shared" si="115"/>
        <v>8015.0895192606858</v>
      </c>
      <c r="G203" s="331">
        <f t="shared" si="115"/>
        <v>7948.975699070751</v>
      </c>
      <c r="H203" s="402">
        <f t="shared" si="115"/>
        <v>8231.7255705203352</v>
      </c>
      <c r="I203" s="14">
        <f t="shared" si="115"/>
        <v>8315.55558436719</v>
      </c>
      <c r="J203" s="14">
        <f t="shared" si="115"/>
        <v>8204.3917037802639</v>
      </c>
      <c r="K203" s="14">
        <f t="shared" si="115"/>
        <v>8646.2714521269336</v>
      </c>
      <c r="L203" s="14">
        <f t="shared" si="115"/>
        <v>8912.2398843613719</v>
      </c>
      <c r="M203" s="133">
        <f t="shared" si="115"/>
        <v>8983.5867384745579</v>
      </c>
      <c r="N203" s="193">
        <f t="shared" si="115"/>
        <v>8875.4518979234508</v>
      </c>
      <c r="O203" s="14">
        <f t="shared" si="115"/>
        <v>8816.3882383428572</v>
      </c>
      <c r="P203" s="14">
        <f t="shared" si="115"/>
        <v>8653.276975645309</v>
      </c>
      <c r="Q203" s="14">
        <f t="shared" si="115"/>
        <v>8546.3373890810817</v>
      </c>
      <c r="R203" s="14">
        <f t="shared" si="115"/>
        <v>8499.8200995899861</v>
      </c>
      <c r="S203" s="14">
        <f t="shared" si="115"/>
        <v>8483.6803512864826</v>
      </c>
      <c r="T203" s="14">
        <f t="shared" si="115"/>
        <v>8312.3783688354924</v>
      </c>
      <c r="U203" s="14">
        <f t="shared" si="115"/>
        <v>8418.2401457971318</v>
      </c>
      <c r="V203" s="14">
        <f t="shared" si="115"/>
        <v>8522.7973413933942</v>
      </c>
      <c r="W203" s="14">
        <f t="shared" si="115"/>
        <v>8351.3838936136071</v>
      </c>
      <c r="X203" s="188">
        <f t="shared" si="115"/>
        <v>8441.2298007104218</v>
      </c>
      <c r="Y203" s="159">
        <f t="shared" si="115"/>
        <v>8512.6117465678799</v>
      </c>
      <c r="Z203" s="159">
        <f t="shared" si="115"/>
        <v>8550.9009982158641</v>
      </c>
      <c r="AA203" s="159">
        <f t="shared" si="115"/>
        <v>8691.2869095148053</v>
      </c>
      <c r="AB203" s="159">
        <f t="shared" si="115"/>
        <v>8749.5542962268555</v>
      </c>
      <c r="AC203" s="159">
        <f t="shared" si="115"/>
        <v>8666.6235462873701</v>
      </c>
      <c r="AD203" s="159">
        <f t="shared" si="115"/>
        <v>8744.5421654102574</v>
      </c>
      <c r="AE203" s="159">
        <f t="shared" si="115"/>
        <v>8694.6757443234765</v>
      </c>
      <c r="AF203" s="159">
        <f t="shared" si="115"/>
        <v>8666.6886484695242</v>
      </c>
      <c r="AG203" s="159">
        <f t="shared" si="115"/>
        <v>8595.9632367930499</v>
      </c>
      <c r="AH203" s="188">
        <f t="shared" si="115"/>
        <v>8420.234597938781</v>
      </c>
    </row>
    <row r="204" spans="1:34">
      <c r="A204" s="1" t="s">
        <v>447</v>
      </c>
      <c r="C204" s="331"/>
      <c r="D204" s="331">
        <f>D194+D197</f>
        <v>2279.6210856820594</v>
      </c>
      <c r="E204" s="331">
        <f t="shared" ref="E204:AH204" si="116">E194+E197</f>
        <v>2189.4762437128129</v>
      </c>
      <c r="F204" s="331">
        <f t="shared" si="116"/>
        <v>2222.6342654202658</v>
      </c>
      <c r="G204" s="331">
        <f t="shared" si="116"/>
        <v>2262.225915656084</v>
      </c>
      <c r="H204" s="402">
        <f t="shared" si="116"/>
        <v>2343.6063188285716</v>
      </c>
      <c r="I204" s="14">
        <f t="shared" si="116"/>
        <v>2301.7552873993918</v>
      </c>
      <c r="J204" s="14">
        <f t="shared" si="116"/>
        <v>2453.0623508451308</v>
      </c>
      <c r="K204" s="14">
        <f t="shared" si="116"/>
        <v>2562.1088554597609</v>
      </c>
      <c r="L204" s="14">
        <f t="shared" si="116"/>
        <v>2582.702520606781</v>
      </c>
      <c r="M204" s="14">
        <f t="shared" si="116"/>
        <v>2592.0407286243849</v>
      </c>
      <c r="N204" s="188">
        <f t="shared" si="116"/>
        <v>2588.0971208790088</v>
      </c>
      <c r="O204" s="14">
        <f t="shared" si="116"/>
        <v>2589.7997278167531</v>
      </c>
      <c r="P204" s="14">
        <f t="shared" si="116"/>
        <v>2580.034799660205</v>
      </c>
      <c r="Q204" s="14">
        <f t="shared" si="116"/>
        <v>2587.6746517249458</v>
      </c>
      <c r="R204" s="14">
        <f t="shared" si="116"/>
        <v>2585.5521143487276</v>
      </c>
      <c r="S204" s="14">
        <f t="shared" si="116"/>
        <v>2585.9071368073328</v>
      </c>
      <c r="T204" s="14">
        <f t="shared" si="116"/>
        <v>2576.4128463707721</v>
      </c>
      <c r="U204" s="14">
        <f t="shared" si="116"/>
        <v>2587.0644705648856</v>
      </c>
      <c r="V204" s="14">
        <f t="shared" si="116"/>
        <v>2601.8257029830347</v>
      </c>
      <c r="W204" s="14">
        <f t="shared" si="116"/>
        <v>2590.473492516453</v>
      </c>
      <c r="X204" s="188">
        <f t="shared" si="116"/>
        <v>2596.350589988695</v>
      </c>
      <c r="Y204" s="159">
        <f t="shared" si="116"/>
        <v>2602.8566281211542</v>
      </c>
      <c r="Z204" s="159">
        <f t="shared" si="116"/>
        <v>2605.2220924111643</v>
      </c>
      <c r="AA204" s="159">
        <f t="shared" si="116"/>
        <v>2615.4730485909977</v>
      </c>
      <c r="AB204" s="159">
        <f t="shared" si="116"/>
        <v>2619.6997156296134</v>
      </c>
      <c r="AC204" s="159">
        <f t="shared" si="116"/>
        <v>2615.4579620103837</v>
      </c>
      <c r="AD204" s="159">
        <f t="shared" si="116"/>
        <v>2625.7390564993002</v>
      </c>
      <c r="AE204" s="159">
        <f t="shared" si="116"/>
        <v>2627.1295949934761</v>
      </c>
      <c r="AF204" s="159">
        <f t="shared" si="116"/>
        <v>2625.7102523751128</v>
      </c>
      <c r="AG204" s="159">
        <f t="shared" si="116"/>
        <v>2621.7105199874322</v>
      </c>
      <c r="AH204" s="188">
        <f t="shared" si="116"/>
        <v>2612.6419665888466</v>
      </c>
    </row>
    <row r="205" spans="1:34">
      <c r="A205" s="1"/>
      <c r="C205" s="331"/>
      <c r="D205" s="331"/>
      <c r="E205" s="331"/>
      <c r="F205" s="331"/>
      <c r="G205" s="331"/>
      <c r="H205" s="402"/>
      <c r="I205" s="14"/>
      <c r="J205" s="14"/>
      <c r="K205" s="14"/>
      <c r="L205" s="14"/>
      <c r="M205" s="14"/>
      <c r="N205" s="188"/>
      <c r="O205" s="14"/>
      <c r="P205" s="14"/>
      <c r="Q205" s="14"/>
      <c r="R205" s="14"/>
      <c r="S205" s="14"/>
      <c r="T205" s="14"/>
      <c r="U205" s="14"/>
      <c r="V205" s="14"/>
      <c r="W205" s="14"/>
      <c r="X205" s="188"/>
    </row>
    <row r="206" spans="1:34">
      <c r="A206" s="1" t="s">
        <v>452</v>
      </c>
      <c r="C206" s="331"/>
      <c r="D206" s="331">
        <f>D194</f>
        <v>421.57593568205903</v>
      </c>
      <c r="E206" s="331">
        <f>D206+E194</f>
        <v>888.22806998283397</v>
      </c>
      <c r="F206" s="331">
        <f>E206+F194</f>
        <v>1365.0452729566534</v>
      </c>
      <c r="G206" s="331">
        <f>F206+G194</f>
        <v>1936.6583895586452</v>
      </c>
      <c r="H206" s="402">
        <f t="shared" ref="H206:X206" si="117">G206+H194</f>
        <v>2578.9452025637474</v>
      </c>
      <c r="I206" s="14">
        <f t="shared" si="117"/>
        <v>3332.7569720885504</v>
      </c>
      <c r="J206" s="14">
        <f t="shared" si="117"/>
        <v>4218.4844677649626</v>
      </c>
      <c r="K206" s="14">
        <f t="shared" si="117"/>
        <v>5207.2417267690143</v>
      </c>
      <c r="L206" s="14">
        <f t="shared" si="117"/>
        <v>6213.4838549640381</v>
      </c>
      <c r="M206" s="14">
        <f t="shared" si="117"/>
        <v>7225.9540871422487</v>
      </c>
      <c r="N206" s="188">
        <f t="shared" si="117"/>
        <v>8233.5912484646997</v>
      </c>
      <c r="O206" s="14">
        <f t="shared" si="117"/>
        <v>9242.9309353627887</v>
      </c>
      <c r="P206" s="14">
        <f t="shared" si="117"/>
        <v>10242.505619026899</v>
      </c>
      <c r="Q206" s="14">
        <f t="shared" si="117"/>
        <v>11235.541187649445</v>
      </c>
      <c r="R206" s="14">
        <f t="shared" si="117"/>
        <v>12226.45425643449</v>
      </c>
      <c r="S206" s="14">
        <f t="shared" si="117"/>
        <v>13217.722009829702</v>
      </c>
      <c r="T206" s="14">
        <f t="shared" si="117"/>
        <v>14199.494834630194</v>
      </c>
      <c r="U206" s="14">
        <f t="shared" si="117"/>
        <v>15189.821125925457</v>
      </c>
      <c r="V206" s="14">
        <f t="shared" si="117"/>
        <v>16192.81433345784</v>
      </c>
      <c r="W206" s="14">
        <f t="shared" si="117"/>
        <v>17184.454992675204</v>
      </c>
      <c r="X206" s="188">
        <f t="shared" si="117"/>
        <v>18181.972786903523</v>
      </c>
      <c r="Y206" s="159">
        <f t="shared" ref="Y206:AH206" si="118">X206+Y194</f>
        <v>19185.996581725587</v>
      </c>
      <c r="Z206" s="159">
        <f t="shared" si="118"/>
        <v>20192.385765760231</v>
      </c>
      <c r="AA206" s="159">
        <f t="shared" si="118"/>
        <v>21209.026356439292</v>
      </c>
      <c r="AB206" s="159">
        <f t="shared" si="118"/>
        <v>22229.893614156968</v>
      </c>
      <c r="AC206" s="159">
        <f t="shared" si="118"/>
        <v>23246.519118255415</v>
      </c>
      <c r="AD206" s="159">
        <f t="shared" si="118"/>
        <v>24271.907125653743</v>
      </c>
      <c r="AE206" s="159">
        <f t="shared" si="118"/>
        <v>25298.685590184137</v>
      </c>
      <c r="AF206" s="159">
        <f t="shared" si="118"/>
        <v>26324.044712096169</v>
      </c>
      <c r="AG206" s="159">
        <f t="shared" si="118"/>
        <v>27345.404182982627</v>
      </c>
      <c r="AH206" s="188">
        <f t="shared" si="118"/>
        <v>28357.694725083347</v>
      </c>
    </row>
    <row r="207" spans="1:34">
      <c r="A207" s="1" t="s">
        <v>455</v>
      </c>
      <c r="C207" s="331"/>
      <c r="D207" s="331">
        <f>D200</f>
        <v>7082.5919999999996</v>
      </c>
      <c r="E207" s="331">
        <f>D207+E200</f>
        <v>13364.30348242207</v>
      </c>
      <c r="F207" s="331">
        <f>E207+F200</f>
        <v>19156.758736262491</v>
      </c>
      <c r="G207" s="331">
        <f t="shared" ref="G207:X207" si="119">F207+G200</f>
        <v>24843.508519677158</v>
      </c>
      <c r="H207" s="402">
        <f t="shared" si="119"/>
        <v>30731.62777136892</v>
      </c>
      <c r="I207" s="14">
        <f t="shared" si="119"/>
        <v>36745.428068336718</v>
      </c>
      <c r="J207" s="14">
        <f t="shared" si="119"/>
        <v>42496.757421271846</v>
      </c>
      <c r="K207" s="14">
        <f t="shared" si="119"/>
        <v>48580.920017939017</v>
      </c>
      <c r="L207" s="14">
        <f t="shared" si="119"/>
        <v>54910.45738169361</v>
      </c>
      <c r="M207" s="14">
        <f t="shared" si="119"/>
        <v>61302.003391543782</v>
      </c>
      <c r="N207" s="188">
        <f t="shared" si="119"/>
        <v>67589.358168588224</v>
      </c>
      <c r="O207" s="14">
        <f t="shared" si="119"/>
        <v>73815.946679114335</v>
      </c>
      <c r="P207" s="14">
        <f t="shared" si="119"/>
        <v>79889.188855099434</v>
      </c>
      <c r="Q207" s="14">
        <f t="shared" si="119"/>
        <v>85847.851592455569</v>
      </c>
      <c r="R207" s="14">
        <f t="shared" si="119"/>
        <v>91762.119577696823</v>
      </c>
      <c r="S207" s="14">
        <f t="shared" si="119"/>
        <v>97659.892792175975</v>
      </c>
      <c r="T207" s="14">
        <f t="shared" si="119"/>
        <v>103395.85831464069</v>
      </c>
      <c r="U207" s="14">
        <f t="shared" si="119"/>
        <v>109227.03398987293</v>
      </c>
      <c r="V207" s="14">
        <f t="shared" si="119"/>
        <v>115148.00562828328</v>
      </c>
      <c r="W207" s="14">
        <f t="shared" si="119"/>
        <v>120908.91602938043</v>
      </c>
      <c r="X207" s="188">
        <f t="shared" si="119"/>
        <v>126753.79524010216</v>
      </c>
      <c r="Y207" s="159">
        <f t="shared" ref="Y207:AH207" si="120">X207+Y200</f>
        <v>132663.55035854888</v>
      </c>
      <c r="Z207" s="159">
        <f t="shared" si="120"/>
        <v>138609.22926435358</v>
      </c>
      <c r="AA207" s="159">
        <f t="shared" si="120"/>
        <v>144685.04312527739</v>
      </c>
      <c r="AB207" s="159">
        <f t="shared" si="120"/>
        <v>150814.89770587464</v>
      </c>
      <c r="AC207" s="159">
        <f t="shared" si="120"/>
        <v>156866.06329015162</v>
      </c>
      <c r="AD207" s="159">
        <f t="shared" si="120"/>
        <v>162984.86639906256</v>
      </c>
      <c r="AE207" s="159">
        <f t="shared" si="120"/>
        <v>169052.41254839257</v>
      </c>
      <c r="AF207" s="159">
        <f t="shared" si="120"/>
        <v>175093.39094448698</v>
      </c>
      <c r="AG207" s="159">
        <f t="shared" si="120"/>
        <v>181067.64366129259</v>
      </c>
      <c r="AH207" s="188">
        <f t="shared" si="120"/>
        <v>186875.23629264251</v>
      </c>
    </row>
    <row r="208" spans="1:34">
      <c r="A208" s="1"/>
      <c r="C208" s="331"/>
      <c r="D208" s="331"/>
      <c r="E208" s="331"/>
      <c r="F208" s="331"/>
      <c r="G208" s="331"/>
      <c r="H208" s="402"/>
      <c r="I208" s="14"/>
      <c r="J208" s="14"/>
      <c r="K208" s="14"/>
      <c r="L208" s="14"/>
      <c r="M208" s="14"/>
      <c r="N208" s="188"/>
      <c r="O208" s="14"/>
      <c r="P208" s="14"/>
      <c r="Q208" s="14"/>
      <c r="R208" s="14"/>
      <c r="S208" s="14"/>
      <c r="T208" s="14"/>
      <c r="U208" s="14"/>
      <c r="V208" s="14"/>
      <c r="W208" s="14"/>
      <c r="X208" s="188"/>
    </row>
    <row r="209" spans="1:34">
      <c r="A209" s="1" t="s">
        <v>411</v>
      </c>
      <c r="C209" s="331"/>
      <c r="D209" s="331"/>
      <c r="E209" s="331"/>
      <c r="F209" s="331"/>
      <c r="G209" s="331"/>
      <c r="H209" s="402"/>
      <c r="I209" s="14"/>
      <c r="J209" s="14"/>
      <c r="K209" s="14"/>
      <c r="L209" s="14"/>
      <c r="M209" s="14"/>
      <c r="N209" s="188"/>
      <c r="O209" s="14"/>
      <c r="P209" s="14"/>
      <c r="Q209" s="14"/>
      <c r="R209" s="14"/>
      <c r="S209" s="14"/>
      <c r="T209" s="14"/>
      <c r="U209" s="14"/>
      <c r="V209" s="14"/>
      <c r="W209" s="14"/>
      <c r="X209" s="188"/>
    </row>
    <row r="210" spans="1:34" s="1" customFormat="1">
      <c r="A210" s="1" t="s">
        <v>408</v>
      </c>
      <c r="B210" s="13"/>
      <c r="C210" s="341">
        <f>SUM(C211:C212)</f>
        <v>0</v>
      </c>
      <c r="D210" s="341">
        <f t="shared" ref="D210:AH210" si="121">SUM(D211:D212)</f>
        <v>0</v>
      </c>
      <c r="E210" s="341">
        <f t="shared" si="121"/>
        <v>0</v>
      </c>
      <c r="F210" s="341">
        <f t="shared" si="121"/>
        <v>0</v>
      </c>
      <c r="G210" s="341">
        <f t="shared" si="121"/>
        <v>0</v>
      </c>
      <c r="H210" s="405">
        <f t="shared" si="121"/>
        <v>0</v>
      </c>
      <c r="I210" s="15">
        <f t="shared" si="121"/>
        <v>0</v>
      </c>
      <c r="J210" s="15">
        <f t="shared" si="121"/>
        <v>0</v>
      </c>
      <c r="K210" s="15">
        <f t="shared" si="121"/>
        <v>0</v>
      </c>
      <c r="L210" s="15">
        <f t="shared" si="121"/>
        <v>0</v>
      </c>
      <c r="M210" s="15">
        <f t="shared" si="121"/>
        <v>0</v>
      </c>
      <c r="N210" s="191">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1">
        <f t="shared" si="121"/>
        <v>0</v>
      </c>
      <c r="Y210" s="131">
        <f t="shared" si="121"/>
        <v>0</v>
      </c>
      <c r="Z210" s="131">
        <f t="shared" si="121"/>
        <v>0</v>
      </c>
      <c r="AA210" s="131">
        <f t="shared" si="121"/>
        <v>0</v>
      </c>
      <c r="AB210" s="131">
        <f t="shared" si="121"/>
        <v>0</v>
      </c>
      <c r="AC210" s="131">
        <f t="shared" si="121"/>
        <v>0</v>
      </c>
      <c r="AD210" s="131">
        <f t="shared" si="121"/>
        <v>0</v>
      </c>
      <c r="AE210" s="131">
        <f t="shared" si="121"/>
        <v>0</v>
      </c>
      <c r="AF210" s="131">
        <f t="shared" si="121"/>
        <v>0</v>
      </c>
      <c r="AG210" s="131">
        <f t="shared" si="121"/>
        <v>0</v>
      </c>
      <c r="AH210" s="191">
        <f t="shared" si="121"/>
        <v>0</v>
      </c>
    </row>
    <row r="211" spans="1:34">
      <c r="A211" t="s">
        <v>409</v>
      </c>
      <c r="C211" s="331">
        <f>C100</f>
        <v>0</v>
      </c>
      <c r="D211" s="331">
        <f t="shared" ref="D211:AH211" si="122">D100</f>
        <v>0</v>
      </c>
      <c r="E211" s="331">
        <f t="shared" si="122"/>
        <v>0</v>
      </c>
      <c r="F211" s="331">
        <f t="shared" si="122"/>
        <v>0</v>
      </c>
      <c r="G211" s="331">
        <f t="shared" si="122"/>
        <v>0</v>
      </c>
      <c r="H211" s="402">
        <f t="shared" si="122"/>
        <v>0</v>
      </c>
      <c r="I211" s="14">
        <f t="shared" si="122"/>
        <v>0</v>
      </c>
      <c r="J211" s="14">
        <f t="shared" si="122"/>
        <v>0</v>
      </c>
      <c r="K211" s="14">
        <f t="shared" si="122"/>
        <v>0</v>
      </c>
      <c r="L211" s="14">
        <f t="shared" si="122"/>
        <v>0</v>
      </c>
      <c r="M211" s="14">
        <f t="shared" si="122"/>
        <v>0</v>
      </c>
      <c r="N211" s="188">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8">
        <f t="shared" si="122"/>
        <v>0</v>
      </c>
      <c r="Y211" s="159">
        <f t="shared" si="122"/>
        <v>0</v>
      </c>
      <c r="Z211" s="159">
        <f t="shared" si="122"/>
        <v>0</v>
      </c>
      <c r="AA211" s="159">
        <f t="shared" si="122"/>
        <v>0</v>
      </c>
      <c r="AB211" s="159">
        <f t="shared" si="122"/>
        <v>0</v>
      </c>
      <c r="AC211" s="159">
        <f t="shared" si="122"/>
        <v>0</v>
      </c>
      <c r="AD211" s="159">
        <f t="shared" si="122"/>
        <v>0</v>
      </c>
      <c r="AE211" s="159">
        <f t="shared" si="122"/>
        <v>0</v>
      </c>
      <c r="AF211" s="159">
        <f t="shared" si="122"/>
        <v>0</v>
      </c>
      <c r="AG211" s="159">
        <f t="shared" si="122"/>
        <v>0</v>
      </c>
      <c r="AH211" s="188">
        <f t="shared" si="122"/>
        <v>0</v>
      </c>
    </row>
    <row r="212" spans="1:34">
      <c r="A212" t="s">
        <v>410</v>
      </c>
      <c r="C212" s="331">
        <f>C127</f>
        <v>0</v>
      </c>
      <c r="D212" s="331">
        <f t="shared" ref="D212:AH212" si="123">D127</f>
        <v>0</v>
      </c>
      <c r="E212" s="331">
        <f t="shared" si="123"/>
        <v>0</v>
      </c>
      <c r="F212" s="331">
        <f t="shared" si="123"/>
        <v>0</v>
      </c>
      <c r="G212" s="331">
        <f t="shared" si="123"/>
        <v>0</v>
      </c>
      <c r="H212" s="402">
        <f t="shared" si="123"/>
        <v>0</v>
      </c>
      <c r="I212" s="14">
        <f t="shared" si="123"/>
        <v>0</v>
      </c>
      <c r="J212" s="14">
        <f t="shared" si="123"/>
        <v>0</v>
      </c>
      <c r="K212" s="14">
        <f t="shared" si="123"/>
        <v>0</v>
      </c>
      <c r="L212" s="14">
        <f t="shared" si="123"/>
        <v>0</v>
      </c>
      <c r="M212" s="14">
        <f t="shared" si="123"/>
        <v>0</v>
      </c>
      <c r="N212" s="188">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8">
        <f t="shared" si="123"/>
        <v>0</v>
      </c>
      <c r="Y212" s="159">
        <f t="shared" si="123"/>
        <v>0</v>
      </c>
      <c r="Z212" s="159">
        <f t="shared" si="123"/>
        <v>0</v>
      </c>
      <c r="AA212" s="159">
        <f t="shared" si="123"/>
        <v>0</v>
      </c>
      <c r="AB212" s="159">
        <f t="shared" si="123"/>
        <v>0</v>
      </c>
      <c r="AC212" s="159">
        <f t="shared" si="123"/>
        <v>0</v>
      </c>
      <c r="AD212" s="159">
        <f t="shared" si="123"/>
        <v>0</v>
      </c>
      <c r="AE212" s="159">
        <f t="shared" si="123"/>
        <v>0</v>
      </c>
      <c r="AF212" s="159">
        <f t="shared" si="123"/>
        <v>0</v>
      </c>
      <c r="AG212" s="159">
        <f t="shared" si="123"/>
        <v>0</v>
      </c>
      <c r="AH212" s="188">
        <f t="shared" si="123"/>
        <v>0</v>
      </c>
    </row>
    <row r="213" spans="1:34" s="1" customFormat="1">
      <c r="A213" s="1" t="s">
        <v>396</v>
      </c>
      <c r="B213" s="13"/>
      <c r="C213" s="341">
        <f>SUM(C214:C215)</f>
        <v>362.46785999999997</v>
      </c>
      <c r="D213" s="341">
        <f t="shared" ref="D213:AH213" si="124">SUM(D214:D215)</f>
        <v>518.74251603631546</v>
      </c>
      <c r="E213" s="341">
        <f t="shared" si="124"/>
        <v>595.98193532870278</v>
      </c>
      <c r="F213" s="341">
        <f t="shared" si="124"/>
        <v>653.47780247097467</v>
      </c>
      <c r="G213" s="341">
        <f t="shared" si="124"/>
        <v>810.49946523538404</v>
      </c>
      <c r="H213" s="405">
        <f t="shared" si="124"/>
        <v>642.28654300510232</v>
      </c>
      <c r="I213" s="15">
        <f t="shared" si="124"/>
        <v>835.51162761200067</v>
      </c>
      <c r="J213" s="15">
        <f t="shared" si="124"/>
        <v>1037.3839740465223</v>
      </c>
      <c r="K213" s="15">
        <f t="shared" si="124"/>
        <v>1333.6606680029709</v>
      </c>
      <c r="L213" s="15">
        <f t="shared" si="124"/>
        <v>1746.1728132647552</v>
      </c>
      <c r="M213" s="15">
        <f t="shared" si="124"/>
        <v>2253.8710343120229</v>
      </c>
      <c r="N213" s="191">
        <f t="shared" si="124"/>
        <v>2866.2285240859637</v>
      </c>
      <c r="O213" s="15">
        <f t="shared" si="124"/>
        <v>3020.152023643117</v>
      </c>
      <c r="P213" s="15">
        <f t="shared" si="124"/>
        <v>3140.3930631989783</v>
      </c>
      <c r="Q213" s="15">
        <f t="shared" si="124"/>
        <v>3285.5799602389243</v>
      </c>
      <c r="R213" s="15">
        <f t="shared" si="124"/>
        <v>3463.0975425263596</v>
      </c>
      <c r="S213" s="15">
        <f t="shared" si="124"/>
        <v>3663.3232518601062</v>
      </c>
      <c r="T213" s="15">
        <f t="shared" si="124"/>
        <v>3804.2852852901383</v>
      </c>
      <c r="U213" s="15">
        <f t="shared" si="124"/>
        <v>4087.8889969907677</v>
      </c>
      <c r="V213" s="15">
        <f t="shared" si="124"/>
        <v>4392.8363019209355</v>
      </c>
      <c r="W213" s="15">
        <f t="shared" si="124"/>
        <v>4563.2243195702022</v>
      </c>
      <c r="X213" s="191">
        <f t="shared" si="124"/>
        <v>4890.0419387545408</v>
      </c>
      <c r="Y213" s="131">
        <f t="shared" si="124"/>
        <v>5024.6001342088366</v>
      </c>
      <c r="Z213" s="131">
        <f t="shared" si="124"/>
        <v>5141.3185568364424</v>
      </c>
      <c r="AA213" s="131">
        <f t="shared" si="124"/>
        <v>5326.683046068616</v>
      </c>
      <c r="AB213" s="131">
        <f t="shared" si="124"/>
        <v>5466.3970026736852</v>
      </c>
      <c r="AC213" s="131">
        <f t="shared" si="124"/>
        <v>5516.5419449408128</v>
      </c>
      <c r="AD213" s="131">
        <f t="shared" si="124"/>
        <v>5679.39058517585</v>
      </c>
      <c r="AE213" s="131">
        <f t="shared" si="124"/>
        <v>5760.9232066996738</v>
      </c>
      <c r="AF213" s="131">
        <f t="shared" si="124"/>
        <v>5848.4198737112774</v>
      </c>
      <c r="AG213" s="131">
        <f t="shared" si="124"/>
        <v>5912.1807199952564</v>
      </c>
      <c r="AH213" s="191">
        <f t="shared" si="124"/>
        <v>5902.9971150255406</v>
      </c>
    </row>
    <row r="214" spans="1:34">
      <c r="A214" t="s">
        <v>397</v>
      </c>
      <c r="C214" s="331">
        <f>C115</f>
        <v>190.77270000000001</v>
      </c>
      <c r="D214" s="331">
        <f t="shared" ref="D214:AH214" si="125">D115</f>
        <v>273.02255958729216</v>
      </c>
      <c r="E214" s="331">
        <f t="shared" si="125"/>
        <v>313.67489526356252</v>
      </c>
      <c r="F214" s="331">
        <f t="shared" si="125"/>
        <v>343.93589927235183</v>
      </c>
      <c r="G214" s="331">
        <f t="shared" si="125"/>
        <v>426.57891328098509</v>
      </c>
      <c r="H214" s="402">
        <f t="shared" si="125"/>
        <v>338.04569105531704</v>
      </c>
      <c r="I214" s="14">
        <f t="shared" si="125"/>
        <v>439.74313173906654</v>
      </c>
      <c r="J214" s="14">
        <f t="shared" si="125"/>
        <v>545.99176167606811</v>
      </c>
      <c r="K214" s="14">
        <f t="shared" si="125"/>
        <v>701.92690831225559</v>
      </c>
      <c r="L214" s="14">
        <f t="shared" si="125"/>
        <v>919.03861536959414</v>
      </c>
      <c r="M214" s="14">
        <f t="shared" si="125"/>
        <v>1186.248260241133</v>
      </c>
      <c r="N214" s="183">
        <f t="shared" si="125"/>
        <v>1508.5417326854772</v>
      </c>
      <c r="O214" s="14">
        <f t="shared" si="125"/>
        <v>1589.5541225810139</v>
      </c>
      <c r="P214" s="14">
        <f t="shared" si="125"/>
        <v>1652.8388971993766</v>
      </c>
      <c r="Q214" s="14">
        <f t="shared" si="125"/>
        <v>1729.2530740116435</v>
      </c>
      <c r="R214" s="14">
        <f t="shared" si="125"/>
        <v>1822.6834055137078</v>
      </c>
      <c r="S214" s="14">
        <f t="shared" si="125"/>
        <v>1928.0653860321077</v>
      </c>
      <c r="T214" s="14">
        <f t="shared" si="125"/>
        <v>2002.255949822279</v>
      </c>
      <c r="U214" s="14">
        <f t="shared" si="125"/>
        <v>2151.5211012397972</v>
      </c>
      <c r="V214" s="14">
        <f t="shared" si="125"/>
        <v>2312.0197257881741</v>
      </c>
      <c r="W214" s="14">
        <f t="shared" si="125"/>
        <v>2401.6976538436274</v>
      </c>
      <c r="X214" s="188">
        <f t="shared" si="125"/>
        <v>2573.7069731890574</v>
      </c>
      <c r="Y214" s="159">
        <f t="shared" si="125"/>
        <v>2644.5270950362456</v>
      </c>
      <c r="Z214" s="159">
        <f t="shared" si="125"/>
        <v>2705.9578602482125</v>
      </c>
      <c r="AA214" s="159">
        <f t="shared" si="125"/>
        <v>2803.5181438804589</v>
      </c>
      <c r="AB214" s="159">
        <f t="shared" si="125"/>
        <v>2877.0518249551615</v>
      </c>
      <c r="AC214" s="159">
        <f t="shared" si="125"/>
        <v>2903.4439069044506</v>
      </c>
      <c r="AD214" s="159">
        <f t="shared" si="125"/>
        <v>2989.1537405207287</v>
      </c>
      <c r="AE214" s="159">
        <f t="shared" si="125"/>
        <v>3032.065658084301</v>
      </c>
      <c r="AF214" s="159">
        <f t="shared" si="125"/>
        <v>3078.1165477983309</v>
      </c>
      <c r="AG214" s="159">
        <f t="shared" si="125"/>
        <v>3111.6748969398736</v>
      </c>
      <c r="AH214" s="188">
        <f t="shared" si="125"/>
        <v>3106.8414193448752</v>
      </c>
    </row>
    <row r="215" spans="1:34">
      <c r="A215" t="s">
        <v>398</v>
      </c>
      <c r="C215" s="331">
        <f>C142</f>
        <v>171.69515999999999</v>
      </c>
      <c r="D215" s="331">
        <f t="shared" ref="D215:AH215" si="126">D142</f>
        <v>245.7199564490233</v>
      </c>
      <c r="E215" s="331">
        <f t="shared" si="126"/>
        <v>282.3070400651402</v>
      </c>
      <c r="F215" s="331">
        <f t="shared" si="126"/>
        <v>309.54190319862289</v>
      </c>
      <c r="G215" s="331">
        <f t="shared" si="126"/>
        <v>383.92055195439895</v>
      </c>
      <c r="H215" s="402">
        <f t="shared" si="126"/>
        <v>304.24085194978528</v>
      </c>
      <c r="I215" s="14">
        <f t="shared" si="126"/>
        <v>395.76849587293407</v>
      </c>
      <c r="J215" s="14">
        <f t="shared" si="126"/>
        <v>491.39221237045433</v>
      </c>
      <c r="K215" s="14">
        <f t="shared" si="126"/>
        <v>631.73375969071515</v>
      </c>
      <c r="L215" s="14">
        <f t="shared" si="126"/>
        <v>827.13419789516104</v>
      </c>
      <c r="M215" s="14">
        <f t="shared" si="126"/>
        <v>1067.6227740708896</v>
      </c>
      <c r="N215" s="183">
        <f t="shared" si="126"/>
        <v>1357.6867914004863</v>
      </c>
      <c r="O215" s="14">
        <f t="shared" si="126"/>
        <v>1430.5979010621031</v>
      </c>
      <c r="P215" s="14">
        <f t="shared" si="126"/>
        <v>1487.5541659996018</v>
      </c>
      <c r="Q215" s="14">
        <f t="shared" si="126"/>
        <v>1556.3268862272805</v>
      </c>
      <c r="R215" s="14">
        <f t="shared" si="126"/>
        <v>1640.4141370126517</v>
      </c>
      <c r="S215" s="14">
        <f t="shared" si="126"/>
        <v>1735.2578658279988</v>
      </c>
      <c r="T215" s="14">
        <f t="shared" si="126"/>
        <v>1802.0293354678593</v>
      </c>
      <c r="U215" s="14">
        <f t="shared" si="126"/>
        <v>1936.3678957509705</v>
      </c>
      <c r="V215" s="14">
        <f t="shared" si="126"/>
        <v>2080.8165761327614</v>
      </c>
      <c r="W215" s="14">
        <f t="shared" si="126"/>
        <v>2161.5266657265747</v>
      </c>
      <c r="X215" s="188">
        <f t="shared" si="126"/>
        <v>2316.3349655654829</v>
      </c>
      <c r="Y215" s="159">
        <f t="shared" si="126"/>
        <v>2380.0730391725906</v>
      </c>
      <c r="Z215" s="159">
        <f t="shared" si="126"/>
        <v>2435.3606965882304</v>
      </c>
      <c r="AA215" s="159">
        <f t="shared" si="126"/>
        <v>2523.1649021881576</v>
      </c>
      <c r="AB215" s="159">
        <f t="shared" si="126"/>
        <v>2589.3451777185237</v>
      </c>
      <c r="AC215" s="159">
        <f t="shared" si="126"/>
        <v>2613.0980380363617</v>
      </c>
      <c r="AD215" s="159">
        <f t="shared" si="126"/>
        <v>2690.2368446551218</v>
      </c>
      <c r="AE215" s="159">
        <f t="shared" si="126"/>
        <v>2728.8575486153727</v>
      </c>
      <c r="AF215" s="159">
        <f t="shared" si="126"/>
        <v>2770.3033259129465</v>
      </c>
      <c r="AG215" s="159">
        <f t="shared" si="126"/>
        <v>2800.5058230553827</v>
      </c>
      <c r="AH215" s="188">
        <f t="shared" si="126"/>
        <v>2796.1556956806648</v>
      </c>
    </row>
    <row r="216" spans="1:34">
      <c r="A216" t="s">
        <v>399</v>
      </c>
      <c r="C216" s="331">
        <f>SUM(C217:C218)</f>
        <v>1777.6181500000002</v>
      </c>
      <c r="D216" s="331">
        <f t="shared" ref="D216:AH216" si="127">SUM(D217:D218)</f>
        <v>1922.5170574051995</v>
      </c>
      <c r="E216" s="331">
        <f t="shared" si="127"/>
        <v>1702.9684462983446</v>
      </c>
      <c r="F216" s="331">
        <f t="shared" si="127"/>
        <v>1590.5699490791071</v>
      </c>
      <c r="G216" s="331">
        <f t="shared" si="127"/>
        <v>1547.6665734577948</v>
      </c>
      <c r="H216" s="402">
        <f t="shared" si="127"/>
        <v>1701.3195058234692</v>
      </c>
      <c r="I216" s="14">
        <f t="shared" si="127"/>
        <v>1689.5886613293144</v>
      </c>
      <c r="J216" s="14">
        <f t="shared" si="127"/>
        <v>1622.6224882555239</v>
      </c>
      <c r="K216" s="14">
        <f t="shared" si="127"/>
        <v>1652.514919363332</v>
      </c>
      <c r="L216" s="14">
        <f t="shared" si="127"/>
        <v>1664.9461977665615</v>
      </c>
      <c r="M216" s="14">
        <f t="shared" si="127"/>
        <v>1639.317711180091</v>
      </c>
      <c r="N216" s="191">
        <f t="shared" si="127"/>
        <v>1580.4599595565583</v>
      </c>
      <c r="O216" s="14">
        <f t="shared" si="127"/>
        <v>1580.6623221154045</v>
      </c>
      <c r="P216" s="14">
        <f t="shared" si="127"/>
        <v>1559.9741252865847</v>
      </c>
      <c r="Q216" s="14">
        <f t="shared" si="127"/>
        <v>1549.0097714364936</v>
      </c>
      <c r="R216" s="14">
        <f t="shared" si="127"/>
        <v>1549.5349539192662</v>
      </c>
      <c r="S216" s="15">
        <f t="shared" si="127"/>
        <v>1555.5801736807139</v>
      </c>
      <c r="T216" s="14">
        <f t="shared" si="127"/>
        <v>1533.0519180013503</v>
      </c>
      <c r="U216" s="14">
        <f t="shared" si="127"/>
        <v>1563.2764623120424</v>
      </c>
      <c r="V216" s="14">
        <f t="shared" si="127"/>
        <v>1594.1201699143189</v>
      </c>
      <c r="W216" s="14">
        <f t="shared" si="127"/>
        <v>1571.3530831776256</v>
      </c>
      <c r="X216" s="188">
        <f t="shared" si="127"/>
        <v>1597.8176185746911</v>
      </c>
      <c r="Y216" s="159">
        <f t="shared" si="127"/>
        <v>1611.3118587975921</v>
      </c>
      <c r="Z216" s="159">
        <f t="shared" si="127"/>
        <v>1618.1395670534384</v>
      </c>
      <c r="AA216" s="159">
        <f t="shared" si="127"/>
        <v>1645.3624266104748</v>
      </c>
      <c r="AB216" s="159">
        <f t="shared" si="127"/>
        <v>1657.1775276999624</v>
      </c>
      <c r="AC216" s="159">
        <f t="shared" si="127"/>
        <v>1641.3372511703685</v>
      </c>
      <c r="AD216" s="159">
        <f t="shared" si="127"/>
        <v>1658.4239619025889</v>
      </c>
      <c r="AE216" s="159">
        <f t="shared" si="127"/>
        <v>1651.0062904589781</v>
      </c>
      <c r="AF216" s="159">
        <f t="shared" si="127"/>
        <v>1644.9696535715757</v>
      </c>
      <c r="AG216" s="159">
        <f t="shared" si="127"/>
        <v>1632.0356486316336</v>
      </c>
      <c r="AH216" s="188">
        <f t="shared" si="127"/>
        <v>1599.2523366192574</v>
      </c>
    </row>
    <row r="217" spans="1:34">
      <c r="A217" t="s">
        <v>400</v>
      </c>
      <c r="C217" s="331">
        <f>C114</f>
        <v>935.58850000000007</v>
      </c>
      <c r="D217" s="331">
        <f t="shared" ref="D217:AH217" si="128">D114</f>
        <v>1011.8510828448418</v>
      </c>
      <c r="E217" s="331">
        <f t="shared" si="128"/>
        <v>896.29918226228665</v>
      </c>
      <c r="F217" s="331">
        <f t="shared" si="128"/>
        <v>837.142078462688</v>
      </c>
      <c r="G217" s="331">
        <f t="shared" si="128"/>
        <v>814.56135445147095</v>
      </c>
      <c r="H217" s="402">
        <f t="shared" si="128"/>
        <v>895.43131885445746</v>
      </c>
      <c r="I217" s="14">
        <f t="shared" si="128"/>
        <v>889.25719017332335</v>
      </c>
      <c r="J217" s="14">
        <f t="shared" si="128"/>
        <v>854.01183592396001</v>
      </c>
      <c r="K217" s="14">
        <f t="shared" si="128"/>
        <v>869.74469440175358</v>
      </c>
      <c r="L217" s="14">
        <f t="shared" si="128"/>
        <v>876.28747250871652</v>
      </c>
      <c r="M217" s="14">
        <f t="shared" si="128"/>
        <v>862.79879535794259</v>
      </c>
      <c r="N217" s="188">
        <f t="shared" si="128"/>
        <v>831.82103134555689</v>
      </c>
      <c r="O217" s="14">
        <f t="shared" si="128"/>
        <v>831.92753795547617</v>
      </c>
      <c r="P217" s="14">
        <f t="shared" si="128"/>
        <v>821.03901330872873</v>
      </c>
      <c r="Q217" s="14">
        <f t="shared" si="128"/>
        <v>815.26830075604926</v>
      </c>
      <c r="R217" s="14">
        <f t="shared" si="128"/>
        <v>815.54471258908745</v>
      </c>
      <c r="S217" s="14">
        <f t="shared" si="128"/>
        <v>818.72640720037566</v>
      </c>
      <c r="T217" s="14">
        <f t="shared" si="128"/>
        <v>806.86943052702634</v>
      </c>
      <c r="U217" s="14">
        <f t="shared" si="128"/>
        <v>822.77708542739083</v>
      </c>
      <c r="V217" s="14">
        <f t="shared" si="128"/>
        <v>839.01061574437836</v>
      </c>
      <c r="W217" s="14">
        <f t="shared" si="128"/>
        <v>827.02793851453976</v>
      </c>
      <c r="X217" s="188">
        <f t="shared" si="128"/>
        <v>840.9566413551006</v>
      </c>
      <c r="Y217" s="159">
        <f t="shared" si="128"/>
        <v>848.05887305136423</v>
      </c>
      <c r="Z217" s="159">
        <f t="shared" si="128"/>
        <v>851.65240371233597</v>
      </c>
      <c r="AA217" s="159">
        <f t="shared" si="128"/>
        <v>865.98022453182887</v>
      </c>
      <c r="AB217" s="159">
        <f t="shared" si="128"/>
        <v>872.19869878945394</v>
      </c>
      <c r="AC217" s="159">
        <f t="shared" si="128"/>
        <v>863.86171114229921</v>
      </c>
      <c r="AD217" s="159">
        <f t="shared" si="128"/>
        <v>872.85471679083628</v>
      </c>
      <c r="AE217" s="159">
        <f t="shared" si="128"/>
        <v>868.95067918893585</v>
      </c>
      <c r="AF217" s="159">
        <f t="shared" si="128"/>
        <v>865.77350187977675</v>
      </c>
      <c r="AG217" s="159">
        <f t="shared" si="128"/>
        <v>858.96613085875458</v>
      </c>
      <c r="AH217" s="188">
        <f t="shared" si="128"/>
        <v>841.71175611539866</v>
      </c>
    </row>
    <row r="218" spans="1:34">
      <c r="A218" t="s">
        <v>401</v>
      </c>
      <c r="C218" s="331">
        <f>C141</f>
        <v>842.02965000000006</v>
      </c>
      <c r="D218" s="331">
        <f t="shared" ref="D218:AH218" si="129">D141</f>
        <v>910.66597456035765</v>
      </c>
      <c r="E218" s="331">
        <f t="shared" si="129"/>
        <v>806.66926403605805</v>
      </c>
      <c r="F218" s="331">
        <f t="shared" si="129"/>
        <v>753.42787061641923</v>
      </c>
      <c r="G218" s="331">
        <f t="shared" si="129"/>
        <v>733.10521900632386</v>
      </c>
      <c r="H218" s="402">
        <f t="shared" si="129"/>
        <v>805.88818696901171</v>
      </c>
      <c r="I218" s="14">
        <f t="shared" si="129"/>
        <v>800.33147115599104</v>
      </c>
      <c r="J218" s="14">
        <f t="shared" si="129"/>
        <v>768.61065233156398</v>
      </c>
      <c r="K218" s="14">
        <f t="shared" si="129"/>
        <v>782.77022496157838</v>
      </c>
      <c r="L218" s="14">
        <f t="shared" si="129"/>
        <v>788.65872525784494</v>
      </c>
      <c r="M218" s="14">
        <f t="shared" si="129"/>
        <v>776.5189158221483</v>
      </c>
      <c r="N218" s="188">
        <f t="shared" si="129"/>
        <v>748.63892821100126</v>
      </c>
      <c r="O218" s="14">
        <f t="shared" si="129"/>
        <v>748.73478415992849</v>
      </c>
      <c r="P218" s="14">
        <f t="shared" si="129"/>
        <v>738.93511197785585</v>
      </c>
      <c r="Q218" s="14">
        <f t="shared" si="129"/>
        <v>733.74147068044431</v>
      </c>
      <c r="R218" s="14">
        <f t="shared" si="129"/>
        <v>733.99024133017872</v>
      </c>
      <c r="S218" s="14">
        <f t="shared" si="129"/>
        <v>736.85376648033809</v>
      </c>
      <c r="T218" s="14">
        <f t="shared" si="129"/>
        <v>726.18248747432381</v>
      </c>
      <c r="U218" s="14">
        <f t="shared" si="129"/>
        <v>740.49937688465172</v>
      </c>
      <c r="V218" s="14">
        <f t="shared" si="129"/>
        <v>755.10955416994057</v>
      </c>
      <c r="W218" s="14">
        <f t="shared" si="129"/>
        <v>744.32514466308578</v>
      </c>
      <c r="X218" s="188">
        <f t="shared" si="129"/>
        <v>756.86097721959061</v>
      </c>
      <c r="Y218" s="159">
        <f t="shared" si="129"/>
        <v>763.25298574622786</v>
      </c>
      <c r="Z218" s="159">
        <f t="shared" si="129"/>
        <v>766.48716334110236</v>
      </c>
      <c r="AA218" s="159">
        <f t="shared" si="129"/>
        <v>779.38220207864606</v>
      </c>
      <c r="AB218" s="159">
        <f t="shared" si="129"/>
        <v>784.97882891050847</v>
      </c>
      <c r="AC218" s="159">
        <f t="shared" si="129"/>
        <v>777.4755400280693</v>
      </c>
      <c r="AD218" s="159">
        <f t="shared" si="129"/>
        <v>785.56924511175271</v>
      </c>
      <c r="AE218" s="159">
        <f t="shared" si="129"/>
        <v>782.05561127004228</v>
      </c>
      <c r="AF218" s="159">
        <f t="shared" si="129"/>
        <v>779.19615169179906</v>
      </c>
      <c r="AG218" s="159">
        <f t="shared" si="129"/>
        <v>773.06951777287918</v>
      </c>
      <c r="AH218" s="188">
        <f t="shared" si="129"/>
        <v>757.54058050385879</v>
      </c>
    </row>
    <row r="219" spans="1:34" s="1" customFormat="1">
      <c r="A219" s="1" t="s">
        <v>393</v>
      </c>
      <c r="B219" s="13"/>
      <c r="C219" s="341">
        <f>SUM(C220:C221)</f>
        <v>6274.18</v>
      </c>
      <c r="D219" s="341">
        <f t="shared" ref="D219:AH219" si="130">SUM(D220:D221)</f>
        <v>6962.1736549909019</v>
      </c>
      <c r="E219" s="341">
        <f t="shared" si="130"/>
        <v>6213.4785198530681</v>
      </c>
      <c r="F219" s="341">
        <f t="shared" si="130"/>
        <v>5809.1158646497497</v>
      </c>
      <c r="G219" s="341">
        <f t="shared" si="130"/>
        <v>5631.8920582325381</v>
      </c>
      <c r="H219" s="405">
        <f t="shared" si="130"/>
        <v>5880.9603743263488</v>
      </c>
      <c r="I219" s="15">
        <f t="shared" si="130"/>
        <v>5923.9635943825524</v>
      </c>
      <c r="J219" s="15">
        <f t="shared" si="130"/>
        <v>5758.5426929949845</v>
      </c>
      <c r="K219" s="15">
        <f t="shared" si="130"/>
        <v>5958.6871390263805</v>
      </c>
      <c r="L219" s="15">
        <f t="shared" si="130"/>
        <v>6045.7502432698884</v>
      </c>
      <c r="M219" s="15">
        <f t="shared" si="130"/>
        <v>5955.6695330367329</v>
      </c>
      <c r="N219" s="191">
        <f t="shared" si="130"/>
        <v>5699.7413749637735</v>
      </c>
      <c r="O219" s="15">
        <f t="shared" si="130"/>
        <v>5592.2584159738253</v>
      </c>
      <c r="P219" s="15">
        <f t="shared" si="130"/>
        <v>5407.6823151062808</v>
      </c>
      <c r="Q219" s="15">
        <f t="shared" si="130"/>
        <v>5255.684493183925</v>
      </c>
      <c r="R219" s="15">
        <f t="shared" si="130"/>
        <v>5142.822317002021</v>
      </c>
      <c r="S219" s="15">
        <f t="shared" si="130"/>
        <v>5043.4258052382638</v>
      </c>
      <c r="T219" s="15">
        <f t="shared" si="130"/>
        <v>4846.889707042079</v>
      </c>
      <c r="U219" s="15">
        <f t="shared" si="130"/>
        <v>4816.398869608518</v>
      </c>
      <c r="V219" s="15">
        <f t="shared" si="130"/>
        <v>4779.6408125281578</v>
      </c>
      <c r="W219" s="15">
        <f t="shared" si="130"/>
        <v>4572.126916129082</v>
      </c>
      <c r="X219" s="191">
        <f t="shared" si="130"/>
        <v>4507.5391378141521</v>
      </c>
      <c r="Y219" s="131">
        <f t="shared" si="130"/>
        <v>4513.1784610306895</v>
      </c>
      <c r="Z219" s="131">
        <f t="shared" si="130"/>
        <v>4498.8743797614388</v>
      </c>
      <c r="AA219" s="131">
        <f t="shared" si="130"/>
        <v>4541.3124607482223</v>
      </c>
      <c r="AB219" s="131">
        <f t="shared" si="130"/>
        <v>4538.1974769362341</v>
      </c>
      <c r="AC219" s="131">
        <f t="shared" si="130"/>
        <v>4456.5163210293686</v>
      </c>
      <c r="AD219" s="131">
        <f t="shared" si="130"/>
        <v>4465.6020547440112</v>
      </c>
      <c r="AE219" s="131">
        <f t="shared" si="130"/>
        <v>4406.0724844297429</v>
      </c>
      <c r="AF219" s="131">
        <f t="shared" si="130"/>
        <v>4349.595234716593</v>
      </c>
      <c r="AG219" s="131">
        <f t="shared" si="130"/>
        <v>4273.9690968693403</v>
      </c>
      <c r="AH219" s="191">
        <f t="shared" si="130"/>
        <v>4144.8567417042768</v>
      </c>
    </row>
    <row r="220" spans="1:34">
      <c r="A220" t="s">
        <v>402</v>
      </c>
      <c r="C220" s="331">
        <f>SUM(C116:C117)</f>
        <v>3302.2</v>
      </c>
      <c r="D220" s="331">
        <f t="shared" ref="D220:AH220" si="131">SUM(D116:D117)</f>
        <v>3664.3019236794216</v>
      </c>
      <c r="E220" s="331">
        <f t="shared" si="131"/>
        <v>3270.2518525542459</v>
      </c>
      <c r="F220" s="331">
        <f t="shared" si="131"/>
        <v>3057.4294024472365</v>
      </c>
      <c r="G220" s="331">
        <f t="shared" si="131"/>
        <v>2964.1537148592306</v>
      </c>
      <c r="H220" s="402">
        <f t="shared" si="131"/>
        <v>3095.2423022770254</v>
      </c>
      <c r="I220" s="14">
        <f t="shared" si="131"/>
        <v>3117.8755759908172</v>
      </c>
      <c r="J220" s="14">
        <f t="shared" si="131"/>
        <v>3030.8119436815705</v>
      </c>
      <c r="K220" s="14">
        <f t="shared" si="131"/>
        <v>3136.1511258033579</v>
      </c>
      <c r="L220" s="14">
        <f t="shared" si="131"/>
        <v>3181.9738122473095</v>
      </c>
      <c r="M220" s="14">
        <f t="shared" si="131"/>
        <v>3134.5629121245961</v>
      </c>
      <c r="N220" s="188">
        <f t="shared" si="131"/>
        <v>2999.8638815598806</v>
      </c>
      <c r="O220" s="14">
        <f t="shared" si="131"/>
        <v>2943.2939031441188</v>
      </c>
      <c r="P220" s="14">
        <f t="shared" si="131"/>
        <v>2846.1485868980426</v>
      </c>
      <c r="Q220" s="14">
        <f t="shared" si="131"/>
        <v>2766.1497332546974</v>
      </c>
      <c r="R220" s="14">
        <f t="shared" si="131"/>
        <v>2706.7485878958005</v>
      </c>
      <c r="S220" s="14">
        <f t="shared" si="131"/>
        <v>2654.4346343359284</v>
      </c>
      <c r="T220" s="14">
        <f t="shared" si="131"/>
        <v>2550.994582653726</v>
      </c>
      <c r="U220" s="14">
        <f t="shared" si="131"/>
        <v>2534.9467734781674</v>
      </c>
      <c r="V220" s="14">
        <f t="shared" si="131"/>
        <v>2515.6004276463987</v>
      </c>
      <c r="W220" s="14">
        <f t="shared" si="131"/>
        <v>2406.3825874363588</v>
      </c>
      <c r="X220" s="188">
        <f t="shared" si="131"/>
        <v>2372.3890199021853</v>
      </c>
      <c r="Y220" s="159">
        <f t="shared" si="131"/>
        <v>2375.3570847529945</v>
      </c>
      <c r="Z220" s="159">
        <f t="shared" si="131"/>
        <v>2367.8286209270732</v>
      </c>
      <c r="AA220" s="159">
        <f t="shared" si="131"/>
        <v>2390.1644530253802</v>
      </c>
      <c r="AB220" s="159">
        <f t="shared" si="131"/>
        <v>2388.5249878611758</v>
      </c>
      <c r="AC220" s="159">
        <f t="shared" si="131"/>
        <v>2345.5349058049305</v>
      </c>
      <c r="AD220" s="159">
        <f t="shared" si="131"/>
        <v>2350.3168709179004</v>
      </c>
      <c r="AE220" s="159">
        <f t="shared" si="131"/>
        <v>2318.9855181209173</v>
      </c>
      <c r="AF220" s="159">
        <f t="shared" si="131"/>
        <v>2289.260649850838</v>
      </c>
      <c r="AG220" s="159">
        <f t="shared" si="131"/>
        <v>2249.457419404916</v>
      </c>
      <c r="AH220" s="188">
        <f t="shared" si="131"/>
        <v>2181.5035482654089</v>
      </c>
    </row>
    <row r="221" spans="1:34">
      <c r="A221" t="s">
        <v>403</v>
      </c>
      <c r="C221" s="331">
        <f>SUM(C143:C144)</f>
        <v>2971.98</v>
      </c>
      <c r="D221" s="331">
        <f t="shared" ref="D221:AH221" si="132">SUM(D143:D144)</f>
        <v>3297.8717313114798</v>
      </c>
      <c r="E221" s="331">
        <f t="shared" si="132"/>
        <v>2943.2266672988217</v>
      </c>
      <c r="F221" s="331">
        <f t="shared" si="132"/>
        <v>2751.6864622025128</v>
      </c>
      <c r="G221" s="331">
        <f t="shared" si="132"/>
        <v>2667.7383433733075</v>
      </c>
      <c r="H221" s="402">
        <f t="shared" si="132"/>
        <v>2785.7180720493234</v>
      </c>
      <c r="I221" s="14">
        <f t="shared" si="132"/>
        <v>2806.0880183917352</v>
      </c>
      <c r="J221" s="14">
        <f t="shared" si="132"/>
        <v>2727.7307493134135</v>
      </c>
      <c r="K221" s="14">
        <f t="shared" si="132"/>
        <v>2822.5360132230221</v>
      </c>
      <c r="L221" s="14">
        <f t="shared" si="132"/>
        <v>2863.7764310225789</v>
      </c>
      <c r="M221" s="14">
        <f t="shared" si="132"/>
        <v>2821.1066209121363</v>
      </c>
      <c r="N221" s="188">
        <f t="shared" si="132"/>
        <v>2699.8774934038929</v>
      </c>
      <c r="O221" s="14">
        <f t="shared" si="132"/>
        <v>2648.964512829707</v>
      </c>
      <c r="P221" s="14">
        <f t="shared" si="132"/>
        <v>2561.5337282082382</v>
      </c>
      <c r="Q221" s="14">
        <f t="shared" si="132"/>
        <v>2489.5347599292277</v>
      </c>
      <c r="R221" s="14">
        <f t="shared" si="132"/>
        <v>2436.073729106221</v>
      </c>
      <c r="S221" s="14">
        <f t="shared" si="132"/>
        <v>2388.9911709023354</v>
      </c>
      <c r="T221" s="14">
        <f t="shared" si="132"/>
        <v>2295.8951243883535</v>
      </c>
      <c r="U221" s="14">
        <f t="shared" si="132"/>
        <v>2281.4520961303506</v>
      </c>
      <c r="V221" s="14">
        <f t="shared" si="132"/>
        <v>2264.0403848817587</v>
      </c>
      <c r="W221" s="14">
        <f t="shared" si="132"/>
        <v>2165.7443286927228</v>
      </c>
      <c r="X221" s="188">
        <f t="shared" si="132"/>
        <v>2135.1501179119668</v>
      </c>
      <c r="Y221" s="159">
        <f t="shared" si="132"/>
        <v>2137.821376277695</v>
      </c>
      <c r="Z221" s="159">
        <f t="shared" si="132"/>
        <v>2131.0457588343656</v>
      </c>
      <c r="AA221" s="159">
        <f t="shared" si="132"/>
        <v>2151.1480077228421</v>
      </c>
      <c r="AB221" s="159">
        <f t="shared" si="132"/>
        <v>2149.6724890750584</v>
      </c>
      <c r="AC221" s="159">
        <f t="shared" si="132"/>
        <v>2110.9814152244376</v>
      </c>
      <c r="AD221" s="159">
        <f t="shared" si="132"/>
        <v>2115.2851838261104</v>
      </c>
      <c r="AE221" s="159">
        <f t="shared" si="132"/>
        <v>2087.0869663088256</v>
      </c>
      <c r="AF221" s="159">
        <f t="shared" si="132"/>
        <v>2060.3345848657546</v>
      </c>
      <c r="AG221" s="159">
        <f t="shared" si="132"/>
        <v>2024.5116774644243</v>
      </c>
      <c r="AH221" s="188">
        <f t="shared" si="132"/>
        <v>1963.3531934388682</v>
      </c>
    </row>
    <row r="222" spans="1:34">
      <c r="A222" s="1" t="s">
        <v>425</v>
      </c>
      <c r="C222" s="331">
        <f>SUM(C210,C213,C216,C219)</f>
        <v>8414.2660099999994</v>
      </c>
      <c r="D222" s="331">
        <f t="shared" ref="D222:AH222" si="133">SUM(D210,D213,D216,D219)</f>
        <v>9403.4332284324173</v>
      </c>
      <c r="E222" s="331">
        <f t="shared" si="133"/>
        <v>8512.4289014801143</v>
      </c>
      <c r="F222" s="331">
        <f t="shared" si="133"/>
        <v>8053.1636161998313</v>
      </c>
      <c r="G222" s="331">
        <f t="shared" si="133"/>
        <v>7990.0580969257171</v>
      </c>
      <c r="H222" s="402">
        <f t="shared" si="133"/>
        <v>8224.5664231549199</v>
      </c>
      <c r="I222" s="14">
        <f t="shared" si="133"/>
        <v>8449.0638833238663</v>
      </c>
      <c r="J222" s="14">
        <f t="shared" si="133"/>
        <v>8418.5491552970307</v>
      </c>
      <c r="K222" s="14">
        <f t="shared" si="133"/>
        <v>8944.8627263926828</v>
      </c>
      <c r="L222" s="14">
        <f t="shared" si="133"/>
        <v>9456.8692543012039</v>
      </c>
      <c r="M222" s="14">
        <f t="shared" si="133"/>
        <v>9848.8582785288472</v>
      </c>
      <c r="N222" s="188">
        <f t="shared" si="133"/>
        <v>10146.429858606294</v>
      </c>
      <c r="O222" s="14">
        <f t="shared" si="133"/>
        <v>10193.072761732346</v>
      </c>
      <c r="P222" s="14">
        <f t="shared" si="133"/>
        <v>10108.049503591843</v>
      </c>
      <c r="Q222" s="14">
        <f t="shared" si="133"/>
        <v>10090.274224859342</v>
      </c>
      <c r="R222" s="14">
        <f t="shared" si="133"/>
        <v>10155.454813447646</v>
      </c>
      <c r="S222" s="14">
        <f t="shared" si="133"/>
        <v>10262.329230779083</v>
      </c>
      <c r="T222" s="14">
        <f t="shared" si="133"/>
        <v>10184.226910333568</v>
      </c>
      <c r="U222" s="14">
        <f t="shared" si="133"/>
        <v>10467.564328911329</v>
      </c>
      <c r="V222" s="14">
        <f t="shared" si="133"/>
        <v>10766.597284363412</v>
      </c>
      <c r="W222" s="14">
        <f t="shared" si="133"/>
        <v>10706.704318876909</v>
      </c>
      <c r="X222" s="188">
        <f t="shared" si="133"/>
        <v>10995.398695143384</v>
      </c>
      <c r="Y222" s="159">
        <f t="shared" si="133"/>
        <v>11149.090454037119</v>
      </c>
      <c r="Z222" s="159">
        <f t="shared" si="133"/>
        <v>11258.33250365132</v>
      </c>
      <c r="AA222" s="159">
        <f t="shared" si="133"/>
        <v>11513.357933427313</v>
      </c>
      <c r="AB222" s="159">
        <f t="shared" si="133"/>
        <v>11661.772007309883</v>
      </c>
      <c r="AC222" s="159">
        <f t="shared" si="133"/>
        <v>11614.395517140551</v>
      </c>
      <c r="AD222" s="159">
        <f t="shared" si="133"/>
        <v>11803.41660182245</v>
      </c>
      <c r="AE222" s="159">
        <f t="shared" si="133"/>
        <v>11818.001981588393</v>
      </c>
      <c r="AF222" s="159">
        <f t="shared" si="133"/>
        <v>11842.984761999447</v>
      </c>
      <c r="AG222" s="159">
        <f t="shared" si="133"/>
        <v>11818.18546549623</v>
      </c>
      <c r="AH222" s="188">
        <f t="shared" si="133"/>
        <v>11647.106193349075</v>
      </c>
    </row>
    <row r="223" spans="1:34" s="1" customFormat="1">
      <c r="A223" s="1" t="s">
        <v>443</v>
      </c>
      <c r="B223" s="13"/>
      <c r="C223" s="328" t="s">
        <v>0</v>
      </c>
      <c r="D223" s="341">
        <f>D210+D213</f>
        <v>518.74251603631546</v>
      </c>
      <c r="E223" s="341">
        <f t="shared" ref="E223:AH223" si="134">E210+E213</f>
        <v>595.98193532870278</v>
      </c>
      <c r="F223" s="341">
        <f t="shared" si="134"/>
        <v>653.47780247097467</v>
      </c>
      <c r="G223" s="341">
        <f t="shared" si="134"/>
        <v>810.49946523538404</v>
      </c>
      <c r="H223" s="405">
        <f>H210+H213</f>
        <v>642.28654300510232</v>
      </c>
      <c r="I223" s="15">
        <f t="shared" si="134"/>
        <v>835.51162761200067</v>
      </c>
      <c r="J223" s="15">
        <f t="shared" si="134"/>
        <v>1037.3839740465223</v>
      </c>
      <c r="K223" s="15">
        <f t="shared" si="134"/>
        <v>1333.6606680029709</v>
      </c>
      <c r="L223" s="15">
        <f t="shared" si="134"/>
        <v>1746.1728132647552</v>
      </c>
      <c r="M223" s="15">
        <f t="shared" si="134"/>
        <v>2253.8710343120229</v>
      </c>
      <c r="N223" s="191">
        <f t="shared" si="134"/>
        <v>2866.2285240859637</v>
      </c>
      <c r="O223" s="15">
        <f t="shared" si="134"/>
        <v>3020.152023643117</v>
      </c>
      <c r="P223" s="15">
        <f t="shared" si="134"/>
        <v>3140.3930631989783</v>
      </c>
      <c r="Q223" s="15">
        <f t="shared" si="134"/>
        <v>3285.5799602389243</v>
      </c>
      <c r="R223" s="15">
        <f t="shared" si="134"/>
        <v>3463.0975425263596</v>
      </c>
      <c r="S223" s="15">
        <f t="shared" si="134"/>
        <v>3663.3232518601062</v>
      </c>
      <c r="T223" s="15">
        <f t="shared" si="134"/>
        <v>3804.2852852901383</v>
      </c>
      <c r="U223" s="15">
        <f t="shared" si="134"/>
        <v>4087.8889969907677</v>
      </c>
      <c r="V223" s="15">
        <f t="shared" si="134"/>
        <v>4392.8363019209355</v>
      </c>
      <c r="W223" s="15">
        <f t="shared" si="134"/>
        <v>4563.2243195702022</v>
      </c>
      <c r="X223" s="191">
        <f t="shared" si="134"/>
        <v>4890.0419387545408</v>
      </c>
      <c r="Y223" s="131">
        <f t="shared" si="134"/>
        <v>5024.6001342088366</v>
      </c>
      <c r="Z223" s="131">
        <f t="shared" si="134"/>
        <v>5141.3185568364424</v>
      </c>
      <c r="AA223" s="131">
        <f t="shared" si="134"/>
        <v>5326.683046068616</v>
      </c>
      <c r="AB223" s="131">
        <f t="shared" si="134"/>
        <v>5466.3970026736852</v>
      </c>
      <c r="AC223" s="131">
        <f t="shared" si="134"/>
        <v>5516.5419449408128</v>
      </c>
      <c r="AD223" s="131">
        <f t="shared" si="134"/>
        <v>5679.39058517585</v>
      </c>
      <c r="AE223" s="131">
        <f t="shared" si="134"/>
        <v>5760.9232066996738</v>
      </c>
      <c r="AF223" s="131">
        <f t="shared" si="134"/>
        <v>5848.4198737112774</v>
      </c>
      <c r="AG223" s="131">
        <f t="shared" si="134"/>
        <v>5912.1807199952564</v>
      </c>
      <c r="AH223" s="191">
        <f t="shared" si="134"/>
        <v>5902.9971150255406</v>
      </c>
    </row>
    <row r="224" spans="1:34">
      <c r="A224" t="s">
        <v>446</v>
      </c>
      <c r="D224" s="331">
        <f>D210+D213+D216</f>
        <v>2441.2595734415149</v>
      </c>
      <c r="E224" s="331">
        <f t="shared" ref="E224:AH224" si="135">E210+E213+E216</f>
        <v>2298.9503816270471</v>
      </c>
      <c r="F224" s="331">
        <f t="shared" si="135"/>
        <v>2244.0477515500816</v>
      </c>
      <c r="G224" s="331">
        <f t="shared" si="135"/>
        <v>2358.166038693179</v>
      </c>
      <c r="H224" s="402">
        <f t="shared" si="135"/>
        <v>2343.6060488285716</v>
      </c>
      <c r="I224" s="14">
        <f t="shared" si="135"/>
        <v>2525.1002889413148</v>
      </c>
      <c r="J224" s="14">
        <f t="shared" si="135"/>
        <v>2660.0064623020462</v>
      </c>
      <c r="K224" s="14">
        <f t="shared" si="135"/>
        <v>2986.1755873663028</v>
      </c>
      <c r="L224" s="14">
        <f t="shared" si="135"/>
        <v>3411.1190110313164</v>
      </c>
      <c r="M224" s="14">
        <f t="shared" si="135"/>
        <v>3893.1887454921139</v>
      </c>
      <c r="N224" s="188">
        <f t="shared" si="135"/>
        <v>4446.6884836425215</v>
      </c>
      <c r="O224" s="14">
        <f t="shared" si="135"/>
        <v>4600.8143457585211</v>
      </c>
      <c r="P224" s="14">
        <f t="shared" si="135"/>
        <v>4700.367188485563</v>
      </c>
      <c r="Q224" s="14">
        <f t="shared" si="135"/>
        <v>4834.5897316754181</v>
      </c>
      <c r="R224" s="14">
        <f t="shared" si="135"/>
        <v>5012.6324964456253</v>
      </c>
      <c r="S224" s="14">
        <f t="shared" si="135"/>
        <v>5218.9034255408205</v>
      </c>
      <c r="T224" s="14">
        <f t="shared" si="135"/>
        <v>5337.3372032914885</v>
      </c>
      <c r="U224" s="14">
        <f t="shared" si="135"/>
        <v>5651.1654593028106</v>
      </c>
      <c r="V224" s="14">
        <f t="shared" si="135"/>
        <v>5986.956471835254</v>
      </c>
      <c r="W224" s="14">
        <f t="shared" si="135"/>
        <v>6134.5774027478274</v>
      </c>
      <c r="X224" s="188">
        <f t="shared" si="135"/>
        <v>6487.8595573292314</v>
      </c>
      <c r="Y224" s="159">
        <f t="shared" si="135"/>
        <v>6635.9119930064289</v>
      </c>
      <c r="Z224" s="159">
        <f t="shared" si="135"/>
        <v>6759.4581238898809</v>
      </c>
      <c r="AA224" s="159">
        <f t="shared" si="135"/>
        <v>6972.0454726790904</v>
      </c>
      <c r="AB224" s="159">
        <f t="shared" si="135"/>
        <v>7123.5745303736476</v>
      </c>
      <c r="AC224" s="159">
        <f t="shared" si="135"/>
        <v>7157.879196111181</v>
      </c>
      <c r="AD224" s="159">
        <f t="shared" si="135"/>
        <v>7337.8145470784384</v>
      </c>
      <c r="AE224" s="159">
        <f t="shared" si="135"/>
        <v>7411.9294971586514</v>
      </c>
      <c r="AF224" s="159">
        <f t="shared" si="135"/>
        <v>7493.3895272828531</v>
      </c>
      <c r="AG224" s="159">
        <f t="shared" si="135"/>
        <v>7544.2163686268905</v>
      </c>
      <c r="AH224" s="188">
        <f t="shared" si="135"/>
        <v>7502.2494516447978</v>
      </c>
    </row>
    <row r="225" spans="1:34">
      <c r="D225" s="331"/>
      <c r="E225" s="331"/>
      <c r="F225" s="331"/>
      <c r="G225" s="331"/>
      <c r="H225" s="402"/>
      <c r="I225" s="14"/>
      <c r="J225" s="14"/>
      <c r="K225" s="14"/>
      <c r="L225" s="14"/>
      <c r="M225" s="14"/>
      <c r="N225" s="188"/>
      <c r="O225" s="14"/>
      <c r="P225" s="14"/>
      <c r="Q225" s="14"/>
      <c r="R225" s="14"/>
      <c r="S225" s="14"/>
      <c r="T225" s="14"/>
      <c r="U225" s="14"/>
      <c r="V225" s="14"/>
      <c r="W225" s="14"/>
      <c r="X225" s="188"/>
    </row>
    <row r="226" spans="1:34">
      <c r="A226" s="1" t="s">
        <v>453</v>
      </c>
      <c r="D226" s="331">
        <f>D210+D213</f>
        <v>518.74251603631546</v>
      </c>
      <c r="E226" s="331">
        <f>D226+E210+E213</f>
        <v>1114.7244513650182</v>
      </c>
      <c r="F226" s="331">
        <f>E226+F210+F213</f>
        <v>1768.2022538359929</v>
      </c>
      <c r="G226" s="331">
        <f>F226+G210+G213</f>
        <v>2578.7017190713768</v>
      </c>
      <c r="H226" s="402">
        <f t="shared" ref="H226:X226" si="136">G226+H210+H213</f>
        <v>3220.9882620764793</v>
      </c>
      <c r="I226" s="14">
        <f t="shared" si="136"/>
        <v>4056.4998896884799</v>
      </c>
      <c r="J226" s="14">
        <f t="shared" si="136"/>
        <v>5093.8838637350018</v>
      </c>
      <c r="K226" s="14">
        <f t="shared" si="136"/>
        <v>6427.5445317379726</v>
      </c>
      <c r="L226" s="14">
        <f t="shared" si="136"/>
        <v>8173.7173450027276</v>
      </c>
      <c r="M226" s="14">
        <f t="shared" si="136"/>
        <v>10427.588379314751</v>
      </c>
      <c r="N226" s="188">
        <f t="shared" si="136"/>
        <v>13293.816903400715</v>
      </c>
      <c r="O226" s="14">
        <f t="shared" si="136"/>
        <v>16313.968927043832</v>
      </c>
      <c r="P226" s="14">
        <f t="shared" si="136"/>
        <v>19454.361990242811</v>
      </c>
      <c r="Q226" s="14">
        <f t="shared" si="136"/>
        <v>22739.941950481734</v>
      </c>
      <c r="R226" s="14">
        <f t="shared" si="136"/>
        <v>26203.039493008095</v>
      </c>
      <c r="S226" s="14">
        <f t="shared" si="136"/>
        <v>29866.362744868202</v>
      </c>
      <c r="T226" s="14">
        <f t="shared" si="136"/>
        <v>33670.648030158343</v>
      </c>
      <c r="U226" s="14">
        <f t="shared" si="136"/>
        <v>37758.537027149112</v>
      </c>
      <c r="V226" s="14">
        <f t="shared" si="136"/>
        <v>42151.373329070047</v>
      </c>
      <c r="W226" s="14">
        <f t="shared" si="136"/>
        <v>46714.597648640251</v>
      </c>
      <c r="X226" s="188">
        <f t="shared" si="136"/>
        <v>51604.639587394791</v>
      </c>
      <c r="Y226" s="159">
        <f t="shared" ref="Y226:AH226" si="137">X226+Y210+Y213</f>
        <v>56629.239721603626</v>
      </c>
      <c r="Z226" s="159">
        <f t="shared" si="137"/>
        <v>61770.558278440069</v>
      </c>
      <c r="AA226" s="159">
        <f t="shared" si="137"/>
        <v>67097.241324508679</v>
      </c>
      <c r="AB226" s="159">
        <f t="shared" si="137"/>
        <v>72563.638327182358</v>
      </c>
      <c r="AC226" s="159">
        <f t="shared" si="137"/>
        <v>78080.180272123165</v>
      </c>
      <c r="AD226" s="159">
        <f t="shared" si="137"/>
        <v>83759.570857299012</v>
      </c>
      <c r="AE226" s="159">
        <f t="shared" si="137"/>
        <v>89520.494063998689</v>
      </c>
      <c r="AF226" s="159">
        <f t="shared" si="137"/>
        <v>95368.913937709964</v>
      </c>
      <c r="AG226" s="159">
        <f t="shared" si="137"/>
        <v>101281.09465770522</v>
      </c>
      <c r="AH226" s="188">
        <f t="shared" si="137"/>
        <v>107184.09177273077</v>
      </c>
    </row>
    <row r="227" spans="1:34">
      <c r="A227" s="1" t="s">
        <v>454</v>
      </c>
      <c r="D227" s="331">
        <f>D219</f>
        <v>6962.1736549909019</v>
      </c>
      <c r="E227" s="331">
        <f>D227+E219</f>
        <v>13175.65217484397</v>
      </c>
      <c r="F227" s="331">
        <f>E227+F219</f>
        <v>18984.76803949372</v>
      </c>
      <c r="G227" s="331">
        <f t="shared" ref="G227:X227" si="138">F227+G219</f>
        <v>24616.660097726257</v>
      </c>
      <c r="H227" s="402">
        <f t="shared" si="138"/>
        <v>30497.620472052608</v>
      </c>
      <c r="I227" s="14">
        <f t="shared" si="138"/>
        <v>36421.584066435156</v>
      </c>
      <c r="J227" s="14">
        <f t="shared" si="138"/>
        <v>42180.126759430139</v>
      </c>
      <c r="K227" s="14">
        <f t="shared" si="138"/>
        <v>48138.813898456516</v>
      </c>
      <c r="L227" s="14">
        <f t="shared" si="138"/>
        <v>54184.564141726405</v>
      </c>
      <c r="M227" s="14">
        <f t="shared" si="138"/>
        <v>60140.233674763134</v>
      </c>
      <c r="N227" s="188">
        <f t="shared" si="138"/>
        <v>65839.975049726912</v>
      </c>
      <c r="O227" s="14">
        <f t="shared" si="138"/>
        <v>71432.23346570073</v>
      </c>
      <c r="P227" s="14">
        <f t="shared" si="138"/>
        <v>76839.915780807016</v>
      </c>
      <c r="Q227" s="14">
        <f t="shared" si="138"/>
        <v>82095.600273990945</v>
      </c>
      <c r="R227" s="14">
        <f t="shared" si="138"/>
        <v>87238.422590992966</v>
      </c>
      <c r="S227" s="14">
        <f t="shared" si="138"/>
        <v>92281.848396231231</v>
      </c>
      <c r="T227" s="14">
        <f t="shared" si="138"/>
        <v>97128.73810327331</v>
      </c>
      <c r="U227" s="14">
        <f t="shared" si="138"/>
        <v>101945.13697288182</v>
      </c>
      <c r="V227" s="14">
        <f t="shared" si="138"/>
        <v>106724.77778540998</v>
      </c>
      <c r="W227" s="14">
        <f t="shared" si="138"/>
        <v>111296.90470153907</v>
      </c>
      <c r="X227" s="188">
        <f t="shared" si="138"/>
        <v>115804.44383935322</v>
      </c>
      <c r="Y227" s="159">
        <f t="shared" ref="Y227:AH227" si="139">X227+Y219</f>
        <v>120317.62230038391</v>
      </c>
      <c r="Z227" s="159">
        <f t="shared" si="139"/>
        <v>124816.49668014536</v>
      </c>
      <c r="AA227" s="159">
        <f t="shared" si="139"/>
        <v>129357.80914089357</v>
      </c>
      <c r="AB227" s="159">
        <f t="shared" si="139"/>
        <v>133896.00661782981</v>
      </c>
      <c r="AC227" s="159">
        <f t="shared" si="139"/>
        <v>138352.52293885918</v>
      </c>
      <c r="AD227" s="159">
        <f t="shared" si="139"/>
        <v>142818.12499360318</v>
      </c>
      <c r="AE227" s="159">
        <f t="shared" si="139"/>
        <v>147224.19747803293</v>
      </c>
      <c r="AF227" s="159">
        <f t="shared" si="139"/>
        <v>151573.79271274953</v>
      </c>
      <c r="AG227" s="159">
        <f t="shared" si="139"/>
        <v>155847.76180961888</v>
      </c>
      <c r="AH227" s="188">
        <f t="shared" si="139"/>
        <v>159992.61855132316</v>
      </c>
    </row>
    <row r="228" spans="1:34">
      <c r="A228" s="1" t="s">
        <v>456</v>
      </c>
      <c r="D228" s="331">
        <f t="shared" ref="D228:AH228" si="140">D227-D207</f>
        <v>-120.41834500909772</v>
      </c>
      <c r="E228" s="331">
        <f t="shared" si="140"/>
        <v>-188.65130757810039</v>
      </c>
      <c r="F228" s="331">
        <f t="shared" si="140"/>
        <v>-171.99069676877116</v>
      </c>
      <c r="G228" s="331">
        <f t="shared" si="140"/>
        <v>-226.84842195090096</v>
      </c>
      <c r="H228" s="402">
        <f>H227-H207</f>
        <v>-234.00729931631213</v>
      </c>
      <c r="I228" s="14">
        <f t="shared" si="140"/>
        <v>-323.84400190156157</v>
      </c>
      <c r="J228" s="14">
        <f t="shared" si="140"/>
        <v>-316.63066184170748</v>
      </c>
      <c r="K228" s="14">
        <f t="shared" si="140"/>
        <v>-442.10611948250153</v>
      </c>
      <c r="L228" s="14">
        <f t="shared" si="140"/>
        <v>-725.89323996720486</v>
      </c>
      <c r="M228" s="14">
        <f t="shared" si="140"/>
        <v>-1161.7697167806473</v>
      </c>
      <c r="N228" s="188">
        <f t="shared" si="140"/>
        <v>-1749.3831188613112</v>
      </c>
      <c r="O228" s="14">
        <f t="shared" si="140"/>
        <v>-2383.7132134136045</v>
      </c>
      <c r="P228" s="14">
        <f t="shared" si="140"/>
        <v>-3049.2730742924177</v>
      </c>
      <c r="Q228" s="14">
        <f t="shared" si="140"/>
        <v>-3752.2513184646232</v>
      </c>
      <c r="R228" s="14">
        <f t="shared" si="140"/>
        <v>-4523.696986703857</v>
      </c>
      <c r="S228" s="14">
        <f t="shared" si="140"/>
        <v>-5378.0443959447439</v>
      </c>
      <c r="T228" s="14">
        <f t="shared" si="140"/>
        <v>-6267.1202113673789</v>
      </c>
      <c r="U228" s="14">
        <f t="shared" si="140"/>
        <v>-7281.8970169911045</v>
      </c>
      <c r="V228" s="14">
        <f t="shared" si="140"/>
        <v>-8423.227842873297</v>
      </c>
      <c r="W228" s="14">
        <f t="shared" si="140"/>
        <v>-9612.0113278413628</v>
      </c>
      <c r="X228" s="188">
        <f t="shared" si="140"/>
        <v>-10949.351400748943</v>
      </c>
      <c r="Y228" s="159">
        <f t="shared" si="140"/>
        <v>-12345.928058164965</v>
      </c>
      <c r="Z228" s="159">
        <f t="shared" si="140"/>
        <v>-13792.732584208221</v>
      </c>
      <c r="AA228" s="159">
        <f t="shared" si="140"/>
        <v>-15327.233984383813</v>
      </c>
      <c r="AB228" s="159">
        <f t="shared" si="140"/>
        <v>-16918.891088044824</v>
      </c>
      <c r="AC228" s="159">
        <f t="shared" si="140"/>
        <v>-18513.540351292439</v>
      </c>
      <c r="AD228" s="159">
        <f t="shared" si="140"/>
        <v>-20166.741405459383</v>
      </c>
      <c r="AE228" s="159">
        <f t="shared" si="140"/>
        <v>-21828.215070359642</v>
      </c>
      <c r="AF228" s="159">
        <f t="shared" si="140"/>
        <v>-23519.598231737444</v>
      </c>
      <c r="AG228" s="159">
        <f t="shared" si="140"/>
        <v>-25219.881851673708</v>
      </c>
      <c r="AH228" s="188">
        <f t="shared" si="140"/>
        <v>-26882.617741319351</v>
      </c>
    </row>
    <row r="229" spans="1:34">
      <c r="I229" s="130"/>
      <c r="J229" s="130"/>
      <c r="K229" s="130"/>
      <c r="L229" s="130"/>
      <c r="M229" s="130"/>
      <c r="O229" s="130"/>
      <c r="P229" s="130"/>
      <c r="Q229" s="130"/>
      <c r="R229" s="130"/>
      <c r="S229" s="130"/>
      <c r="T229" s="130"/>
      <c r="U229" s="130"/>
      <c r="V229" s="130"/>
      <c r="W229" s="130"/>
    </row>
    <row r="230" spans="1:34">
      <c r="A230" s="1" t="s">
        <v>412</v>
      </c>
    </row>
    <row r="231" spans="1:34">
      <c r="A231" t="s">
        <v>413</v>
      </c>
      <c r="C231" s="331">
        <f t="shared" ref="C231:AH231" si="141">C210-C191</f>
        <v>0</v>
      </c>
      <c r="D231" s="331">
        <f t="shared" si="141"/>
        <v>0</v>
      </c>
      <c r="E231" s="331">
        <f t="shared" si="141"/>
        <v>0</v>
      </c>
      <c r="F231" s="331">
        <f t="shared" si="141"/>
        <v>0</v>
      </c>
      <c r="G231" s="331">
        <f t="shared" si="141"/>
        <v>0</v>
      </c>
      <c r="H231" s="402">
        <f t="shared" si="141"/>
        <v>0</v>
      </c>
      <c r="I231" s="14">
        <f t="shared" si="141"/>
        <v>0</v>
      </c>
      <c r="J231" s="14">
        <f t="shared" si="141"/>
        <v>0</v>
      </c>
      <c r="K231" s="14">
        <f t="shared" si="141"/>
        <v>0</v>
      </c>
      <c r="L231" s="14">
        <f t="shared" si="141"/>
        <v>0</v>
      </c>
      <c r="M231" s="14">
        <f t="shared" si="141"/>
        <v>0</v>
      </c>
      <c r="N231" s="188">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8">
        <f t="shared" si="141"/>
        <v>0</v>
      </c>
      <c r="Y231" s="159">
        <f t="shared" si="141"/>
        <v>0</v>
      </c>
      <c r="Z231" s="159">
        <f t="shared" si="141"/>
        <v>0</v>
      </c>
      <c r="AA231" s="159">
        <f t="shared" si="141"/>
        <v>0</v>
      </c>
      <c r="AB231" s="159">
        <f t="shared" si="141"/>
        <v>0</v>
      </c>
      <c r="AC231" s="159">
        <f t="shared" si="141"/>
        <v>0</v>
      </c>
      <c r="AD231" s="159">
        <f t="shared" si="141"/>
        <v>0</v>
      </c>
      <c r="AE231" s="159">
        <f t="shared" si="141"/>
        <v>0</v>
      </c>
      <c r="AF231" s="159">
        <f t="shared" si="141"/>
        <v>0</v>
      </c>
      <c r="AG231" s="159">
        <f t="shared" si="141"/>
        <v>0</v>
      </c>
      <c r="AH231" s="188">
        <f t="shared" si="141"/>
        <v>0</v>
      </c>
    </row>
    <row r="232" spans="1:34">
      <c r="A232" t="s">
        <v>414</v>
      </c>
      <c r="C232" s="331">
        <f t="shared" ref="C232:AH232" si="143">C211-C192</f>
        <v>0</v>
      </c>
      <c r="D232" s="331">
        <f t="shared" si="143"/>
        <v>0</v>
      </c>
      <c r="E232" s="331">
        <f t="shared" si="143"/>
        <v>0</v>
      </c>
      <c r="F232" s="331">
        <f t="shared" si="143"/>
        <v>0</v>
      </c>
      <c r="G232" s="331">
        <f t="shared" si="143"/>
        <v>0</v>
      </c>
      <c r="H232" s="402">
        <f t="shared" si="143"/>
        <v>0</v>
      </c>
      <c r="I232" s="14">
        <f t="shared" si="143"/>
        <v>0</v>
      </c>
      <c r="J232" s="14">
        <f t="shared" si="143"/>
        <v>0</v>
      </c>
      <c r="K232" s="14">
        <f t="shared" si="143"/>
        <v>0</v>
      </c>
      <c r="L232" s="14">
        <f t="shared" si="143"/>
        <v>0</v>
      </c>
      <c r="M232" s="14">
        <f t="shared" si="143"/>
        <v>0</v>
      </c>
      <c r="N232" s="188">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8">
        <f t="shared" si="143"/>
        <v>0</v>
      </c>
      <c r="Y232" s="159">
        <f t="shared" si="143"/>
        <v>0</v>
      </c>
      <c r="Z232" s="159">
        <f t="shared" si="143"/>
        <v>0</v>
      </c>
      <c r="AA232" s="159">
        <f t="shared" si="143"/>
        <v>0</v>
      </c>
      <c r="AB232" s="159">
        <f t="shared" si="143"/>
        <v>0</v>
      </c>
      <c r="AC232" s="159">
        <f t="shared" si="143"/>
        <v>0</v>
      </c>
      <c r="AD232" s="159">
        <f t="shared" si="143"/>
        <v>0</v>
      </c>
      <c r="AE232" s="159">
        <f t="shared" si="143"/>
        <v>0</v>
      </c>
      <c r="AF232" s="159">
        <f t="shared" si="143"/>
        <v>0</v>
      </c>
      <c r="AG232" s="159">
        <f t="shared" si="143"/>
        <v>0</v>
      </c>
      <c r="AH232" s="188">
        <f t="shared" si="143"/>
        <v>0</v>
      </c>
    </row>
    <row r="233" spans="1:34">
      <c r="A233" t="s">
        <v>415</v>
      </c>
      <c r="C233" s="331">
        <f t="shared" ref="C233:AH233" si="144">C212-C193</f>
        <v>0</v>
      </c>
      <c r="D233" s="331">
        <f t="shared" si="144"/>
        <v>0</v>
      </c>
      <c r="E233" s="331">
        <f t="shared" si="144"/>
        <v>0</v>
      </c>
      <c r="F233" s="331">
        <f t="shared" si="144"/>
        <v>0</v>
      </c>
      <c r="G233" s="331">
        <f t="shared" si="144"/>
        <v>0</v>
      </c>
      <c r="H233" s="402">
        <f t="shared" si="144"/>
        <v>0</v>
      </c>
      <c r="I233" s="14">
        <f t="shared" si="144"/>
        <v>0</v>
      </c>
      <c r="J233" s="14">
        <f t="shared" si="144"/>
        <v>0</v>
      </c>
      <c r="K233" s="14">
        <f t="shared" si="144"/>
        <v>0</v>
      </c>
      <c r="L233" s="14">
        <f t="shared" si="144"/>
        <v>0</v>
      </c>
      <c r="M233" s="14">
        <f t="shared" si="144"/>
        <v>0</v>
      </c>
      <c r="N233" s="188">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8">
        <f t="shared" si="144"/>
        <v>0</v>
      </c>
      <c r="Y233" s="159">
        <f t="shared" si="144"/>
        <v>0</v>
      </c>
      <c r="Z233" s="159">
        <f t="shared" si="144"/>
        <v>0</v>
      </c>
      <c r="AA233" s="159">
        <f t="shared" si="144"/>
        <v>0</v>
      </c>
      <c r="AB233" s="159">
        <f t="shared" si="144"/>
        <v>0</v>
      </c>
      <c r="AC233" s="159">
        <f t="shared" si="144"/>
        <v>0</v>
      </c>
      <c r="AD233" s="159">
        <f t="shared" si="144"/>
        <v>0</v>
      </c>
      <c r="AE233" s="159">
        <f t="shared" si="144"/>
        <v>0</v>
      </c>
      <c r="AF233" s="159">
        <f t="shared" si="144"/>
        <v>0</v>
      </c>
      <c r="AG233" s="159">
        <f t="shared" si="144"/>
        <v>0</v>
      </c>
      <c r="AH233" s="188">
        <f t="shared" si="144"/>
        <v>0</v>
      </c>
    </row>
    <row r="234" spans="1:34">
      <c r="A234" t="s">
        <v>416</v>
      </c>
      <c r="C234" s="331">
        <f t="shared" ref="C234:AH234" si="145">C213-C194</f>
        <v>-2.7000000000043656E-4</v>
      </c>
      <c r="D234" s="331">
        <f t="shared" si="145"/>
        <v>97.166580354256439</v>
      </c>
      <c r="E234" s="331">
        <f t="shared" si="145"/>
        <v>129.32980102792783</v>
      </c>
      <c r="F234" s="331">
        <f t="shared" si="145"/>
        <v>176.66059949715526</v>
      </c>
      <c r="G234" s="331">
        <f t="shared" si="145"/>
        <v>238.88634863339223</v>
      </c>
      <c r="H234" s="402">
        <f>H213-H194</f>
        <v>-2.7000000000043656E-4</v>
      </c>
      <c r="I234" s="14">
        <f t="shared" si="145"/>
        <v>81.699858087197981</v>
      </c>
      <c r="J234" s="14">
        <f t="shared" si="145"/>
        <v>151.65647837010988</v>
      </c>
      <c r="K234" s="14">
        <f t="shared" si="145"/>
        <v>344.90340899891862</v>
      </c>
      <c r="L234" s="14">
        <f t="shared" si="145"/>
        <v>739.93068506973111</v>
      </c>
      <c r="M234" s="14">
        <f t="shared" si="145"/>
        <v>1241.4008021338125</v>
      </c>
      <c r="N234" s="188">
        <f t="shared" si="145"/>
        <v>1858.5913627635132</v>
      </c>
      <c r="O234" s="14">
        <f t="shared" si="145"/>
        <v>2010.812336745028</v>
      </c>
      <c r="P234" s="14">
        <f t="shared" si="145"/>
        <v>2140.8183795348677</v>
      </c>
      <c r="Q234" s="14">
        <f t="shared" si="145"/>
        <v>2292.5443916163777</v>
      </c>
      <c r="R234" s="14">
        <f t="shared" si="145"/>
        <v>2472.1844737413157</v>
      </c>
      <c r="S234" s="14">
        <f t="shared" si="145"/>
        <v>2672.0554984648948</v>
      </c>
      <c r="T234" s="14">
        <f t="shared" si="145"/>
        <v>2822.5124604896478</v>
      </c>
      <c r="U234" s="14">
        <f t="shared" si="145"/>
        <v>3097.5627056955054</v>
      </c>
      <c r="V234" s="14">
        <f t="shared" si="145"/>
        <v>3389.8430943885533</v>
      </c>
      <c r="W234" s="14">
        <f t="shared" si="145"/>
        <v>3571.5836603528392</v>
      </c>
      <c r="X234" s="188">
        <f t="shared" si="145"/>
        <v>3892.5241445262209</v>
      </c>
      <c r="Y234" s="159">
        <f t="shared" si="145"/>
        <v>4020.5763393867728</v>
      </c>
      <c r="Z234" s="159">
        <f t="shared" si="145"/>
        <v>4134.9293728017983</v>
      </c>
      <c r="AA234" s="159">
        <f t="shared" si="145"/>
        <v>4310.0424553895555</v>
      </c>
      <c r="AB234" s="159">
        <f t="shared" si="145"/>
        <v>4445.5297449560085</v>
      </c>
      <c r="AC234" s="159">
        <f t="shared" si="145"/>
        <v>4499.9164408423658</v>
      </c>
      <c r="AD234" s="159">
        <f t="shared" si="145"/>
        <v>4654.0025777775245</v>
      </c>
      <c r="AE234" s="159">
        <f t="shared" si="145"/>
        <v>4734.1447421692783</v>
      </c>
      <c r="AF234" s="159">
        <f t="shared" si="145"/>
        <v>4823.0607517992448</v>
      </c>
      <c r="AG234" s="159">
        <f t="shared" si="145"/>
        <v>4890.8212491087988</v>
      </c>
      <c r="AH234" s="188">
        <f t="shared" si="145"/>
        <v>4890.7065729248225</v>
      </c>
    </row>
    <row r="235" spans="1:34">
      <c r="A235" t="s">
        <v>417</v>
      </c>
      <c r="C235" s="331">
        <f t="shared" ref="C235:AH235" si="146">C214-C195</f>
        <v>0</v>
      </c>
      <c r="D235" s="331">
        <f t="shared" si="146"/>
        <v>51.140488175682151</v>
      </c>
      <c r="E235" s="331">
        <f t="shared" si="146"/>
        <v>68.068508789470428</v>
      </c>
      <c r="F235" s="331">
        <f t="shared" si="146"/>
        <v>92.979476654552172</v>
      </c>
      <c r="G235" s="331">
        <f t="shared" si="146"/>
        <v>125.72990454309468</v>
      </c>
      <c r="H235" s="402">
        <f t="shared" si="146"/>
        <v>0</v>
      </c>
      <c r="I235" s="14">
        <f t="shared" si="146"/>
        <v>43.00009514706511</v>
      </c>
      <c r="J235" s="14">
        <f t="shared" si="146"/>
        <v>79.819395530587826</v>
      </c>
      <c r="K235" s="14">
        <f t="shared" si="146"/>
        <v>181.52835094170177</v>
      </c>
      <c r="L235" s="14">
        <f t="shared" si="146"/>
        <v>389.4374952669499</v>
      </c>
      <c r="M235" s="14">
        <f t="shared" si="146"/>
        <v>653.36919067365386</v>
      </c>
      <c r="N235" s="188">
        <f t="shared" si="146"/>
        <v>978.20638462102954</v>
      </c>
      <c r="O235" s="14">
        <f t="shared" si="146"/>
        <v>1058.3227084241248</v>
      </c>
      <c r="P235" s="14">
        <f t="shared" si="146"/>
        <v>1126.7469584287919</v>
      </c>
      <c r="Q235" s="14">
        <f t="shared" si="146"/>
        <v>1206.6027747366188</v>
      </c>
      <c r="R235" s="14">
        <f t="shared" si="146"/>
        <v>1301.1502114163163</v>
      </c>
      <c r="S235" s="14">
        <f t="shared" si="146"/>
        <v>1406.3455158241018</v>
      </c>
      <c r="T235" s="14">
        <f t="shared" si="146"/>
        <v>1485.5334104535998</v>
      </c>
      <c r="U235" s="14">
        <f t="shared" si="146"/>
        <v>1630.2967374001853</v>
      </c>
      <c r="V235" s="14">
        <f t="shared" si="146"/>
        <v>1784.1285639290254</v>
      </c>
      <c r="W235" s="14">
        <f t="shared" si="146"/>
        <v>1879.7815174134362</v>
      </c>
      <c r="X235" s="188">
        <f t="shared" si="146"/>
        <v>2048.697607805731</v>
      </c>
      <c r="Y235" s="159">
        <f t="shared" si="146"/>
        <v>2116.0935188141066</v>
      </c>
      <c r="Z235" s="159">
        <f t="shared" si="146"/>
        <v>2176.2793423352423</v>
      </c>
      <c r="AA235" s="159">
        <f t="shared" si="146"/>
        <v>2268.4441487862159</v>
      </c>
      <c r="AB235" s="159">
        <f t="shared" si="146"/>
        <v>2339.7532682616475</v>
      </c>
      <c r="AC235" s="159">
        <f t="shared" si="146"/>
        <v>2368.3778521157942</v>
      </c>
      <c r="AD235" s="159">
        <f t="shared" si="146"/>
        <v>2449.475841890031</v>
      </c>
      <c r="AE235" s="159">
        <f t="shared" si="146"/>
        <v>2491.6559399104085</v>
      </c>
      <c r="AF235" s="159">
        <f t="shared" si="146"/>
        <v>2538.4538520551559</v>
      </c>
      <c r="AG235" s="159">
        <f t="shared" si="146"/>
        <v>2574.1172806838431</v>
      </c>
      <c r="AH235" s="188">
        <f t="shared" si="146"/>
        <v>2574.0569235023918</v>
      </c>
    </row>
    <row r="236" spans="1:34">
      <c r="A236" t="s">
        <v>418</v>
      </c>
      <c r="C236" s="331">
        <f t="shared" ref="C236:AH236" si="147">C215-C196</f>
        <v>-2.7000000000043656E-4</v>
      </c>
      <c r="D236" s="331">
        <f t="shared" si="147"/>
        <v>46.026092178574288</v>
      </c>
      <c r="E236" s="331">
        <f t="shared" si="147"/>
        <v>61.261292238457315</v>
      </c>
      <c r="F236" s="331">
        <f t="shared" si="147"/>
        <v>83.681122842603145</v>
      </c>
      <c r="G236" s="331">
        <f t="shared" si="147"/>
        <v>113.15644409029761</v>
      </c>
      <c r="H236" s="402">
        <f>H215-H196</f>
        <v>-2.7000000000043656E-4</v>
      </c>
      <c r="I236" s="14">
        <f t="shared" si="147"/>
        <v>38.699762940132757</v>
      </c>
      <c r="J236" s="14">
        <f t="shared" si="147"/>
        <v>71.837082839522111</v>
      </c>
      <c r="K236" s="14">
        <f t="shared" si="147"/>
        <v>163.37505805721673</v>
      </c>
      <c r="L236" s="14">
        <f t="shared" si="147"/>
        <v>350.49318980278122</v>
      </c>
      <c r="M236" s="14">
        <f t="shared" si="147"/>
        <v>588.03161146015839</v>
      </c>
      <c r="N236" s="188">
        <f t="shared" si="147"/>
        <v>880.38497814248342</v>
      </c>
      <c r="O236" s="14">
        <f t="shared" si="147"/>
        <v>952.48962832090319</v>
      </c>
      <c r="P236" s="14">
        <f t="shared" si="147"/>
        <v>1014.0714211060757</v>
      </c>
      <c r="Q236" s="14">
        <f t="shared" si="147"/>
        <v>1085.9416168797584</v>
      </c>
      <c r="R236" s="14">
        <f t="shared" si="147"/>
        <v>1171.0342623249994</v>
      </c>
      <c r="S236" s="14">
        <f t="shared" si="147"/>
        <v>1265.7099826407934</v>
      </c>
      <c r="T236" s="14">
        <f t="shared" si="147"/>
        <v>1336.979050036048</v>
      </c>
      <c r="U236" s="14">
        <f t="shared" si="147"/>
        <v>1467.2659682953199</v>
      </c>
      <c r="V236" s="14">
        <f t="shared" si="147"/>
        <v>1605.7145304595276</v>
      </c>
      <c r="W236" s="14">
        <f t="shared" si="147"/>
        <v>1691.8021429394028</v>
      </c>
      <c r="X236" s="188">
        <f t="shared" si="147"/>
        <v>1843.8265367204892</v>
      </c>
      <c r="Y236" s="159">
        <f t="shared" si="147"/>
        <v>1904.4828205726656</v>
      </c>
      <c r="Z236" s="159">
        <f t="shared" si="147"/>
        <v>1958.6500304665572</v>
      </c>
      <c r="AA236" s="159">
        <f t="shared" si="147"/>
        <v>2041.5983066033393</v>
      </c>
      <c r="AB236" s="159">
        <f t="shared" si="147"/>
        <v>2105.776476694361</v>
      </c>
      <c r="AC236" s="159">
        <f t="shared" si="147"/>
        <v>2131.5385887265711</v>
      </c>
      <c r="AD236" s="159">
        <f t="shared" si="147"/>
        <v>2204.5267358874939</v>
      </c>
      <c r="AE236" s="159">
        <f t="shared" si="147"/>
        <v>2242.4888022588698</v>
      </c>
      <c r="AF236" s="159">
        <f t="shared" si="147"/>
        <v>2284.6068997440889</v>
      </c>
      <c r="AG236" s="159">
        <f t="shared" si="147"/>
        <v>2316.7039684249553</v>
      </c>
      <c r="AH236" s="188">
        <f t="shared" si="147"/>
        <v>2316.6496494224298</v>
      </c>
    </row>
    <row r="237" spans="1:34">
      <c r="A237" t="s">
        <v>419</v>
      </c>
      <c r="C237" s="331">
        <f t="shared" ref="C237:AH237" si="148">C216-C197</f>
        <v>0</v>
      </c>
      <c r="D237" s="331">
        <f t="shared" si="148"/>
        <v>64.47190740519909</v>
      </c>
      <c r="E237" s="331">
        <f t="shared" si="148"/>
        <v>-19.855663113693481</v>
      </c>
      <c r="F237" s="331">
        <f t="shared" si="148"/>
        <v>-155.24711336733935</v>
      </c>
      <c r="G237" s="331">
        <f t="shared" si="148"/>
        <v>-142.94622559629738</v>
      </c>
      <c r="H237" s="402">
        <f t="shared" si="148"/>
        <v>0</v>
      </c>
      <c r="I237" s="14">
        <f t="shared" si="148"/>
        <v>141.64514345472503</v>
      </c>
      <c r="J237" s="14">
        <f t="shared" si="148"/>
        <v>55.287633086805499</v>
      </c>
      <c r="K237" s="14">
        <f t="shared" si="148"/>
        <v>79.163322907623296</v>
      </c>
      <c r="L237" s="14">
        <f t="shared" si="148"/>
        <v>88.485805354804597</v>
      </c>
      <c r="M237" s="14">
        <f t="shared" si="148"/>
        <v>59.747214733916508</v>
      </c>
      <c r="N237" s="188">
        <f t="shared" si="148"/>
        <v>0</v>
      </c>
      <c r="O237" s="14">
        <f t="shared" si="148"/>
        <v>0.2022811967403868</v>
      </c>
      <c r="P237" s="14">
        <f t="shared" si="148"/>
        <v>-20.485990709509906</v>
      </c>
      <c r="Q237" s="14">
        <f t="shared" si="148"/>
        <v>-45.629311665905107</v>
      </c>
      <c r="R237" s="14">
        <f t="shared" si="148"/>
        <v>-45.104091644417167</v>
      </c>
      <c r="S237" s="14">
        <f t="shared" si="148"/>
        <v>-39.059209731407236</v>
      </c>
      <c r="T237" s="14">
        <f t="shared" si="148"/>
        <v>-61.588103568931047</v>
      </c>
      <c r="U237" s="14">
        <f t="shared" si="148"/>
        <v>-33.461716957580393</v>
      </c>
      <c r="V237" s="14">
        <f t="shared" si="148"/>
        <v>-4.7123255363333101</v>
      </c>
      <c r="W237" s="14">
        <f t="shared" si="148"/>
        <v>-27.479750121464349</v>
      </c>
      <c r="X237" s="188">
        <f t="shared" si="148"/>
        <v>-1.0151771856835694</v>
      </c>
      <c r="Y237" s="159">
        <f t="shared" si="148"/>
        <v>12.479025498502097</v>
      </c>
      <c r="Z237" s="159">
        <f t="shared" si="148"/>
        <v>19.306658676917777</v>
      </c>
      <c r="AA237" s="159">
        <f t="shared" si="148"/>
        <v>46.529968698538141</v>
      </c>
      <c r="AB237" s="159">
        <f t="shared" si="148"/>
        <v>58.345069788025739</v>
      </c>
      <c r="AC237" s="159">
        <f t="shared" si="148"/>
        <v>42.504793258431846</v>
      </c>
      <c r="AD237" s="159">
        <f t="shared" si="148"/>
        <v>58.072912801614166</v>
      </c>
      <c r="AE237" s="159">
        <f t="shared" si="148"/>
        <v>50.65515999589752</v>
      </c>
      <c r="AF237" s="159">
        <f t="shared" si="148"/>
        <v>44.618523108495083</v>
      </c>
      <c r="AG237" s="159">
        <f t="shared" si="148"/>
        <v>31.684599530658943</v>
      </c>
      <c r="AH237" s="188">
        <f t="shared" si="148"/>
        <v>-1.0990878688705834</v>
      </c>
    </row>
    <row r="238" spans="1:34">
      <c r="A238" t="s">
        <v>420</v>
      </c>
      <c r="C238" s="331">
        <f t="shared" ref="C238:AH238" si="149">C217-C198</f>
        <v>0</v>
      </c>
      <c r="D238" s="331">
        <f t="shared" si="149"/>
        <v>33.932582844841704</v>
      </c>
      <c r="E238" s="331">
        <f t="shared" si="149"/>
        <v>-10.450349007207137</v>
      </c>
      <c r="F238" s="331">
        <f t="shared" si="149"/>
        <v>-81.709007035441687</v>
      </c>
      <c r="G238" s="331">
        <f t="shared" si="149"/>
        <v>-75.234855576998598</v>
      </c>
      <c r="H238" s="402">
        <f t="shared" si="149"/>
        <v>0</v>
      </c>
      <c r="I238" s="14">
        <f t="shared" si="149"/>
        <v>74.550075502486834</v>
      </c>
      <c r="J238" s="14">
        <f t="shared" si="149"/>
        <v>29.09875425621351</v>
      </c>
      <c r="K238" s="14">
        <f t="shared" si="149"/>
        <v>41.664906793485898</v>
      </c>
      <c r="L238" s="14">
        <f t="shared" si="149"/>
        <v>46.57147650252864</v>
      </c>
      <c r="M238" s="14">
        <f t="shared" si="149"/>
        <v>31.44590249153498</v>
      </c>
      <c r="N238" s="188">
        <f t="shared" si="149"/>
        <v>0</v>
      </c>
      <c r="O238" s="14">
        <f t="shared" si="149"/>
        <v>0.10646378775822996</v>
      </c>
      <c r="P238" s="14">
        <f t="shared" si="149"/>
        <v>-10.782100373426374</v>
      </c>
      <c r="Q238" s="14">
        <f t="shared" si="149"/>
        <v>-24.015427192581569</v>
      </c>
      <c r="R238" s="14">
        <f t="shared" si="149"/>
        <v>-23.738995602324735</v>
      </c>
      <c r="S238" s="14">
        <f t="shared" si="149"/>
        <v>-20.557478806003814</v>
      </c>
      <c r="T238" s="14">
        <f t="shared" si="149"/>
        <v>-32.414791352069074</v>
      </c>
      <c r="U238" s="14">
        <f t="shared" si="149"/>
        <v>-17.611429977673765</v>
      </c>
      <c r="V238" s="14">
        <f t="shared" si="149"/>
        <v>-2.4801713349122565</v>
      </c>
      <c r="W238" s="14">
        <f t="shared" si="149"/>
        <v>-14.463026379718031</v>
      </c>
      <c r="X238" s="188">
        <f t="shared" si="149"/>
        <v>-0.5343037819386609</v>
      </c>
      <c r="Y238" s="159">
        <f t="shared" si="149"/>
        <v>6.5679081571064444</v>
      </c>
      <c r="Z238" s="159">
        <f t="shared" si="149"/>
        <v>10.161399303640906</v>
      </c>
      <c r="AA238" s="159">
        <f t="shared" si="149"/>
        <v>24.489457209756893</v>
      </c>
      <c r="AB238" s="159">
        <f t="shared" si="149"/>
        <v>30.707931467381968</v>
      </c>
      <c r="AC238" s="159">
        <f t="shared" si="149"/>
        <v>22.370943820227239</v>
      </c>
      <c r="AD238" s="159">
        <f t="shared" si="149"/>
        <v>30.564690948218072</v>
      </c>
      <c r="AE238" s="159">
        <f t="shared" si="149"/>
        <v>26.660610524156596</v>
      </c>
      <c r="AF238" s="159">
        <f t="shared" si="149"/>
        <v>23.48343321499749</v>
      </c>
      <c r="AG238" s="159">
        <f t="shared" si="149"/>
        <v>16.676105016136376</v>
      </c>
      <c r="AH238" s="188">
        <f t="shared" si="149"/>
        <v>-0.57846729940547448</v>
      </c>
    </row>
    <row r="239" spans="1:34">
      <c r="A239" t="s">
        <v>421</v>
      </c>
      <c r="C239" s="331">
        <f t="shared" ref="C239:AH239" si="150">C218-C199</f>
        <v>0</v>
      </c>
      <c r="D239" s="331">
        <f t="shared" si="150"/>
        <v>30.5393245603575</v>
      </c>
      <c r="E239" s="331">
        <f t="shared" si="150"/>
        <v>-9.4053141064863439</v>
      </c>
      <c r="F239" s="331">
        <f t="shared" si="150"/>
        <v>-73.538106331897552</v>
      </c>
      <c r="G239" s="331">
        <f t="shared" si="150"/>
        <v>-67.711370019298784</v>
      </c>
      <c r="H239" s="402">
        <f t="shared" si="150"/>
        <v>0</v>
      </c>
      <c r="I239" s="14">
        <f t="shared" si="150"/>
        <v>67.095067952238196</v>
      </c>
      <c r="J239" s="14">
        <f t="shared" si="150"/>
        <v>26.188878830592103</v>
      </c>
      <c r="K239" s="14">
        <f t="shared" si="150"/>
        <v>37.498416114137399</v>
      </c>
      <c r="L239" s="14">
        <f t="shared" si="150"/>
        <v>41.914328852275844</v>
      </c>
      <c r="M239" s="14">
        <f t="shared" si="150"/>
        <v>28.301312242381414</v>
      </c>
      <c r="N239" s="188">
        <f t="shared" si="150"/>
        <v>0</v>
      </c>
      <c r="O239" s="14">
        <f t="shared" si="150"/>
        <v>9.5817408982384222E-2</v>
      </c>
      <c r="P239" s="14">
        <f t="shared" si="150"/>
        <v>-9.7038903360836457</v>
      </c>
      <c r="Q239" s="14">
        <f t="shared" si="150"/>
        <v>-21.613884473323537</v>
      </c>
      <c r="R239" s="14">
        <f t="shared" si="150"/>
        <v>-21.365096042092432</v>
      </c>
      <c r="S239" s="14">
        <f t="shared" si="150"/>
        <v>-18.501730925403535</v>
      </c>
      <c r="T239" s="14">
        <f t="shared" si="150"/>
        <v>-29.173312216862087</v>
      </c>
      <c r="U239" s="14">
        <f t="shared" si="150"/>
        <v>-15.8502869799064</v>
      </c>
      <c r="V239" s="14">
        <f t="shared" si="150"/>
        <v>-2.2321542014210536</v>
      </c>
      <c r="W239" s="14">
        <f t="shared" si="150"/>
        <v>-13.016723741746318</v>
      </c>
      <c r="X239" s="188">
        <f t="shared" si="150"/>
        <v>-0.48087340374479481</v>
      </c>
      <c r="Y239" s="159">
        <f t="shared" si="150"/>
        <v>5.9111173413957658</v>
      </c>
      <c r="Z239" s="159">
        <f t="shared" si="150"/>
        <v>9.1452593732767582</v>
      </c>
      <c r="AA239" s="159">
        <f t="shared" si="150"/>
        <v>22.040511488781249</v>
      </c>
      <c r="AB239" s="159">
        <f t="shared" si="150"/>
        <v>27.637138320643658</v>
      </c>
      <c r="AC239" s="159">
        <f t="shared" si="150"/>
        <v>20.133849438204493</v>
      </c>
      <c r="AD239" s="159">
        <f t="shared" si="150"/>
        <v>27.508221853396208</v>
      </c>
      <c r="AE239" s="159">
        <f t="shared" si="150"/>
        <v>23.994549471740925</v>
      </c>
      <c r="AF239" s="159">
        <f t="shared" si="150"/>
        <v>21.135089893497707</v>
      </c>
      <c r="AG239" s="159">
        <f t="shared" si="150"/>
        <v>15.008494514522681</v>
      </c>
      <c r="AH239" s="188">
        <f t="shared" si="150"/>
        <v>-0.52062056946499524</v>
      </c>
    </row>
    <row r="240" spans="1:34">
      <c r="A240" t="s">
        <v>393</v>
      </c>
      <c r="C240" s="331">
        <f>C219-C200</f>
        <v>0.8360000000011496</v>
      </c>
      <c r="D240" s="331">
        <f t="shared" ref="D240:AH240" si="151">D219-D200+D249+D252</f>
        <v>-120.41834500909772</v>
      </c>
      <c r="E240" s="331">
        <f t="shared" si="151"/>
        <v>-68.232962569003575</v>
      </c>
      <c r="F240" s="331">
        <f t="shared" si="151"/>
        <v>16.660610809329228</v>
      </c>
      <c r="G240" s="331">
        <f t="shared" si="151"/>
        <v>-54.857725182128888</v>
      </c>
      <c r="H240" s="402">
        <f t="shared" si="151"/>
        <v>-7.1588773654148099</v>
      </c>
      <c r="I240" s="14">
        <f t="shared" si="151"/>
        <v>-89.836702585244893</v>
      </c>
      <c r="J240" s="14">
        <f t="shared" si="151"/>
        <v>7.2133400598522712</v>
      </c>
      <c r="K240" s="14">
        <f t="shared" si="151"/>
        <v>-125.47545764079223</v>
      </c>
      <c r="L240" s="14">
        <f t="shared" si="151"/>
        <v>-283.78712048470243</v>
      </c>
      <c r="M240" s="14">
        <f t="shared" si="151"/>
        <v>-435.87647681343969</v>
      </c>
      <c r="N240" s="188">
        <f t="shared" si="151"/>
        <v>-587.61340208066849</v>
      </c>
      <c r="O240" s="14">
        <f t="shared" si="151"/>
        <v>-634.33009455227966</v>
      </c>
      <c r="P240" s="14">
        <f t="shared" si="151"/>
        <v>-665.55986087882411</v>
      </c>
      <c r="Q240" s="14">
        <f t="shared" si="151"/>
        <v>-702.97824417221091</v>
      </c>
      <c r="R240" s="14">
        <f t="shared" si="151"/>
        <v>-771.44566823923651</v>
      </c>
      <c r="S240" s="14">
        <f t="shared" si="151"/>
        <v>-854.34740924088601</v>
      </c>
      <c r="T240" s="14">
        <f t="shared" si="151"/>
        <v>-889.07581542264052</v>
      </c>
      <c r="U240" s="14">
        <f t="shared" si="151"/>
        <v>-1014.7768056237273</v>
      </c>
      <c r="V240" s="14">
        <f t="shared" si="151"/>
        <v>-1141.3308258822017</v>
      </c>
      <c r="W240" s="14">
        <f t="shared" si="151"/>
        <v>-1188.7834849680721</v>
      </c>
      <c r="X240" s="188">
        <f t="shared" si="151"/>
        <v>-1337.3400729075756</v>
      </c>
      <c r="Y240" s="159">
        <f t="shared" si="151"/>
        <v>-1396.5766574160352</v>
      </c>
      <c r="Z240" s="159">
        <f t="shared" si="151"/>
        <v>-1446.8045260432609</v>
      </c>
      <c r="AA240" s="159">
        <f t="shared" si="151"/>
        <v>-1534.5014001755862</v>
      </c>
      <c r="AB240" s="159">
        <f t="shared" si="151"/>
        <v>-1591.6571036610076</v>
      </c>
      <c r="AC240" s="159">
        <f t="shared" si="151"/>
        <v>-1594.6492632476184</v>
      </c>
      <c r="AD240" s="159">
        <f t="shared" si="151"/>
        <v>-1653.2010541669461</v>
      </c>
      <c r="AE240" s="159">
        <f t="shared" si="151"/>
        <v>-1661.4736649002571</v>
      </c>
      <c r="AF240" s="159">
        <f t="shared" si="151"/>
        <v>-1691.3831613778193</v>
      </c>
      <c r="AG240" s="159">
        <f t="shared" si="151"/>
        <v>-1700.2836199362764</v>
      </c>
      <c r="AH240" s="188">
        <f t="shared" si="151"/>
        <v>-1662.7358896456581</v>
      </c>
    </row>
    <row r="241" spans="1:34">
      <c r="A241" t="s">
        <v>422</v>
      </c>
      <c r="C241" s="331">
        <f>C220-C201</f>
        <v>0.44000000000005457</v>
      </c>
      <c r="D241" s="331">
        <f t="shared" ref="D241:AH241" si="152">D220-D201+D250+D253</f>
        <v>-63.378076320578202</v>
      </c>
      <c r="E241" s="331">
        <f t="shared" si="152"/>
        <v>-35.91208556263382</v>
      </c>
      <c r="F241" s="331">
        <f t="shared" si="152"/>
        <v>8.768742531226053</v>
      </c>
      <c r="G241" s="331">
        <f t="shared" si="152"/>
        <v>-28.872486937962549</v>
      </c>
      <c r="H241" s="402">
        <f t="shared" si="152"/>
        <v>-3.7678301923242543</v>
      </c>
      <c r="I241" s="14">
        <f t="shared" si="152"/>
        <v>-47.28247504486535</v>
      </c>
      <c r="J241" s="14">
        <f t="shared" si="152"/>
        <v>3.7964947683431092</v>
      </c>
      <c r="K241" s="14">
        <f t="shared" si="152"/>
        <v>-66.039714547785934</v>
      </c>
      <c r="L241" s="14">
        <f t="shared" si="152"/>
        <v>-149.36164236036984</v>
      </c>
      <c r="M241" s="14">
        <f t="shared" si="152"/>
        <v>-229.40867200707362</v>
      </c>
      <c r="N241" s="188">
        <f t="shared" si="152"/>
        <v>-309.270211621405</v>
      </c>
      <c r="O241" s="14">
        <f t="shared" si="152"/>
        <v>-333.85794450119965</v>
      </c>
      <c r="P241" s="14">
        <f t="shared" si="152"/>
        <v>-350.29466362043377</v>
      </c>
      <c r="Q241" s="14">
        <f t="shared" si="152"/>
        <v>-369.9885495643216</v>
      </c>
      <c r="R241" s="14">
        <f t="shared" si="152"/>
        <v>-406.02403591538769</v>
      </c>
      <c r="S241" s="14">
        <f t="shared" si="152"/>
        <v>-449.65653117941383</v>
      </c>
      <c r="T241" s="14">
        <f t="shared" si="152"/>
        <v>-467.9346396961264</v>
      </c>
      <c r="U241" s="14">
        <f t="shared" si="152"/>
        <v>-534.09305559143559</v>
      </c>
      <c r="V241" s="14">
        <f t="shared" si="152"/>
        <v>-600.70043467484265</v>
      </c>
      <c r="W241" s="14">
        <f t="shared" si="152"/>
        <v>-625.67551840424858</v>
      </c>
      <c r="X241" s="188">
        <f t="shared" si="152"/>
        <v>-703.86319626714521</v>
      </c>
      <c r="Y241" s="159">
        <f t="shared" si="152"/>
        <v>-735.04034600843988</v>
      </c>
      <c r="Z241" s="159">
        <f t="shared" si="152"/>
        <v>-761.47606633855821</v>
      </c>
      <c r="AA241" s="159">
        <f t="shared" si="152"/>
        <v>-807.63231588188728</v>
      </c>
      <c r="AB241" s="159">
        <f t="shared" si="152"/>
        <v>-837.71426508474087</v>
      </c>
      <c r="AC241" s="159">
        <f t="shared" si="152"/>
        <v>-839.28908591979916</v>
      </c>
      <c r="AD241" s="159">
        <f t="shared" si="152"/>
        <v>-870.10581798260318</v>
      </c>
      <c r="AE241" s="159">
        <f t="shared" si="152"/>
        <v>-874.45982363171424</v>
      </c>
      <c r="AF241" s="159">
        <f t="shared" si="152"/>
        <v>-890.20166388306325</v>
      </c>
      <c r="AG241" s="159">
        <f t="shared" si="152"/>
        <v>-894.88611575593495</v>
      </c>
      <c r="AH241" s="188">
        <f t="shared" si="152"/>
        <v>-875.12415244508293</v>
      </c>
    </row>
    <row r="242" spans="1:34">
      <c r="A242" t="s">
        <v>423</v>
      </c>
      <c r="C242" s="331">
        <f>C221-C202</f>
        <v>0.39600000000018554</v>
      </c>
      <c r="D242" s="331">
        <f t="shared" ref="D242:AH242" si="153">D221-D202+D251+D254</f>
        <v>-57.040268688519973</v>
      </c>
      <c r="E242" s="331">
        <f t="shared" si="153"/>
        <v>-32.320877006369756</v>
      </c>
      <c r="F242" s="331">
        <f t="shared" si="153"/>
        <v>7.8918682781031748</v>
      </c>
      <c r="G242" s="331">
        <f t="shared" si="153"/>
        <v>-25.985238244165885</v>
      </c>
      <c r="H242" s="402">
        <f t="shared" si="153"/>
        <v>-3.3910471730910103</v>
      </c>
      <c r="I242" s="14">
        <f t="shared" si="153"/>
        <v>-42.554227540379543</v>
      </c>
      <c r="J242" s="14">
        <f t="shared" si="153"/>
        <v>3.4168452915087073</v>
      </c>
      <c r="K242" s="14">
        <f t="shared" si="153"/>
        <v>-59.435743093007204</v>
      </c>
      <c r="L242" s="14">
        <f t="shared" si="153"/>
        <v>-134.42547812433304</v>
      </c>
      <c r="M242" s="14">
        <f t="shared" si="153"/>
        <v>-206.46780480636653</v>
      </c>
      <c r="N242" s="188">
        <f t="shared" si="153"/>
        <v>-278.34319045926395</v>
      </c>
      <c r="O242" s="14">
        <f t="shared" si="153"/>
        <v>-300.47215005107955</v>
      </c>
      <c r="P242" s="14">
        <f t="shared" si="153"/>
        <v>-315.26519725839034</v>
      </c>
      <c r="Q242" s="14">
        <f t="shared" si="153"/>
        <v>-332.98969460788931</v>
      </c>
      <c r="R242" s="14">
        <f t="shared" si="153"/>
        <v>-365.42163232384837</v>
      </c>
      <c r="S242" s="14">
        <f t="shared" si="153"/>
        <v>-404.69087806147263</v>
      </c>
      <c r="T242" s="14">
        <f t="shared" si="153"/>
        <v>-421.14117572651367</v>
      </c>
      <c r="U242" s="14">
        <f t="shared" si="153"/>
        <v>-480.68375003229221</v>
      </c>
      <c r="V242" s="14">
        <f t="shared" si="153"/>
        <v>-540.63039120735903</v>
      </c>
      <c r="W242" s="14">
        <f t="shared" si="153"/>
        <v>-563.10796656382399</v>
      </c>
      <c r="X242" s="188">
        <f t="shared" si="153"/>
        <v>-633.47687664043042</v>
      </c>
      <c r="Y242" s="159">
        <f t="shared" si="153"/>
        <v>-661.5363114075958</v>
      </c>
      <c r="Z242" s="159">
        <f t="shared" si="153"/>
        <v>-685.32845970470225</v>
      </c>
      <c r="AA242" s="159">
        <f t="shared" si="153"/>
        <v>-726.86908429369851</v>
      </c>
      <c r="AB242" s="159">
        <f t="shared" si="153"/>
        <v>-753.94283857626669</v>
      </c>
      <c r="AC242" s="159">
        <f t="shared" si="153"/>
        <v>-755.3601773278192</v>
      </c>
      <c r="AD242" s="159">
        <f t="shared" si="153"/>
        <v>-783.09523618434287</v>
      </c>
      <c r="AE242" s="159">
        <f t="shared" si="153"/>
        <v>-787.01384126854282</v>
      </c>
      <c r="AF242" s="159">
        <f t="shared" si="153"/>
        <v>-801.18149749475651</v>
      </c>
      <c r="AG242" s="159">
        <f t="shared" si="153"/>
        <v>-805.39750418034191</v>
      </c>
      <c r="AH242" s="188">
        <f t="shared" si="153"/>
        <v>-787.61173720057445</v>
      </c>
    </row>
    <row r="243" spans="1:34" s="1" customFormat="1">
      <c r="A243" s="1" t="s">
        <v>404</v>
      </c>
      <c r="B243" s="13"/>
      <c r="C243" s="341">
        <f>C222-C203</f>
        <v>0.83572999999887543</v>
      </c>
      <c r="D243" s="341">
        <f t="shared" ref="D243:AH243" si="154">D222-D203+D249+D252</f>
        <v>41.220142750358718</v>
      </c>
      <c r="E243" s="341">
        <f t="shared" si="154"/>
        <v>41.241175345228839</v>
      </c>
      <c r="F243" s="341">
        <f t="shared" si="154"/>
        <v>38.07409693914542</v>
      </c>
      <c r="G243" s="341">
        <f t="shared" si="154"/>
        <v>41.082397854966075</v>
      </c>
      <c r="H243" s="405">
        <f t="shared" si="154"/>
        <v>-7.1591473654152651</v>
      </c>
      <c r="I243" s="15">
        <f t="shared" si="154"/>
        <v>133.5082989566763</v>
      </c>
      <c r="J243" s="15">
        <f t="shared" si="154"/>
        <v>214.15745151676674</v>
      </c>
      <c r="K243" s="15">
        <f t="shared" si="154"/>
        <v>298.59127426574923</v>
      </c>
      <c r="L243" s="15">
        <f t="shared" si="154"/>
        <v>544.62936993983203</v>
      </c>
      <c r="M243" s="15">
        <f t="shared" si="154"/>
        <v>865.27154005428929</v>
      </c>
      <c r="N243" s="191">
        <f t="shared" si="154"/>
        <v>1270.9779606828433</v>
      </c>
      <c r="O243" s="15">
        <f t="shared" si="154"/>
        <v>1376.6845233894892</v>
      </c>
      <c r="P243" s="15">
        <f t="shared" si="154"/>
        <v>1454.772527946534</v>
      </c>
      <c r="Q243" s="15">
        <f t="shared" si="154"/>
        <v>1543.9368357782605</v>
      </c>
      <c r="R243" s="15">
        <f t="shared" si="154"/>
        <v>1655.6347138576602</v>
      </c>
      <c r="S243" s="15">
        <f t="shared" si="154"/>
        <v>1778.6488794926008</v>
      </c>
      <c r="T243" s="15">
        <f t="shared" si="154"/>
        <v>1871.8485414980751</v>
      </c>
      <c r="U243" s="15">
        <f t="shared" si="154"/>
        <v>2049.3241831141968</v>
      </c>
      <c r="V243" s="15">
        <f t="shared" si="154"/>
        <v>2243.7999429700176</v>
      </c>
      <c r="W243" s="15">
        <f t="shared" si="154"/>
        <v>2355.3204252633022</v>
      </c>
      <c r="X243" s="191">
        <f t="shared" si="154"/>
        <v>2554.1688944329617</v>
      </c>
      <c r="Y243" s="131">
        <f t="shared" si="154"/>
        <v>2636.4787074692395</v>
      </c>
      <c r="Z243" s="131">
        <f t="shared" si="154"/>
        <v>2707.4315054354556</v>
      </c>
      <c r="AA243" s="131">
        <f t="shared" si="154"/>
        <v>2822.0710239125074</v>
      </c>
      <c r="AB243" s="131">
        <f t="shared" si="154"/>
        <v>2912.2177110830271</v>
      </c>
      <c r="AC243" s="131">
        <f t="shared" si="154"/>
        <v>2947.7719708531804</v>
      </c>
      <c r="AD243" s="131">
        <f t="shared" si="154"/>
        <v>3058.8744364121922</v>
      </c>
      <c r="AE243" s="131">
        <f t="shared" si="154"/>
        <v>3123.3262372649169</v>
      </c>
      <c r="AF243" s="131">
        <f t="shared" si="154"/>
        <v>3176.2961135299229</v>
      </c>
      <c r="AG243" s="131">
        <f t="shared" si="154"/>
        <v>3222.22222870318</v>
      </c>
      <c r="AH243" s="191">
        <f t="shared" si="154"/>
        <v>3226.8715954102936</v>
      </c>
    </row>
    <row r="244" spans="1:34">
      <c r="A244" t="s">
        <v>444</v>
      </c>
      <c r="C244" s="331"/>
      <c r="D244" s="331">
        <f>D231+D234</f>
        <v>97.166580354256439</v>
      </c>
      <c r="E244" s="331">
        <f t="shared" ref="E244:N244" si="155">E231+E234</f>
        <v>129.32980102792783</v>
      </c>
      <c r="F244" s="331">
        <f t="shared" si="155"/>
        <v>176.66059949715526</v>
      </c>
      <c r="G244" s="331">
        <f t="shared" si="155"/>
        <v>238.88634863339223</v>
      </c>
      <c r="H244" s="402">
        <f t="shared" si="155"/>
        <v>-2.7000000000043656E-4</v>
      </c>
      <c r="I244" s="14">
        <f t="shared" si="155"/>
        <v>81.699858087197981</v>
      </c>
      <c r="J244" s="14">
        <f t="shared" si="155"/>
        <v>151.65647837010988</v>
      </c>
      <c r="K244" s="14">
        <f t="shared" si="155"/>
        <v>344.90340899891862</v>
      </c>
      <c r="L244" s="14">
        <f t="shared" si="155"/>
        <v>739.93068506973111</v>
      </c>
      <c r="M244" s="14">
        <f t="shared" si="155"/>
        <v>1241.4008021338125</v>
      </c>
      <c r="N244" s="188">
        <f t="shared" si="155"/>
        <v>1858.5913627635132</v>
      </c>
      <c r="O244" s="14">
        <f>O231+O234</f>
        <v>2010.812336745028</v>
      </c>
      <c r="P244" s="14">
        <f t="shared" ref="P244:AH244" si="156">P231+P234</f>
        <v>2140.8183795348677</v>
      </c>
      <c r="Q244" s="14">
        <f t="shared" si="156"/>
        <v>2292.5443916163777</v>
      </c>
      <c r="R244" s="14">
        <f t="shared" si="156"/>
        <v>2472.1844737413157</v>
      </c>
      <c r="S244" s="14">
        <f t="shared" si="156"/>
        <v>2672.0554984648948</v>
      </c>
      <c r="T244" s="14">
        <f t="shared" si="156"/>
        <v>2822.5124604896478</v>
      </c>
      <c r="U244" s="14">
        <f t="shared" si="156"/>
        <v>3097.5627056955054</v>
      </c>
      <c r="V244" s="14">
        <f t="shared" si="156"/>
        <v>3389.8430943885533</v>
      </c>
      <c r="W244" s="14">
        <f t="shared" si="156"/>
        <v>3571.5836603528392</v>
      </c>
      <c r="X244" s="188">
        <f t="shared" si="156"/>
        <v>3892.5241445262209</v>
      </c>
      <c r="Y244" s="159">
        <f t="shared" si="156"/>
        <v>4020.5763393867728</v>
      </c>
      <c r="Z244" s="159">
        <f t="shared" si="156"/>
        <v>4134.9293728017983</v>
      </c>
      <c r="AA244" s="159">
        <f t="shared" si="156"/>
        <v>4310.0424553895555</v>
      </c>
      <c r="AB244" s="159">
        <f t="shared" si="156"/>
        <v>4445.5297449560085</v>
      </c>
      <c r="AC244" s="159">
        <f t="shared" si="156"/>
        <v>4499.9164408423658</v>
      </c>
      <c r="AD244" s="159">
        <f t="shared" si="156"/>
        <v>4654.0025777775245</v>
      </c>
      <c r="AE244" s="159">
        <f t="shared" si="156"/>
        <v>4734.1447421692783</v>
      </c>
      <c r="AF244" s="159">
        <f t="shared" si="156"/>
        <v>4823.0607517992448</v>
      </c>
      <c r="AG244" s="159">
        <f t="shared" si="156"/>
        <v>4890.8212491087988</v>
      </c>
      <c r="AH244" s="188">
        <f t="shared" si="156"/>
        <v>4890.7065729248225</v>
      </c>
    </row>
    <row r="245" spans="1:34">
      <c r="A245" t="s">
        <v>445</v>
      </c>
      <c r="D245" s="331">
        <f>D231+D234+D237</f>
        <v>161.63848775945553</v>
      </c>
      <c r="E245" s="331">
        <f t="shared" ref="E245:N245" si="157">E231+E234+E237</f>
        <v>109.47413791423435</v>
      </c>
      <c r="F245" s="331">
        <f t="shared" si="157"/>
        <v>21.413486129815908</v>
      </c>
      <c r="G245" s="331">
        <f t="shared" si="157"/>
        <v>95.94012303709485</v>
      </c>
      <c r="H245" s="402">
        <f t="shared" si="157"/>
        <v>-2.7000000000043656E-4</v>
      </c>
      <c r="I245" s="14">
        <f t="shared" si="157"/>
        <v>223.34500154192301</v>
      </c>
      <c r="J245" s="14">
        <f t="shared" si="157"/>
        <v>206.94411145691538</v>
      </c>
      <c r="K245" s="14">
        <f t="shared" si="157"/>
        <v>424.06673190654192</v>
      </c>
      <c r="L245" s="14">
        <f t="shared" si="157"/>
        <v>828.41649042453571</v>
      </c>
      <c r="M245" s="14">
        <f t="shared" si="157"/>
        <v>1301.148016867729</v>
      </c>
      <c r="N245" s="188">
        <f t="shared" si="157"/>
        <v>1858.5913627635132</v>
      </c>
      <c r="O245" s="14">
        <f>O231+O234+O237</f>
        <v>2011.0146179417684</v>
      </c>
      <c r="P245" s="14">
        <f t="shared" ref="P245:AH245" si="158">P231+P234+P237</f>
        <v>2120.3323888253581</v>
      </c>
      <c r="Q245" s="14">
        <f t="shared" si="158"/>
        <v>2246.9150799504723</v>
      </c>
      <c r="R245" s="14">
        <f t="shared" si="158"/>
        <v>2427.0803820968986</v>
      </c>
      <c r="S245" s="14">
        <f t="shared" si="158"/>
        <v>2632.9962887334877</v>
      </c>
      <c r="T245" s="14">
        <f t="shared" si="158"/>
        <v>2760.9243569207165</v>
      </c>
      <c r="U245" s="14">
        <f t="shared" si="158"/>
        <v>3064.100988737925</v>
      </c>
      <c r="V245" s="14">
        <f t="shared" si="158"/>
        <v>3385.1307688522202</v>
      </c>
      <c r="W245" s="14">
        <f t="shared" si="158"/>
        <v>3544.1039102313748</v>
      </c>
      <c r="X245" s="188">
        <f t="shared" si="158"/>
        <v>3891.5089673405373</v>
      </c>
      <c r="Y245" s="159">
        <f t="shared" si="158"/>
        <v>4033.0553648852747</v>
      </c>
      <c r="Z245" s="159">
        <f t="shared" si="158"/>
        <v>4154.2360314787165</v>
      </c>
      <c r="AA245" s="159">
        <f t="shared" si="158"/>
        <v>4356.5724240880936</v>
      </c>
      <c r="AB245" s="159">
        <f t="shared" si="158"/>
        <v>4503.8748147440347</v>
      </c>
      <c r="AC245" s="159">
        <f t="shared" si="158"/>
        <v>4542.4212341007978</v>
      </c>
      <c r="AD245" s="159">
        <f t="shared" si="158"/>
        <v>4712.0754905791382</v>
      </c>
      <c r="AE245" s="159">
        <f t="shared" si="158"/>
        <v>4784.7999021651758</v>
      </c>
      <c r="AF245" s="159">
        <f t="shared" si="158"/>
        <v>4867.6792749077395</v>
      </c>
      <c r="AG245" s="159">
        <f t="shared" si="158"/>
        <v>4922.5058486394573</v>
      </c>
      <c r="AH245" s="188">
        <f t="shared" si="158"/>
        <v>4889.6074850559517</v>
      </c>
    </row>
    <row r="246" spans="1:34" s="1" customFormat="1">
      <c r="A246" s="1" t="s">
        <v>448</v>
      </c>
      <c r="B246" s="13"/>
      <c r="C246" s="328"/>
      <c r="D246" s="341">
        <f>D243</f>
        <v>41.220142750358718</v>
      </c>
      <c r="E246" s="341">
        <f>D246+E243</f>
        <v>82.461318095587558</v>
      </c>
      <c r="F246" s="341">
        <f>E246+F243</f>
        <v>120.53541503473298</v>
      </c>
      <c r="G246" s="341">
        <f>F246+G243</f>
        <v>161.61781288969905</v>
      </c>
      <c r="H246" s="405"/>
      <c r="I246" s="15">
        <f t="shared" ref="I246:X246" si="159">H246+I243</f>
        <v>133.5082989566763</v>
      </c>
      <c r="J246" s="15">
        <f t="shared" si="159"/>
        <v>347.66575047344304</v>
      </c>
      <c r="K246" s="15">
        <f t="shared" si="159"/>
        <v>646.25702473919227</v>
      </c>
      <c r="L246" s="15">
        <f t="shared" si="159"/>
        <v>1190.8863946790243</v>
      </c>
      <c r="M246" s="15">
        <f t="shared" si="159"/>
        <v>2056.1579347333136</v>
      </c>
      <c r="N246" s="191">
        <f t="shared" si="159"/>
        <v>3327.1358954161569</v>
      </c>
      <c r="O246" s="15">
        <f t="shared" si="159"/>
        <v>4703.8204188056461</v>
      </c>
      <c r="P246" s="15">
        <f t="shared" si="159"/>
        <v>6158.5929467521801</v>
      </c>
      <c r="Q246" s="15">
        <f t="shared" si="159"/>
        <v>7702.5297825304406</v>
      </c>
      <c r="R246" s="15">
        <f t="shared" si="159"/>
        <v>9358.1644963881008</v>
      </c>
      <c r="S246" s="15">
        <f t="shared" si="159"/>
        <v>11136.813375880702</v>
      </c>
      <c r="T246" s="15">
        <f t="shared" si="159"/>
        <v>13008.661917378777</v>
      </c>
      <c r="U246" s="15">
        <f t="shared" si="159"/>
        <v>15057.986100492973</v>
      </c>
      <c r="V246" s="15">
        <f t="shared" si="159"/>
        <v>17301.786043462991</v>
      </c>
      <c r="W246" s="15">
        <f t="shared" si="159"/>
        <v>19657.106468726291</v>
      </c>
      <c r="X246" s="191">
        <f t="shared" si="159"/>
        <v>22211.275363159253</v>
      </c>
      <c r="Y246" s="131">
        <f t="shared" ref="Y246:AH246" si="160">X246+Y243</f>
        <v>24847.754070628493</v>
      </c>
      <c r="Z246" s="131">
        <f t="shared" si="160"/>
        <v>27555.185576063948</v>
      </c>
      <c r="AA246" s="131">
        <f t="shared" si="160"/>
        <v>30377.256599976456</v>
      </c>
      <c r="AB246" s="131">
        <f t="shared" si="160"/>
        <v>33289.474311059486</v>
      </c>
      <c r="AC246" s="131">
        <f t="shared" si="160"/>
        <v>36237.246281912667</v>
      </c>
      <c r="AD246" s="131">
        <f t="shared" si="160"/>
        <v>39296.120718324863</v>
      </c>
      <c r="AE246" s="131">
        <f t="shared" si="160"/>
        <v>42419.446955589781</v>
      </c>
      <c r="AF246" s="131">
        <f t="shared" si="160"/>
        <v>45595.743069119708</v>
      </c>
      <c r="AG246" s="131">
        <f t="shared" si="160"/>
        <v>48817.965297822884</v>
      </c>
      <c r="AH246" s="191">
        <f t="shared" si="160"/>
        <v>52044.83689323318</v>
      </c>
    </row>
    <row r="247" spans="1:34">
      <c r="A247" t="s">
        <v>457</v>
      </c>
      <c r="D247" s="343" t="b">
        <f t="shared" ref="D247:AH247" si="161">IF(D185-D246&lt;1,TRUE,FALSE)</f>
        <v>1</v>
      </c>
      <c r="E247" s="343" t="b">
        <f t="shared" si="161"/>
        <v>1</v>
      </c>
      <c r="F247" s="343" t="b">
        <f t="shared" si="161"/>
        <v>1</v>
      </c>
      <c r="G247" s="343" t="b">
        <f t="shared" si="161"/>
        <v>1</v>
      </c>
      <c r="H247" s="408"/>
      <c r="I247" s="134" t="b">
        <f t="shared" si="161"/>
        <v>1</v>
      </c>
      <c r="J247" s="134" t="b">
        <f t="shared" si="161"/>
        <v>1</v>
      </c>
      <c r="K247" s="134" t="b">
        <f t="shared" si="161"/>
        <v>1</v>
      </c>
      <c r="L247" s="134" t="b">
        <f t="shared" si="161"/>
        <v>1</v>
      </c>
      <c r="M247" s="134" t="b">
        <f t="shared" si="161"/>
        <v>1</v>
      </c>
      <c r="N247" s="194" t="b">
        <f t="shared" si="161"/>
        <v>1</v>
      </c>
      <c r="O247" s="134" t="b">
        <f t="shared" si="161"/>
        <v>1</v>
      </c>
      <c r="P247" s="134" t="b">
        <f t="shared" si="161"/>
        <v>1</v>
      </c>
      <c r="Q247" s="134" t="b">
        <f t="shared" si="161"/>
        <v>1</v>
      </c>
      <c r="R247" s="134" t="b">
        <f t="shared" si="161"/>
        <v>1</v>
      </c>
      <c r="S247" s="134" t="b">
        <f t="shared" si="161"/>
        <v>1</v>
      </c>
      <c r="T247" s="134" t="b">
        <f t="shared" si="161"/>
        <v>1</v>
      </c>
      <c r="U247" s="134" t="b">
        <f t="shared" si="161"/>
        <v>1</v>
      </c>
      <c r="V247" s="134" t="b">
        <f t="shared" si="161"/>
        <v>1</v>
      </c>
      <c r="W247" s="134" t="b">
        <f t="shared" si="161"/>
        <v>1</v>
      </c>
      <c r="X247" s="194" t="b">
        <f t="shared" si="161"/>
        <v>1</v>
      </c>
      <c r="Y247" s="290" t="b">
        <f t="shared" si="161"/>
        <v>1</v>
      </c>
      <c r="Z247" s="290" t="b">
        <f t="shared" si="161"/>
        <v>1</v>
      </c>
      <c r="AA247" s="290" t="b">
        <f t="shared" si="161"/>
        <v>1</v>
      </c>
      <c r="AB247" s="290" t="b">
        <f t="shared" si="161"/>
        <v>1</v>
      </c>
      <c r="AC247" s="290" t="b">
        <f t="shared" si="161"/>
        <v>1</v>
      </c>
      <c r="AD247" s="290" t="b">
        <f t="shared" si="161"/>
        <v>1</v>
      </c>
      <c r="AE247" s="290" t="b">
        <f t="shared" si="161"/>
        <v>1</v>
      </c>
      <c r="AF247" s="290" t="b">
        <f t="shared" si="161"/>
        <v>1</v>
      </c>
      <c r="AG247" s="290" t="b">
        <f t="shared" si="161"/>
        <v>1</v>
      </c>
      <c r="AH247" s="194" t="b">
        <f t="shared" si="161"/>
        <v>1</v>
      </c>
    </row>
    <row r="248" spans="1:34">
      <c r="A248" t="s">
        <v>438</v>
      </c>
    </row>
    <row r="249" spans="1:34" s="1" customFormat="1">
      <c r="A249" s="1" t="s">
        <v>439</v>
      </c>
      <c r="B249" s="13"/>
      <c r="C249" s="328"/>
      <c r="D249" s="341">
        <f>D$29*(EIA_electricity_aeo2014!F$60) * Inputs!$M$60</f>
        <v>0</v>
      </c>
      <c r="E249" s="341">
        <f>E$29*(EIA_electricity_aeo2014!G$60) * Inputs!$M$60</f>
        <v>0</v>
      </c>
      <c r="F249" s="341">
        <f>F$29*(EIA_electricity_aeo2014!H$60) * Inputs!$M$60</f>
        <v>0</v>
      </c>
      <c r="G249" s="341">
        <f>G$29*(EIA_electricity_aeo2014!I$60) * Inputs!$M$60</f>
        <v>0</v>
      </c>
      <c r="H249" s="405">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1">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1">
        <f>X$29*(EIA_electricity_aeo2014!Z$60) * Inputs!$M$60</f>
        <v>0</v>
      </c>
      <c r="Y249" s="131">
        <f>Y$29*(EIA_electricity_aeo2014!AA$60) * Inputs!$M$60</f>
        <v>0</v>
      </c>
      <c r="Z249" s="131">
        <f>Z$29*(EIA_electricity_aeo2014!AB$60) * Inputs!$M$60</f>
        <v>0</v>
      </c>
      <c r="AA249" s="131">
        <f>AA$29*(EIA_electricity_aeo2014!AC$60) * Inputs!$M$60</f>
        <v>0</v>
      </c>
      <c r="AB249" s="131">
        <f>AB$29*(EIA_electricity_aeo2014!AD$60) * Inputs!$M$60</f>
        <v>0</v>
      </c>
      <c r="AC249" s="131">
        <f>AC$29*(EIA_electricity_aeo2014!AE$60) * Inputs!$M$60</f>
        <v>0</v>
      </c>
      <c r="AD249" s="131">
        <f>AD$29*(EIA_electricity_aeo2014!AF$60) * Inputs!$M$60</f>
        <v>0</v>
      </c>
      <c r="AE249" s="131">
        <f>AE$29*(EIA_electricity_aeo2014!AG$60) * Inputs!$M$60</f>
        <v>0</v>
      </c>
      <c r="AF249" s="131">
        <f>AF$29*(EIA_electricity_aeo2014!AH$60) * Inputs!$M$60</f>
        <v>0</v>
      </c>
      <c r="AG249" s="131">
        <f>AG$29*(EIA_electricity_aeo2014!AI$60) * Inputs!$M$60</f>
        <v>0</v>
      </c>
      <c r="AH249" s="191">
        <f>AH$29*(EIA_electricity_aeo2014!AJ$60) * Inputs!$M$60</f>
        <v>0</v>
      </c>
    </row>
    <row r="250" spans="1:34">
      <c r="A250" t="s">
        <v>441</v>
      </c>
      <c r="D250" s="331">
        <f>D$29*(EIA_electricity_aeo2014!F$60) * Inputs!$C$60</f>
        <v>0</v>
      </c>
      <c r="E250" s="331">
        <f>E$29*(EIA_electricity_aeo2014!G$60) * Inputs!$C$60</f>
        <v>0</v>
      </c>
      <c r="F250" s="331">
        <f>F$29*(EIA_electricity_aeo2014!H$60) * Inputs!$C$60</f>
        <v>0</v>
      </c>
      <c r="G250" s="331">
        <f>G$29*(EIA_electricity_aeo2014!I$60) * Inputs!$C$60</f>
        <v>0</v>
      </c>
      <c r="H250" s="402">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8">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1">
        <f>X$29*(EIA_electricity_aeo2014!Z$60) * Inputs!$M$60</f>
        <v>0</v>
      </c>
      <c r="Y250" s="131">
        <f>Y$29*(EIA_electricity_aeo2014!AA$60) * Inputs!$M$60</f>
        <v>0</v>
      </c>
      <c r="Z250" s="131">
        <f>Z$29*(EIA_electricity_aeo2014!AB$60) * Inputs!$M$60</f>
        <v>0</v>
      </c>
      <c r="AA250" s="131">
        <f>AA$29*(EIA_electricity_aeo2014!AC$60) * Inputs!$M$60</f>
        <v>0</v>
      </c>
      <c r="AB250" s="131">
        <f>AB$29*(EIA_electricity_aeo2014!AD$60) * Inputs!$M$60</f>
        <v>0</v>
      </c>
      <c r="AC250" s="131">
        <f>AC$29*(EIA_electricity_aeo2014!AE$60) * Inputs!$M$60</f>
        <v>0</v>
      </c>
      <c r="AD250" s="131">
        <f>AD$29*(EIA_electricity_aeo2014!AF$60) * Inputs!$M$60</f>
        <v>0</v>
      </c>
      <c r="AE250" s="131">
        <f>AE$29*(EIA_electricity_aeo2014!AG$60) * Inputs!$M$60</f>
        <v>0</v>
      </c>
      <c r="AF250" s="131">
        <f>AF$29*(EIA_electricity_aeo2014!AH$60) * Inputs!$M$60</f>
        <v>0</v>
      </c>
      <c r="AG250" s="131">
        <f>AG$29*(EIA_electricity_aeo2014!AI$60) * Inputs!$M$60</f>
        <v>0</v>
      </c>
      <c r="AH250" s="191">
        <f>AH$29*(EIA_electricity_aeo2014!AJ$60) * Inputs!$M$60</f>
        <v>0</v>
      </c>
    </row>
    <row r="251" spans="1:34">
      <c r="A251" t="s">
        <v>442</v>
      </c>
      <c r="D251" s="331">
        <f>D250*Inputs!$H$60</f>
        <v>0</v>
      </c>
      <c r="E251" s="331">
        <f>E250*Inputs!$H$60</f>
        <v>0</v>
      </c>
      <c r="F251" s="331">
        <f>F250*Inputs!$H$60</f>
        <v>0</v>
      </c>
      <c r="G251" s="331">
        <f>G250*Inputs!$H$60</f>
        <v>0</v>
      </c>
      <c r="H251" s="402">
        <f>H250*Inputs!$H$60</f>
        <v>0</v>
      </c>
      <c r="I251" s="14">
        <f>I250*Inputs!$H$60</f>
        <v>0</v>
      </c>
      <c r="J251" s="14">
        <f>J250*Inputs!$H$60</f>
        <v>0</v>
      </c>
      <c r="K251" s="14">
        <f>K250*Inputs!$H$60</f>
        <v>0</v>
      </c>
      <c r="L251" s="14">
        <f>L250*Inputs!$H$60</f>
        <v>0</v>
      </c>
      <c r="M251" s="14">
        <f>M250*Inputs!$H$60</f>
        <v>0</v>
      </c>
      <c r="N251" s="188">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1">
        <f>X$29*(EIA_electricity_aeo2014!Z$60) * Inputs!$M$60</f>
        <v>0</v>
      </c>
      <c r="Y251" s="131">
        <f>Y$29*(EIA_electricity_aeo2014!AA$60) * Inputs!$M$60</f>
        <v>0</v>
      </c>
      <c r="Z251" s="131">
        <f>Z$29*(EIA_electricity_aeo2014!AB$60) * Inputs!$M$60</f>
        <v>0</v>
      </c>
      <c r="AA251" s="131">
        <f>AA$29*(EIA_electricity_aeo2014!AC$60) * Inputs!$M$60</f>
        <v>0</v>
      </c>
      <c r="AB251" s="131">
        <f>AB$29*(EIA_electricity_aeo2014!AD$60) * Inputs!$M$60</f>
        <v>0</v>
      </c>
      <c r="AC251" s="131">
        <f>AC$29*(EIA_electricity_aeo2014!AE$60) * Inputs!$M$60</f>
        <v>0</v>
      </c>
      <c r="AD251" s="131">
        <f>AD$29*(EIA_electricity_aeo2014!AF$60) * Inputs!$M$60</f>
        <v>0</v>
      </c>
      <c r="AE251" s="131">
        <f>AE$29*(EIA_electricity_aeo2014!AG$60) * Inputs!$M$60</f>
        <v>0</v>
      </c>
      <c r="AF251" s="131">
        <f>AF$29*(EIA_electricity_aeo2014!AH$60) * Inputs!$M$60</f>
        <v>0</v>
      </c>
      <c r="AG251" s="131">
        <f>AG$29*(EIA_electricity_aeo2014!AI$60) * Inputs!$M$60</f>
        <v>0</v>
      </c>
      <c r="AH251" s="191">
        <f>AH$29*(EIA_electricity_aeo2014!AJ$60) * Inputs!$M$60</f>
        <v>0</v>
      </c>
    </row>
    <row r="252" spans="1:34" s="1" customFormat="1">
      <c r="A252" s="1" t="s">
        <v>440</v>
      </c>
      <c r="B252" s="13"/>
      <c r="C252" s="328"/>
      <c r="D252" s="341">
        <f>D$29*(1-EIA_electricity_aeo2014!F$60) * Inputs!$M$61</f>
        <v>0</v>
      </c>
      <c r="E252" s="341">
        <f>E$29*(1-EIA_electricity_aeo2014!G$60) * Inputs!$M$61</f>
        <v>0</v>
      </c>
      <c r="F252" s="341">
        <f>F$29*(1-EIA_electricity_aeo2014!H$60) * Inputs!$M$61</f>
        <v>0</v>
      </c>
      <c r="G252" s="341">
        <f>G$29*(1-EIA_electricity_aeo2014!I$60) * Inputs!$M$61</f>
        <v>0</v>
      </c>
      <c r="H252" s="405">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1">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1">
        <f>X$29*(EIA_electricity_aeo2014!Z$60) * Inputs!$M$60</f>
        <v>0</v>
      </c>
      <c r="Y252" s="131">
        <f>Y$29*(EIA_electricity_aeo2014!AA$60) * Inputs!$M$60</f>
        <v>0</v>
      </c>
      <c r="Z252" s="131">
        <f>Z$29*(EIA_electricity_aeo2014!AB$60) * Inputs!$M$60</f>
        <v>0</v>
      </c>
      <c r="AA252" s="131">
        <f>AA$29*(EIA_electricity_aeo2014!AC$60) * Inputs!$M$60</f>
        <v>0</v>
      </c>
      <c r="AB252" s="131">
        <f>AB$29*(EIA_electricity_aeo2014!AD$60) * Inputs!$M$60</f>
        <v>0</v>
      </c>
      <c r="AC252" s="131">
        <f>AC$29*(EIA_electricity_aeo2014!AE$60) * Inputs!$M$60</f>
        <v>0</v>
      </c>
      <c r="AD252" s="131">
        <f>AD$29*(EIA_electricity_aeo2014!AF$60) * Inputs!$M$60</f>
        <v>0</v>
      </c>
      <c r="AE252" s="131">
        <f>AE$29*(EIA_electricity_aeo2014!AG$60) * Inputs!$M$60</f>
        <v>0</v>
      </c>
      <c r="AF252" s="131">
        <f>AF$29*(EIA_electricity_aeo2014!AH$60) * Inputs!$M$60</f>
        <v>0</v>
      </c>
      <c r="AG252" s="131">
        <f>AG$29*(EIA_electricity_aeo2014!AI$60) * Inputs!$M$60</f>
        <v>0</v>
      </c>
      <c r="AH252" s="191">
        <f>AH$29*(EIA_electricity_aeo2014!AJ$60) * Inputs!$M$60</f>
        <v>0</v>
      </c>
    </row>
    <row r="253" spans="1:34">
      <c r="A253" t="s">
        <v>441</v>
      </c>
      <c r="D253" s="331">
        <f>D$29*(1-EIA_electricity_aeo2014!F$60) * Inputs!$C$61</f>
        <v>0</v>
      </c>
      <c r="E253" s="331">
        <f>E$29*(1-EIA_electricity_aeo2014!G$60) * Inputs!$C$61</f>
        <v>0</v>
      </c>
      <c r="F253" s="331">
        <f>F$29*(1-EIA_electricity_aeo2014!H$60) * Inputs!$C$61</f>
        <v>0</v>
      </c>
      <c r="G253" s="331">
        <f>G$29*(1-EIA_electricity_aeo2014!I$60) * Inputs!$C$61</f>
        <v>0</v>
      </c>
      <c r="H253" s="402">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8">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1">
        <f>X$29*(EIA_electricity_aeo2014!Z$60) * Inputs!$M$60</f>
        <v>0</v>
      </c>
      <c r="Y253" s="131">
        <f>Y$29*(EIA_electricity_aeo2014!AA$60) * Inputs!$M$60</f>
        <v>0</v>
      </c>
      <c r="Z253" s="131">
        <f>Z$29*(EIA_electricity_aeo2014!AB$60) * Inputs!$M$60</f>
        <v>0</v>
      </c>
      <c r="AA253" s="131">
        <f>AA$29*(EIA_electricity_aeo2014!AC$60) * Inputs!$M$60</f>
        <v>0</v>
      </c>
      <c r="AB253" s="131">
        <f>AB$29*(EIA_electricity_aeo2014!AD$60) * Inputs!$M$60</f>
        <v>0</v>
      </c>
      <c r="AC253" s="131">
        <f>AC$29*(EIA_electricity_aeo2014!AE$60) * Inputs!$M$60</f>
        <v>0</v>
      </c>
      <c r="AD253" s="131">
        <f>AD$29*(EIA_electricity_aeo2014!AF$60) * Inputs!$M$60</f>
        <v>0</v>
      </c>
      <c r="AE253" s="131">
        <f>AE$29*(EIA_electricity_aeo2014!AG$60) * Inputs!$M$60</f>
        <v>0</v>
      </c>
      <c r="AF253" s="131">
        <f>AF$29*(EIA_electricity_aeo2014!AH$60) * Inputs!$M$60</f>
        <v>0</v>
      </c>
      <c r="AG253" s="131">
        <f>AG$29*(EIA_electricity_aeo2014!AI$60) * Inputs!$M$60</f>
        <v>0</v>
      </c>
      <c r="AH253" s="191">
        <f>AH$29*(EIA_electricity_aeo2014!AJ$60) * Inputs!$M$60</f>
        <v>0</v>
      </c>
    </row>
    <row r="254" spans="1:34">
      <c r="A254" t="s">
        <v>442</v>
      </c>
      <c r="D254" s="331">
        <f>D253*Inputs!$H$61</f>
        <v>0</v>
      </c>
      <c r="E254" s="331">
        <f>E253*Inputs!$H$61</f>
        <v>0</v>
      </c>
      <c r="F254" s="331">
        <f>F253*Inputs!$H$61</f>
        <v>0</v>
      </c>
      <c r="G254" s="331">
        <f>G253*Inputs!$H$61</f>
        <v>0</v>
      </c>
      <c r="H254" s="402">
        <f>H253*Inputs!$H$61</f>
        <v>0</v>
      </c>
      <c r="I254" s="14">
        <f>I253*Inputs!$H$61</f>
        <v>0</v>
      </c>
      <c r="J254" s="14">
        <f>J253*Inputs!$H$61</f>
        <v>0</v>
      </c>
      <c r="K254" s="14">
        <f>K253*Inputs!$H$61</f>
        <v>0</v>
      </c>
      <c r="L254" s="14">
        <f>L253*Inputs!$H$61</f>
        <v>0</v>
      </c>
      <c r="M254" s="14">
        <f>M253*Inputs!$H$61</f>
        <v>0</v>
      </c>
      <c r="N254" s="188">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1">
        <f>X$29*(EIA_electricity_aeo2014!Z$60) * Inputs!$M$60</f>
        <v>0</v>
      </c>
      <c r="Y254" s="131">
        <f>Y$29*(EIA_electricity_aeo2014!AA$60) * Inputs!$M$60</f>
        <v>0</v>
      </c>
      <c r="Z254" s="131">
        <f>Z$29*(EIA_electricity_aeo2014!AB$60) * Inputs!$M$60</f>
        <v>0</v>
      </c>
      <c r="AA254" s="131">
        <f>AA$29*(EIA_electricity_aeo2014!AC$60) * Inputs!$M$60</f>
        <v>0</v>
      </c>
      <c r="AB254" s="131">
        <f>AB$29*(EIA_electricity_aeo2014!AD$60) * Inputs!$M$60</f>
        <v>0</v>
      </c>
      <c r="AC254" s="131">
        <f>AC$29*(EIA_electricity_aeo2014!AE$60) * Inputs!$M$60</f>
        <v>0</v>
      </c>
      <c r="AD254" s="131">
        <f>AD$29*(EIA_electricity_aeo2014!AF$60) * Inputs!$M$60</f>
        <v>0</v>
      </c>
      <c r="AE254" s="131">
        <f>AE$29*(EIA_electricity_aeo2014!AG$60) * Inputs!$M$60</f>
        <v>0</v>
      </c>
      <c r="AF254" s="131">
        <f>AF$29*(EIA_electricity_aeo2014!AH$60) * Inputs!$M$60</f>
        <v>0</v>
      </c>
      <c r="AG254" s="131">
        <f>AG$29*(EIA_electricity_aeo2014!AI$60) * Inputs!$M$60</f>
        <v>0</v>
      </c>
      <c r="AH254" s="191">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S3" activePane="bottomRight" state="frozen"/>
      <selection pane="topRight" activeCell="C1" sqref="C1"/>
      <selection pane="bottomLeft" activeCell="A3" sqref="A3"/>
      <selection pane="bottomRight" activeCell="AG13" sqref="AG13:AH13"/>
    </sheetView>
  </sheetViews>
  <sheetFormatPr baseColWidth="10" defaultColWidth="8.83203125" defaultRowHeight="14" x14ac:dyDescent="0"/>
  <cols>
    <col min="1" max="1" width="25.6640625" bestFit="1" customWidth="1"/>
    <col min="2" max="2" width="5.6640625" style="2" bestFit="1" customWidth="1"/>
    <col min="3" max="3" width="13.33203125" style="327" bestFit="1" customWidth="1"/>
    <col min="4" max="4" width="12.33203125" style="327" customWidth="1"/>
    <col min="5" max="5" width="14.1640625" style="327" customWidth="1"/>
    <col min="6" max="6" width="11.33203125" style="327" bestFit="1" customWidth="1"/>
    <col min="7" max="7" width="14.33203125" style="327"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7"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7" t="s">
        <v>0</v>
      </c>
      <c r="D1" s="327" t="s">
        <v>0</v>
      </c>
      <c r="E1" s="393" t="s">
        <v>0</v>
      </c>
    </row>
    <row r="2" spans="1:34" s="1" customFormat="1">
      <c r="B2" s="2" t="s">
        <v>127</v>
      </c>
      <c r="C2" s="328">
        <v>2009</v>
      </c>
      <c r="D2" s="328">
        <v>2010</v>
      </c>
      <c r="E2" s="328">
        <v>2011</v>
      </c>
      <c r="F2" s="328">
        <v>2012</v>
      </c>
      <c r="G2" s="328">
        <v>2013</v>
      </c>
      <c r="H2" s="13">
        <v>2014</v>
      </c>
      <c r="I2" s="13">
        <v>2015</v>
      </c>
      <c r="J2" s="13">
        <v>2016</v>
      </c>
      <c r="K2" s="13">
        <v>2017</v>
      </c>
      <c r="L2" s="13">
        <v>2018</v>
      </c>
      <c r="M2" s="13">
        <v>2019</v>
      </c>
      <c r="N2" s="177">
        <v>2020</v>
      </c>
      <c r="O2" s="13">
        <v>2021</v>
      </c>
      <c r="P2" s="13">
        <v>2022</v>
      </c>
      <c r="Q2" s="13">
        <v>2023</v>
      </c>
      <c r="R2" s="13">
        <v>2024</v>
      </c>
      <c r="S2" s="13">
        <v>2025</v>
      </c>
      <c r="T2" s="13">
        <v>2026</v>
      </c>
      <c r="U2" s="13">
        <v>2027</v>
      </c>
      <c r="V2" s="13">
        <v>2028</v>
      </c>
      <c r="W2" s="13">
        <v>2029</v>
      </c>
      <c r="X2" s="177">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8"/>
      <c r="D3" s="328"/>
      <c r="E3" s="328"/>
      <c r="F3" s="328"/>
      <c r="G3" s="328"/>
      <c r="H3" s="13"/>
      <c r="I3" s="13"/>
      <c r="J3" s="13"/>
      <c r="K3" s="13"/>
      <c r="L3" s="13"/>
      <c r="M3" s="13"/>
      <c r="N3" s="177"/>
      <c r="O3" s="13"/>
      <c r="P3" s="13"/>
      <c r="Q3" s="13"/>
      <c r="R3" s="13"/>
      <c r="S3" s="13"/>
      <c r="T3" s="13"/>
      <c r="U3" s="13"/>
      <c r="V3" s="13"/>
      <c r="W3" s="13"/>
      <c r="X3" s="177"/>
      <c r="Y3" s="13"/>
      <c r="Z3" s="13"/>
      <c r="AA3" s="13"/>
      <c r="AB3" s="13"/>
      <c r="AC3" s="13"/>
      <c r="AD3" s="13"/>
      <c r="AE3" s="13"/>
      <c r="AF3" s="13"/>
      <c r="AG3" s="13"/>
      <c r="AH3" s="13"/>
    </row>
    <row r="4" spans="1:34" s="1" customFormat="1">
      <c r="A4" s="1" t="s">
        <v>111</v>
      </c>
      <c r="B4" s="13"/>
      <c r="C4" s="329">
        <f>EIA_electricity_aeo2014!E58 * 1000</f>
        <v>39500</v>
      </c>
      <c r="D4" s="329">
        <f>EIA_electricity_aeo2014!F58 * 1000</f>
        <v>43143</v>
      </c>
      <c r="E4" s="329">
        <f>EIA_electricity_aeo2014!G58 * 1000</f>
        <v>38598.541112005543</v>
      </c>
      <c r="F4" s="329">
        <f>EIA_electricity_aeo2014!H58 * 1000</f>
        <v>36415.367698492315</v>
      </c>
      <c r="G4" s="329">
        <f>EIA_electricity_aeo2014!I58 * 1000</f>
        <v>35794.915221636365</v>
      </c>
      <c r="H4" s="21">
        <f>EIA_electricity_aeo2014!J58 * 1000</f>
        <v>36845.974817296832</v>
      </c>
      <c r="I4" s="21">
        <f>EIA_electricity_aeo2014!K58 * 1000</f>
        <v>37405.69050043264</v>
      </c>
      <c r="J4" s="21">
        <f>EIA_electricity_aeo2014!L58 * 1000</f>
        <v>36740.202648405051</v>
      </c>
      <c r="K4" s="21">
        <f>EIA_electricity_aeo2014!M58 * 1000</f>
        <v>38287.899986245997</v>
      </c>
      <c r="L4" s="21">
        <f>EIA_electricity_aeo2014!N58 * 1000</f>
        <v>39495.151340391225</v>
      </c>
      <c r="M4" s="21">
        <f>EIA_electricity_aeo2014!O58 * 1000</f>
        <v>39836.465756305297</v>
      </c>
      <c r="N4" s="388">
        <f>EIA_electricity_aeo2014!P58 * 1000</f>
        <v>39367.163575185012</v>
      </c>
      <c r="O4" s="21">
        <f>EIA_electricity_aeo2014!Q58 * 1000</f>
        <v>39144.515142864861</v>
      </c>
      <c r="P4" s="21">
        <f>EIA_electricity_aeo2014!R58 * 1000</f>
        <v>38410.054718584688</v>
      </c>
      <c r="Q4" s="21">
        <f>EIA_electricity_aeo2014!S58 * 1000</f>
        <v>37922.045951434186</v>
      </c>
      <c r="R4" s="21">
        <f>EIA_electricity_aeo2014!T58 * 1000</f>
        <v>37719.267136465816</v>
      </c>
      <c r="S4" s="21">
        <f>EIA_electricity_aeo2014!U58 * 1000</f>
        <v>37652.391620059694</v>
      </c>
      <c r="T4" s="21">
        <f>EIA_electricity_aeo2014!V58 * 1000</f>
        <v>36898.541901575438</v>
      </c>
      <c r="U4" s="21">
        <f>EIA_electricity_aeo2014!W58 * 1000</f>
        <v>37415.712893355638</v>
      </c>
      <c r="V4" s="21">
        <f>EIA_electricity_aeo2014!X58 * 1000</f>
        <v>37941.871806568495</v>
      </c>
      <c r="W4" s="21">
        <f>EIA_electricity_aeo2014!Y58 * 1000</f>
        <v>37193.269225347809</v>
      </c>
      <c r="X4" s="388">
        <f>EIA_electricity_aeo2014!Z58 * 1000</f>
        <v>37611.783008181053</v>
      </c>
      <c r="Y4" s="21">
        <f>EIA_electricity_aeo2014!AA58 * 1000</f>
        <v>37948.509173931445</v>
      </c>
      <c r="Z4" s="21">
        <f>EIA_electricity_aeo2014!AB58 * 1000</f>
        <v>38128.489670351904</v>
      </c>
      <c r="AA4" s="21">
        <f>EIA_electricity_aeo2014!AC58 * 1000</f>
        <v>38789.46770612432</v>
      </c>
      <c r="AB4" s="21">
        <f>EIA_electricity_aeo2014!AD58 * 1000</f>
        <v>39087.690355125946</v>
      </c>
      <c r="AC4" s="21">
        <f>EIA_electricity_aeo2014!AE58 * 1000</f>
        <v>38733.580060915854</v>
      </c>
      <c r="AD4" s="21">
        <f>EIA_electricity_aeo2014!AF58 * 1000</f>
        <v>39156.541666592151</v>
      </c>
      <c r="AE4" s="21">
        <f>EIA_electricity_aeo2014!AG58 * 1000</f>
        <v>39001.072679253237</v>
      </c>
      <c r="AF4" s="21">
        <f>EIA_electricity_aeo2014!AH58 * 1000</f>
        <v>38878.086838903102</v>
      </c>
      <c r="AG4" s="21">
        <f>EIA_electricity_aeo2014!AI58 * 1000</f>
        <v>38591.878381061586</v>
      </c>
      <c r="AH4" s="21">
        <f>EIA_electricity_aeo2014!AJ58 * 1000</f>
        <v>37835.77751291688</v>
      </c>
    </row>
    <row r="5" spans="1:34">
      <c r="A5" s="9" t="s">
        <v>61</v>
      </c>
      <c r="B5" s="34">
        <v>0</v>
      </c>
      <c r="C5" s="330">
        <v>0</v>
      </c>
      <c r="D5" s="330"/>
      <c r="E5" s="330"/>
      <c r="F5" s="330"/>
      <c r="G5" s="330"/>
      <c r="H5" s="3"/>
      <c r="I5" s="3"/>
      <c r="J5" s="3"/>
      <c r="K5" s="3"/>
      <c r="L5" s="3"/>
      <c r="M5" s="3"/>
      <c r="N5" s="388"/>
      <c r="O5" s="3"/>
      <c r="P5" s="3"/>
      <c r="Q5" s="3"/>
      <c r="R5" s="3"/>
      <c r="S5" s="3"/>
      <c r="T5" s="3"/>
      <c r="U5" s="3"/>
      <c r="V5" s="3"/>
      <c r="W5" s="3"/>
      <c r="X5" s="185"/>
    </row>
    <row r="6" spans="1:34">
      <c r="A6" s="9" t="s">
        <v>60</v>
      </c>
      <c r="B6" s="34">
        <v>0</v>
      </c>
      <c r="C6" s="330">
        <v>0</v>
      </c>
      <c r="D6" s="330"/>
      <c r="E6" s="394" t="s">
        <v>0</v>
      </c>
      <c r="F6" s="330"/>
      <c r="G6" s="330"/>
      <c r="H6" s="3"/>
      <c r="I6" s="3"/>
      <c r="J6" s="3"/>
      <c r="K6" s="3"/>
      <c r="L6" s="3"/>
      <c r="M6" s="3"/>
      <c r="N6" s="388"/>
      <c r="O6" s="3"/>
      <c r="P6" s="3"/>
      <c r="Q6" s="3"/>
      <c r="R6" s="3"/>
      <c r="S6" s="3"/>
      <c r="T6" s="3"/>
      <c r="U6" s="3"/>
      <c r="V6" s="3"/>
      <c r="W6" s="3"/>
      <c r="X6" s="185"/>
    </row>
    <row r="7" spans="1:34">
      <c r="A7" s="9" t="s">
        <v>49</v>
      </c>
      <c r="B7" s="34">
        <v>0</v>
      </c>
      <c r="C7" s="330">
        <f>EIA_RE_aeo2014!E73*1000-C15</f>
        <v>1200.99</v>
      </c>
      <c r="D7" s="330">
        <f>EIA_RE_aeo2014!F73*1000-D15</f>
        <v>995.99</v>
      </c>
      <c r="E7" s="330">
        <f>EIA_RE_aeo2014!G73*1000-E15</f>
        <v>1151.4229175055841</v>
      </c>
      <c r="F7" s="330">
        <f>EIA_RE_aeo2014!H73*1000-F15</f>
        <v>970.45654218215179</v>
      </c>
      <c r="G7" s="330">
        <f>EIA_RE_aeo2014!I73*1000-G15</f>
        <v>940.89671374218437</v>
      </c>
      <c r="H7" s="175">
        <f>EIA_RE_aeo2014!J73*1000-H15</f>
        <v>956.73699788350393</v>
      </c>
      <c r="I7" s="175">
        <f>EIA_RE_aeo2014!K73*1000-I15</f>
        <v>975.63385545436449</v>
      </c>
      <c r="J7" s="175">
        <f>EIA_RE_aeo2014!L73*1000-J15</f>
        <v>994.62027908280027</v>
      </c>
      <c r="K7" s="175">
        <f>EIA_RE_aeo2014!M73*1000-K15</f>
        <v>1004.8304145019907</v>
      </c>
      <c r="L7" s="175">
        <f>EIA_RE_aeo2014!N73*1000-L15</f>
        <v>1004.8308096463621</v>
      </c>
      <c r="M7" s="175">
        <f>EIA_RE_aeo2014!O73*1000-M15</f>
        <v>1004.8309413611528</v>
      </c>
      <c r="N7" s="185">
        <f>EIA_RE_aeo2014!P73*1000-N15</f>
        <v>1004.8304145019907</v>
      </c>
      <c r="O7" s="175">
        <f>EIA_RE_aeo2014!Q73*1000-O15</f>
        <v>1004.8304145019907</v>
      </c>
      <c r="P7" s="175">
        <f>EIA_RE_aeo2014!R73*1000-P15</f>
        <v>1004.8306779315715</v>
      </c>
      <c r="Q7" s="175">
        <f>EIA_RE_aeo2014!S73*1000-Q15</f>
        <v>1054.5817251891506</v>
      </c>
      <c r="R7" s="175">
        <f>EIA_RE_aeo2014!T73*1000-R15</f>
        <v>1054.5815934743598</v>
      </c>
      <c r="S7" s="83">
        <f>EIA_RE_aeo2014!U73*1000-S15</f>
        <v>1054.5827789074749</v>
      </c>
      <c r="T7" s="83">
        <f>EIA_RE_aeo2014!V73*1000-T15</f>
        <v>1054.5850180589141</v>
      </c>
      <c r="U7" s="83">
        <f>EIA_RE_aeo2014!W73*1000-U15</f>
        <v>1061.9466894176351</v>
      </c>
      <c r="V7" s="83">
        <f>EIA_RE_aeo2014!X73*1000-V15</f>
        <v>1069.2954527268819</v>
      </c>
      <c r="W7" s="83">
        <f>EIA_RE_aeo2014!Y73*1000-W15</f>
        <v>1069.296638159997</v>
      </c>
      <c r="X7" s="185">
        <f>EIA_RE_aeo2014!Z73*1000-X15</f>
        <v>1069.2965064452062</v>
      </c>
      <c r="Y7" s="175">
        <f>EIA_RE_aeo2014!AA73*1000-Y15</f>
        <v>1069.296638159997</v>
      </c>
      <c r="Z7" s="175">
        <f>EIA_RE_aeo2014!AB73*1000-Z15</f>
        <v>1069.2969015895783</v>
      </c>
      <c r="AA7" s="175">
        <f>EIA_RE_aeo2014!AC73*1000-AA15</f>
        <v>1069.2953210120916</v>
      </c>
      <c r="AB7" s="175">
        <f>EIA_RE_aeo2014!AD73*1000-AB15</f>
        <v>1069.2953210120916</v>
      </c>
      <c r="AC7" s="175">
        <f>EIA_RE_aeo2014!AE73*1000-AC15</f>
        <v>1069.2953210120916</v>
      </c>
      <c r="AD7" s="175">
        <f>EIA_RE_aeo2014!AF73*1000-AD15</f>
        <v>1074.6237111490666</v>
      </c>
      <c r="AE7" s="175">
        <f>EIA_RE_aeo2014!AG73*1000-AE15</f>
        <v>1074.6237111490666</v>
      </c>
      <c r="AF7" s="175">
        <f>EIA_RE_aeo2014!AH73*1000-AF15</f>
        <v>1074.6237111490666</v>
      </c>
      <c r="AG7" s="175">
        <f>EIA_RE_aeo2014!AI73*1000-AG15</f>
        <v>1074.6237111490666</v>
      </c>
      <c r="AH7" s="175">
        <f>EIA_RE_aeo2014!AJ73*1000-AH15</f>
        <v>1074.6250282969725</v>
      </c>
    </row>
    <row r="8" spans="1:34">
      <c r="A8" s="9" t="s">
        <v>59</v>
      </c>
      <c r="B8" s="34">
        <v>0</v>
      </c>
      <c r="C8" s="330">
        <f>EIA_electricity_aeo2014!E52*1000</f>
        <v>5396</v>
      </c>
      <c r="D8" s="330">
        <f>EIA_electricity_aeo2014!F52*1000</f>
        <v>5918</v>
      </c>
      <c r="E8" s="330">
        <f>EIA_electricity_aeo2014!G52*1000</f>
        <v>5243.1149545975431</v>
      </c>
      <c r="F8" s="330">
        <f>EIA_electricity_aeo2014!H52*1000</f>
        <v>5523.4471726486208</v>
      </c>
      <c r="G8" s="330">
        <f>EIA_electricity_aeo2014!I52*1000</f>
        <v>5347.5835926224418</v>
      </c>
      <c r="H8" s="3">
        <f>EIA_electricity_aeo2014!J52*1000</f>
        <v>5370.86263694237</v>
      </c>
      <c r="I8" s="3">
        <f>EIA_electricity_aeo2014!K52*1000</f>
        <v>4774.014545376298</v>
      </c>
      <c r="J8" s="3">
        <f>EIA_electricity_aeo2014!L52*1000</f>
        <v>4826.5717128951883</v>
      </c>
      <c r="K8" s="3">
        <f>EIA_electricity_aeo2014!M52*1000</f>
        <v>4838.251610235493</v>
      </c>
      <c r="L8" s="3">
        <f>EIA_electricity_aeo2014!N52*1000</f>
        <v>4849.938389708811</v>
      </c>
      <c r="M8" s="3">
        <f>EIA_electricity_aeo2014!O52*1000</f>
        <v>4861.6303690159612</v>
      </c>
      <c r="N8" s="388">
        <f>EIA_electricity_aeo2014!P52*1000</f>
        <v>4864.9747797875589</v>
      </c>
      <c r="O8" s="3">
        <f>EIA_electricity_aeo2014!Q52*1000</f>
        <v>4864.9750856601377</v>
      </c>
      <c r="P8" s="3">
        <f>EIA_electricity_aeo2014!R52*1000</f>
        <v>4864.9750856601377</v>
      </c>
      <c r="Q8" s="3">
        <f>EIA_electricity_aeo2014!S52*1000</f>
        <v>4864.9747797875589</v>
      </c>
      <c r="R8" s="3">
        <f>EIA_electricity_aeo2014!T52*1000</f>
        <v>4864.9747797875589</v>
      </c>
      <c r="S8" s="3">
        <f>EIA_electricity_aeo2014!U52*1000</f>
        <v>4864.9747797875589</v>
      </c>
      <c r="T8" s="3">
        <f>EIA_electricity_aeo2014!V52*1000</f>
        <v>4864.9747797875589</v>
      </c>
      <c r="U8" s="3">
        <f>EIA_electricity_aeo2014!W52*1000</f>
        <v>4864.9750856601377</v>
      </c>
      <c r="V8" s="3">
        <f>EIA_electricity_aeo2014!X52*1000</f>
        <v>4864.9747797875589</v>
      </c>
      <c r="W8" s="3">
        <f>EIA_electricity_aeo2014!Y52*1000</f>
        <v>4864.9747797875589</v>
      </c>
      <c r="X8" s="185">
        <f>EIA_electricity_aeo2014!Z52*1000</f>
        <v>4864.9747797875589</v>
      </c>
      <c r="Y8" s="175">
        <f>EIA_electricity_aeo2014!AA52*1000</f>
        <v>4864.9747797875589</v>
      </c>
      <c r="Z8" s="175">
        <f>EIA_electricity_aeo2014!AB52*1000</f>
        <v>4864.9747797875589</v>
      </c>
      <c r="AA8" s="175">
        <f>EIA_electricity_aeo2014!AC52*1000</f>
        <v>4864.9747797875589</v>
      </c>
      <c r="AB8" s="175">
        <f>EIA_electricity_aeo2014!AD52*1000</f>
        <v>4864.9747797875589</v>
      </c>
      <c r="AC8" s="175">
        <f>EIA_electricity_aeo2014!AE52*1000</f>
        <v>4864.9747797875589</v>
      </c>
      <c r="AD8" s="175">
        <f>EIA_electricity_aeo2014!AF52*1000</f>
        <v>4864.9747797875589</v>
      </c>
      <c r="AE8" s="175">
        <f>EIA_electricity_aeo2014!AG52*1000</f>
        <v>4864.9750856601377</v>
      </c>
      <c r="AF8" s="175">
        <f>EIA_electricity_aeo2014!AH52*1000</f>
        <v>4864.9750856601377</v>
      </c>
      <c r="AG8" s="175">
        <f>EIA_electricity_aeo2014!AI52*1000</f>
        <v>4864.9747797875589</v>
      </c>
      <c r="AH8" s="175">
        <f>EIA_electricity_aeo2014!AJ52*1000</f>
        <v>4864.9747797875589</v>
      </c>
    </row>
    <row r="9" spans="1:34">
      <c r="A9" s="9"/>
      <c r="B9" s="34"/>
      <c r="C9" s="330"/>
      <c r="D9" s="330"/>
      <c r="E9" s="330"/>
      <c r="F9" s="330"/>
      <c r="G9" s="330"/>
      <c r="H9" s="118"/>
      <c r="I9" s="118"/>
      <c r="J9" s="118"/>
      <c r="K9" s="118"/>
      <c r="L9" s="118"/>
      <c r="M9" s="118"/>
      <c r="N9" s="388"/>
      <c r="O9" s="118"/>
      <c r="P9" s="118"/>
      <c r="Q9" s="118"/>
      <c r="R9" s="118"/>
      <c r="S9" s="118"/>
      <c r="T9" s="118"/>
      <c r="U9" s="118"/>
      <c r="V9" s="118"/>
      <c r="W9" s="118"/>
      <c r="X9" s="185"/>
    </row>
    <row r="10" spans="1:34" s="20" customFormat="1">
      <c r="A10" s="9" t="s">
        <v>125</v>
      </c>
      <c r="B10" s="35">
        <v>1</v>
      </c>
      <c r="C10" s="330">
        <f>EIA_RE_aeo2014!E76*1000</f>
        <v>115</v>
      </c>
      <c r="D10" s="330">
        <f>EIA_RE_aeo2014!F76*1000</f>
        <v>125</v>
      </c>
      <c r="E10" s="330">
        <f>EIA_RE_aeo2014!G76*1000</f>
        <v>117.80461869505183</v>
      </c>
      <c r="F10" s="330">
        <f>EIA_RE_aeo2014!H76*1000</f>
        <v>119.38143648252007</v>
      </c>
      <c r="G10" s="330">
        <f>EIA_RE_aeo2014!I76*1000</f>
        <v>99.18491932366635</v>
      </c>
      <c r="H10" s="83">
        <f>EIA_RE_aeo2014!J76*1000</f>
        <v>102.68625160679012</v>
      </c>
      <c r="I10" s="175">
        <f>EIA_RE_aeo2014!K76*1000</f>
        <v>109.20560092849871</v>
      </c>
      <c r="J10" s="175">
        <f>EIA_RE_aeo2014!L76*1000</f>
        <v>139.74574673835181</v>
      </c>
      <c r="K10" s="175">
        <f>EIA_RE_aeo2014!M76*1000</f>
        <v>142.94400379131898</v>
      </c>
      <c r="L10" s="175">
        <f>EIA_RE_aeo2014!N76*1000</f>
        <v>145.66805251421869</v>
      </c>
      <c r="M10" s="175">
        <f>EIA_RE_aeo2014!O76*1000</f>
        <v>149.6481826278428</v>
      </c>
      <c r="N10" s="185">
        <f>EIA_RE_aeo2014!P76*1000</f>
        <v>153.50535738170225</v>
      </c>
      <c r="O10" s="175">
        <f>EIA_RE_aeo2014!Q76*1000</f>
        <v>165.37051355579263</v>
      </c>
      <c r="P10" s="175">
        <f>EIA_RE_aeo2014!R76*1000</f>
        <v>165.91815389278614</v>
      </c>
      <c r="Q10" s="175">
        <f>EIA_RE_aeo2014!S76*1000</f>
        <v>166.12242270524641</v>
      </c>
      <c r="R10" s="175">
        <f>EIA_RE_aeo2014!T76*1000</f>
        <v>167.62237236766344</v>
      </c>
      <c r="S10" s="83">
        <f>EIA_RE_aeo2014!U76*1000</f>
        <v>168.22016080624556</v>
      </c>
      <c r="T10" s="83">
        <f>EIA_RE_aeo2014!V76*1000</f>
        <v>169.65186868212132</v>
      </c>
      <c r="U10" s="83">
        <f>EIA_RE_aeo2014!W76*1000</f>
        <v>175.78387377881407</v>
      </c>
      <c r="V10" s="83">
        <f>EIA_RE_aeo2014!X76*1000</f>
        <v>185.29005075920236</v>
      </c>
      <c r="W10" s="83">
        <f>EIA_RE_aeo2014!Y76*1000</f>
        <v>183.10905287286329</v>
      </c>
      <c r="X10" s="185">
        <f>EIA_RE_aeo2014!Z76*1000</f>
        <v>183.12476770680621</v>
      </c>
      <c r="Y10" s="175">
        <f>EIA_RE_aeo2014!AA76*1000</f>
        <v>185.27457621324018</v>
      </c>
      <c r="Z10" s="175">
        <f>EIA_RE_aeo2014!AB76*1000</f>
        <v>185.02808880255702</v>
      </c>
      <c r="AA10" s="175">
        <f>EIA_RE_aeo2014!AC76*1000</f>
        <v>186.75273175580054</v>
      </c>
      <c r="AB10" s="175">
        <f>EIA_RE_aeo2014!AD76*1000</f>
        <v>187.90721938825152</v>
      </c>
      <c r="AC10" s="175">
        <f>EIA_RE_aeo2014!AE76*1000</f>
        <v>188.64548018039707</v>
      </c>
      <c r="AD10" s="175">
        <f>EIA_RE_aeo2014!AF76*1000</f>
        <v>190.23193351589458</v>
      </c>
      <c r="AE10" s="175">
        <f>EIA_RE_aeo2014!AG76*1000</f>
        <v>194.52508678207951</v>
      </c>
      <c r="AF10" s="175">
        <f>EIA_RE_aeo2014!AH76*1000</f>
        <v>191.939275734522</v>
      </c>
      <c r="AG10" s="175">
        <f>EIA_RE_aeo2014!AI76*1000</f>
        <v>193.17486056048591</v>
      </c>
      <c r="AH10" s="175">
        <f>EIA_RE_aeo2014!AJ76*1000</f>
        <v>194.48382933577977</v>
      </c>
    </row>
    <row r="11" spans="1:34" s="20" customFormat="1">
      <c r="A11" s="9" t="s">
        <v>50</v>
      </c>
      <c r="B11" s="35">
        <v>1</v>
      </c>
      <c r="C11" s="330">
        <f>EIA_RE_aeo2014!E74*1000</f>
        <v>0</v>
      </c>
      <c r="D11" s="330">
        <f>EIA_RE_aeo2014!F74*1000</f>
        <v>0</v>
      </c>
      <c r="E11" s="330">
        <f>EIA_RE_aeo2014!G74*1000</f>
        <v>1.0000000000000001E-9</v>
      </c>
      <c r="F11" s="330">
        <f>EIA_RE_aeo2014!H74*1000</f>
        <v>1.0000000000000001E-9</v>
      </c>
      <c r="G11" s="330">
        <f>EIA_RE_aeo2014!I74*1000</f>
        <v>1.0000000000000001E-9</v>
      </c>
      <c r="H11" s="83">
        <f>EIA_RE_aeo2014!J74*1000</f>
        <v>1.0000000000000001E-9</v>
      </c>
      <c r="I11" s="83">
        <f>EIA_RE_aeo2014!K74*1000</f>
        <v>1.0000000000000001E-9</v>
      </c>
      <c r="J11" s="83">
        <f>EIA_RE_aeo2014!L74*1000</f>
        <v>1.0000000000000001E-9</v>
      </c>
      <c r="K11" s="83">
        <f>EIA_RE_aeo2014!M74*1000</f>
        <v>1.0000000000000001E-9</v>
      </c>
      <c r="L11" s="83">
        <f>EIA_RE_aeo2014!N74*1000</f>
        <v>1.0000000000000001E-9</v>
      </c>
      <c r="M11" s="83">
        <f>EIA_RE_aeo2014!O74*1000</f>
        <v>1.0000000000000001E-9</v>
      </c>
      <c r="N11" s="388">
        <f>EIA_RE_aeo2014!P74*1000</f>
        <v>1.0000000000000001E-9</v>
      </c>
      <c r="O11" s="83">
        <f>EIA_RE_aeo2014!Q74*1000</f>
        <v>1.0000000000000001E-9</v>
      </c>
      <c r="P11" s="83">
        <f>EIA_RE_aeo2014!R74*1000</f>
        <v>1.0000000000000001E-9</v>
      </c>
      <c r="Q11" s="83">
        <f>EIA_RE_aeo2014!S74*1000</f>
        <v>1.0000000000000001E-9</v>
      </c>
      <c r="R11" s="83">
        <f>EIA_RE_aeo2014!T74*1000</f>
        <v>1.0000000000000001E-9</v>
      </c>
      <c r="S11" s="83">
        <f>EIA_RE_aeo2014!U74*1000</f>
        <v>1.0000000000000001E-9</v>
      </c>
      <c r="T11" s="83">
        <f>EIA_RE_aeo2014!V74*1000</f>
        <v>1.0000000000000001E-9</v>
      </c>
      <c r="U11" s="83">
        <f>EIA_RE_aeo2014!W74*1000</f>
        <v>1.0000000000000001E-9</v>
      </c>
      <c r="V11" s="83">
        <f>EIA_RE_aeo2014!X74*1000</f>
        <v>1.0000000000000001E-9</v>
      </c>
      <c r="W11" s="83">
        <f>EIA_RE_aeo2014!Y74*1000</f>
        <v>1.0000000000000001E-9</v>
      </c>
      <c r="X11" s="185">
        <f>EIA_RE_aeo2014!Z74*1000</f>
        <v>1.0000000000000001E-9</v>
      </c>
      <c r="Y11" s="175">
        <f>EIA_RE_aeo2014!AA74*1000</f>
        <v>1.0000000000000001E-9</v>
      </c>
      <c r="Z11" s="175">
        <f>EIA_RE_aeo2014!AB74*1000</f>
        <v>1.0000000000000001E-9</v>
      </c>
      <c r="AA11" s="175">
        <f>EIA_RE_aeo2014!AC74*1000</f>
        <v>1.0000000000000001E-9</v>
      </c>
      <c r="AB11" s="175">
        <f>EIA_RE_aeo2014!AD74*1000</f>
        <v>1.0000000000000001E-9</v>
      </c>
      <c r="AC11" s="175">
        <f>EIA_RE_aeo2014!AE74*1000</f>
        <v>1.0000000000000001E-9</v>
      </c>
      <c r="AD11" s="175">
        <f>EIA_RE_aeo2014!AF74*1000</f>
        <v>1.0000000000000001E-9</v>
      </c>
      <c r="AE11" s="175">
        <f>EIA_RE_aeo2014!AG74*1000</f>
        <v>1.0000000000000001E-9</v>
      </c>
      <c r="AF11" s="175">
        <f>EIA_RE_aeo2014!AH74*1000</f>
        <v>1.0000000000000001E-9</v>
      </c>
      <c r="AG11" s="175">
        <f>EIA_RE_aeo2014!AI74*1000</f>
        <v>1.0000000000000001E-9</v>
      </c>
      <c r="AH11" s="175">
        <f>EIA_RE_aeo2014!AJ74*1000</f>
        <v>1.0000000000000001E-9</v>
      </c>
    </row>
    <row r="12" spans="1:34" s="20" customFormat="1">
      <c r="A12" s="9" t="s">
        <v>51</v>
      </c>
      <c r="B12" s="35">
        <v>1</v>
      </c>
      <c r="C12" s="330">
        <f>EIA_RE_aeo2014!E75*1000</f>
        <v>1104</v>
      </c>
      <c r="D12" s="330">
        <f>EIA_RE_aeo2014!F75*1000</f>
        <v>1125</v>
      </c>
      <c r="E12" s="330">
        <f>EIA_RE_aeo2014!G75*1000</f>
        <v>1125.7672458097054</v>
      </c>
      <c r="F12" s="330">
        <f>EIA_RE_aeo2014!H75*1000</f>
        <v>1169.7490710878606</v>
      </c>
      <c r="G12" s="330">
        <f>EIA_RE_aeo2014!I75*1000</f>
        <v>1311.0447305464641</v>
      </c>
      <c r="H12" s="83">
        <f>EIA_RE_aeo2014!J75*1000</f>
        <v>1310.1615538614869</v>
      </c>
      <c r="I12" s="175">
        <f>EIA_RE_aeo2014!K75*1000</f>
        <v>1310.0321831889653</v>
      </c>
      <c r="J12" s="175">
        <f>EIA_RE_aeo2014!L75*1000</f>
        <v>1310.0522660009451</v>
      </c>
      <c r="K12" s="175">
        <f>EIA_RE_aeo2014!M75*1000</f>
        <v>1310.0560023380576</v>
      </c>
      <c r="L12" s="175">
        <f>EIA_RE_aeo2014!N75*1000</f>
        <v>1310.0784203607329</v>
      </c>
      <c r="M12" s="175">
        <f>EIA_RE_aeo2014!O75*1000</f>
        <v>1310.0807555714282</v>
      </c>
      <c r="N12" s="185">
        <f>EIA_RE_aeo2014!P75*1000</f>
        <v>1310.0686124758124</v>
      </c>
      <c r="O12" s="175">
        <f>EIA_RE_aeo2014!Q75*1000</f>
        <v>1310.0597386751701</v>
      </c>
      <c r="P12" s="175">
        <f>EIA_RE_aeo2014!R75*1000</f>
        <v>1310.0536671273621</v>
      </c>
      <c r="Q12" s="175">
        <f>EIA_RE_aeo2014!S75*1000</f>
        <v>1310.0457274109983</v>
      </c>
      <c r="R12" s="175">
        <f>EIA_RE_aeo2014!T75*1000</f>
        <v>1310.0373206524948</v>
      </c>
      <c r="S12" s="83">
        <f>EIA_RE_aeo2014!U75*1000</f>
        <v>1313.7157445397929</v>
      </c>
      <c r="T12" s="83">
        <f>EIA_RE_aeo2014!V75*1000</f>
        <v>1313.7026673598991</v>
      </c>
      <c r="U12" s="83">
        <f>EIA_RE_aeo2014!W75*1000</f>
        <v>1310.0008913656475</v>
      </c>
      <c r="V12" s="83">
        <f>EIA_RE_aeo2014!X75*1000</f>
        <v>1313.6783811686676</v>
      </c>
      <c r="W12" s="83">
        <f>EIA_RE_aeo2014!Y75*1000</f>
        <v>1309.9700665844694</v>
      </c>
      <c r="X12" s="185">
        <f>EIA_RE_aeo2014!Z75*1000</f>
        <v>1309.9579234888533</v>
      </c>
      <c r="Y12" s="175">
        <f>EIA_RE_aeo2014!AA75*1000</f>
        <v>1313.6349462497344</v>
      </c>
      <c r="Z12" s="175">
        <f>EIA_RE_aeo2014!AB75*1000</f>
        <v>1313.6200009012841</v>
      </c>
      <c r="AA12" s="175">
        <f>EIA_RE_aeo2014!AC75*1000</f>
        <v>1313.6050555528341</v>
      </c>
      <c r="AB12" s="175">
        <f>EIA_RE_aeo2014!AD75*1000</f>
        <v>1309.8705866088478</v>
      </c>
      <c r="AC12" s="175">
        <f>EIA_RE_aeo2014!AE75*1000</f>
        <v>1309.8491026704505</v>
      </c>
      <c r="AD12" s="175">
        <f>EIA_RE_aeo2014!AF75*1000</f>
        <v>1309.8108052150469</v>
      </c>
      <c r="AE12" s="175">
        <f>EIA_RE_aeo2014!AG75*1000</f>
        <v>1309.7930576137624</v>
      </c>
      <c r="AF12" s="175">
        <f>EIA_RE_aeo2014!AH75*1000</f>
        <v>1313.5335981055566</v>
      </c>
      <c r="AG12" s="175">
        <f>EIA_RE_aeo2014!AI75*1000</f>
        <v>1309.7580294533325</v>
      </c>
      <c r="AH12" s="175">
        <f>EIA_RE_aeo2014!AJ75*1000</f>
        <v>1309.7458863577167</v>
      </c>
    </row>
    <row r="13" spans="1:34">
      <c r="A13" s="9" t="s">
        <v>347</v>
      </c>
      <c r="B13" s="34">
        <v>1</v>
      </c>
      <c r="C13" s="330">
        <f>(EIA_RE_aeo2014!E34+EIA_RE_aeo2014!E54)*1000</f>
        <v>0</v>
      </c>
      <c r="D13" s="330">
        <f>(EIA_RE_aeo2014!F34+EIA_RE_aeo2014!F54)*1000</f>
        <v>29.290343559</v>
      </c>
      <c r="E13" s="330">
        <f>(EIA_RE_aeo2014!G34+EIA_RE_aeo2014!G54)*1000</f>
        <v>62.891797892681723</v>
      </c>
      <c r="F13" s="330">
        <f>(EIA_RE_aeo2014!H34+EIA_RE_aeo2014!H54)*1000</f>
        <v>59.469649065766156</v>
      </c>
      <c r="G13" s="330">
        <f>(EIA_RE_aeo2014!I34+EIA_RE_aeo2014!I54)*1000</f>
        <v>98.306643042759774</v>
      </c>
      <c r="H13" s="83">
        <f>(EIA_RE_aeo2014!J34+EIA_RE_aeo2014!J54)*1000</f>
        <v>144.52151973985147</v>
      </c>
      <c r="I13" s="83">
        <f>(EIA_RE_aeo2014!K34+EIA_RE_aeo2014!K54)*1000</f>
        <v>206.38179729947436</v>
      </c>
      <c r="J13" s="83">
        <f>(EIA_RE_aeo2014!L34+EIA_RE_aeo2014!L54)*1000</f>
        <v>278.89814135046953</v>
      </c>
      <c r="K13" s="83">
        <f>(EIA_RE_aeo2014!M34+EIA_RE_aeo2014!M54)*1000</f>
        <v>346.68857961849642</v>
      </c>
      <c r="L13" s="83">
        <f>(EIA_RE_aeo2014!N34+EIA_RE_aeo2014!N54)*1000</f>
        <v>357.61682410894923</v>
      </c>
      <c r="M13" s="83">
        <f>(EIA_RE_aeo2014!O34+EIA_RE_aeo2014!O54)*1000</f>
        <v>360.70646022525409</v>
      </c>
      <c r="N13" s="388">
        <f>(EIA_RE_aeo2014!P34+EIA_RE_aeo2014!P54)*1000</f>
        <v>356.45825710038247</v>
      </c>
      <c r="O13" s="83">
        <f>(EIA_RE_aeo2014!Q34+EIA_RE_aeo2014!Q54)*1000</f>
        <v>354.44280564078701</v>
      </c>
      <c r="P13" s="83">
        <f>(EIA_RE_aeo2014!R34+EIA_RE_aeo2014!R54)*1000</f>
        <v>347.79434502193072</v>
      </c>
      <c r="Q13" s="83">
        <f>(EIA_RE_aeo2014!S34+EIA_RE_aeo2014!S54)*1000</f>
        <v>343.37680670019398</v>
      </c>
      <c r="R13" s="83">
        <f>(EIA_RE_aeo2014!T34+EIA_RE_aeo2014!T54)*1000</f>
        <v>341.54121839470173</v>
      </c>
      <c r="S13" s="83">
        <f>(EIA_RE_aeo2014!U34+EIA_RE_aeo2014!U54)*1000</f>
        <v>340.93584985135578</v>
      </c>
      <c r="T13" s="83">
        <f>(EIA_RE_aeo2014!V34+EIA_RE_aeo2014!V54)*1000</f>
        <v>334.11187404518409</v>
      </c>
      <c r="U13" s="83">
        <f>(EIA_RE_aeo2014!W34+EIA_RE_aeo2014!W54)*1000</f>
        <v>338.7933937818471</v>
      </c>
      <c r="V13" s="83">
        <f>(EIA_RE_aeo2014!X34+EIA_RE_aeo2014!X54)*1000</f>
        <v>343.55627371126513</v>
      </c>
      <c r="W13" s="83">
        <f>(EIA_RE_aeo2014!Y34+EIA_RE_aeo2014!Y54)*1000</f>
        <v>336.77979588361666</v>
      </c>
      <c r="X13" s="185">
        <f>(EIA_RE_aeo2014!Z34+EIA_RE_aeo2014!Z54)*1000</f>
        <v>340.56825379316632</v>
      </c>
      <c r="Y13" s="175">
        <f>(EIA_RE_aeo2014!AA34+EIA_RE_aeo2014!AA54)*1000</f>
        <v>343.61635628898699</v>
      </c>
      <c r="Z13" s="175">
        <f>(EIA_RE_aeo2014!AB34+EIA_RE_aeo2014!AB54)*1000</f>
        <v>345.24557033926942</v>
      </c>
      <c r="AA13" s="175">
        <f>(EIA_RE_aeo2014!AC34+EIA_RE_aeo2014!AC54)*1000</f>
        <v>351.22885588534734</v>
      </c>
      <c r="AB13" s="175">
        <f>(EIA_RE_aeo2014!AD34+EIA_RE_aeo2014!AD54)*1000</f>
        <v>353.92841800196038</v>
      </c>
      <c r="AC13" s="175">
        <f>(EIA_RE_aeo2014!AE34+EIA_RE_aeo2014!AE54)*1000</f>
        <v>350.72295142002071</v>
      </c>
      <c r="AD13" s="175">
        <f>(EIA_RE_aeo2014!AF34+EIA_RE_aeo2014!AF54)*1000</f>
        <v>354.55167177807544</v>
      </c>
      <c r="AE13" s="175">
        <f>(EIA_RE_aeo2014!AG34+EIA_RE_aeo2014!AG54)*1000</f>
        <v>353.14434007495572</v>
      </c>
      <c r="AF13" s="175">
        <f>(EIA_RE_aeo2014!AH34+EIA_RE_aeo2014!AH54)*1000</f>
        <v>352.0310513405135</v>
      </c>
      <c r="AG13" s="175">
        <f>(EIA_RE_aeo2014!AI34+EIA_RE_aeo2014!AI54)*1000</f>
        <v>349.44024372469426</v>
      </c>
      <c r="AH13" s="175">
        <f>(EIA_RE_aeo2014!AJ34+EIA_RE_aeo2014!AJ54)*1000</f>
        <v>342.59589012910072</v>
      </c>
    </row>
    <row r="14" spans="1:34">
      <c r="A14" s="9" t="s">
        <v>348</v>
      </c>
      <c r="B14" s="34">
        <v>1</v>
      </c>
      <c r="C14" s="330">
        <f>EIA_RE_aeo2014!E33*1000</f>
        <v>0</v>
      </c>
      <c r="D14" s="330">
        <f>EIA_RE_aeo2014!F33*1000</f>
        <v>0</v>
      </c>
      <c r="E14" s="330">
        <f>EIA_RE_aeo2014!G33*1000</f>
        <v>0.1</v>
      </c>
      <c r="F14" s="330">
        <f>EIA_RE_aeo2014!H33*1000</f>
        <v>0.1</v>
      </c>
      <c r="G14" s="330">
        <f>EIA_RE_aeo2014!I33*1000</f>
        <v>0.1</v>
      </c>
      <c r="H14" s="83">
        <f>EIA_RE_aeo2014!J33*1000</f>
        <v>0.1</v>
      </c>
      <c r="I14" s="83">
        <f>EIA_RE_aeo2014!K33*1000</f>
        <v>0.1</v>
      </c>
      <c r="J14" s="83">
        <f>EIA_RE_aeo2014!L33*1000</f>
        <v>0.1</v>
      </c>
      <c r="K14" s="83">
        <f>EIA_RE_aeo2014!M33*1000</f>
        <v>0.1</v>
      </c>
      <c r="L14" s="83">
        <f>EIA_RE_aeo2014!N33*1000</f>
        <v>0.1</v>
      </c>
      <c r="M14" s="83">
        <f>EIA_RE_aeo2014!O33*1000</f>
        <v>0.1</v>
      </c>
      <c r="N14" s="388">
        <f>EIA_RE_aeo2014!P33*1000</f>
        <v>0.1</v>
      </c>
      <c r="O14" s="83">
        <f>EIA_RE_aeo2014!Q33*1000</f>
        <v>0.1</v>
      </c>
      <c r="P14" s="83">
        <f>EIA_RE_aeo2014!R33*1000</f>
        <v>0.1</v>
      </c>
      <c r="Q14" s="83">
        <f>EIA_RE_aeo2014!S33*1000</f>
        <v>0.1</v>
      </c>
      <c r="R14" s="83">
        <f>EIA_RE_aeo2014!T33*1000</f>
        <v>0.1</v>
      </c>
      <c r="S14" s="83">
        <f>EIA_RE_aeo2014!U33*1000</f>
        <v>0.1</v>
      </c>
      <c r="T14" s="83">
        <f>EIA_RE_aeo2014!V33*1000</f>
        <v>0.1</v>
      </c>
      <c r="U14" s="83">
        <f>EIA_RE_aeo2014!W33*1000</f>
        <v>0.1</v>
      </c>
      <c r="V14" s="83">
        <f>EIA_RE_aeo2014!X33*1000</f>
        <v>0.1</v>
      </c>
      <c r="W14" s="83">
        <f>EIA_RE_aeo2014!Y33*1000</f>
        <v>0.1</v>
      </c>
      <c r="X14" s="185">
        <f>EIA_RE_aeo2014!Z33*1000</f>
        <v>0.1</v>
      </c>
      <c r="Y14" s="175">
        <f>EIA_RE_aeo2014!AA33*1000</f>
        <v>0.1</v>
      </c>
      <c r="Z14" s="175">
        <f>EIA_RE_aeo2014!AB33*1000</f>
        <v>0.1</v>
      </c>
      <c r="AA14" s="175">
        <f>EIA_RE_aeo2014!AC33*1000</f>
        <v>0.1</v>
      </c>
      <c r="AB14" s="175">
        <f>EIA_RE_aeo2014!AD33*1000</f>
        <v>0.1</v>
      </c>
      <c r="AC14" s="175">
        <f>EIA_RE_aeo2014!AE33*1000</f>
        <v>0.1</v>
      </c>
      <c r="AD14" s="175">
        <f>EIA_RE_aeo2014!AF33*1000</f>
        <v>0.1</v>
      </c>
      <c r="AE14" s="175">
        <f>EIA_RE_aeo2014!AG33*1000</f>
        <v>0.1</v>
      </c>
      <c r="AF14" s="175">
        <f>EIA_RE_aeo2014!AH33*1000</f>
        <v>0.1</v>
      </c>
      <c r="AG14" s="175">
        <f>EIA_RE_aeo2014!AI33*1000</f>
        <v>0.1</v>
      </c>
      <c r="AH14" s="175">
        <f>EIA_RE_aeo2014!AJ33*1000</f>
        <v>0.1</v>
      </c>
    </row>
    <row r="15" spans="1:34" s="514" customFormat="1">
      <c r="A15" s="511" t="s">
        <v>716</v>
      </c>
      <c r="B15" s="512">
        <v>1</v>
      </c>
      <c r="C15" s="513">
        <v>0.01</v>
      </c>
      <c r="D15" s="513">
        <v>0.01</v>
      </c>
      <c r="E15" s="513">
        <v>0.01</v>
      </c>
      <c r="F15" s="513">
        <v>0.01</v>
      </c>
      <c r="G15" s="513">
        <v>0.01</v>
      </c>
      <c r="H15" s="513">
        <v>0.01</v>
      </c>
      <c r="I15" s="513">
        <v>0.01</v>
      </c>
      <c r="J15" s="513">
        <v>0.01</v>
      </c>
      <c r="K15" s="513">
        <v>0.01</v>
      </c>
      <c r="L15" s="513">
        <v>0.01</v>
      </c>
      <c r="M15" s="513">
        <v>0.01</v>
      </c>
      <c r="N15" s="513">
        <v>0.01</v>
      </c>
      <c r="O15" s="513">
        <v>0.01</v>
      </c>
      <c r="P15" s="513">
        <v>0.01</v>
      </c>
      <c r="Q15" s="513">
        <v>0.01</v>
      </c>
      <c r="R15" s="513">
        <v>0.01</v>
      </c>
      <c r="S15" s="513">
        <v>0.01</v>
      </c>
      <c r="T15" s="513">
        <v>0.01</v>
      </c>
      <c r="U15" s="513">
        <v>0.01</v>
      </c>
      <c r="V15" s="513">
        <v>0.01</v>
      </c>
      <c r="W15" s="513">
        <v>0.01</v>
      </c>
      <c r="X15" s="513">
        <v>0.01</v>
      </c>
      <c r="Y15" s="513">
        <v>0.01</v>
      </c>
      <c r="Z15" s="513">
        <v>0.01</v>
      </c>
      <c r="AA15" s="513">
        <v>0.01</v>
      </c>
      <c r="AB15" s="513">
        <v>0.01</v>
      </c>
      <c r="AC15" s="513">
        <v>0.01</v>
      </c>
      <c r="AD15" s="513">
        <v>0.01</v>
      </c>
      <c r="AE15" s="513">
        <v>0.01</v>
      </c>
      <c r="AF15" s="513">
        <v>0.01</v>
      </c>
      <c r="AG15" s="513">
        <v>0.01</v>
      </c>
      <c r="AH15" s="513">
        <v>0.01</v>
      </c>
    </row>
    <row r="16" spans="1:34">
      <c r="A16" s="9" t="s">
        <v>53</v>
      </c>
      <c r="B16" s="34">
        <v>1</v>
      </c>
      <c r="C16" s="330">
        <f>EIA_RE_aeo2014!E78*1000</f>
        <v>6</v>
      </c>
      <c r="D16" s="330">
        <f>EIA_RE_aeo2014!F78*1000</f>
        <v>22</v>
      </c>
      <c r="E16" s="330">
        <f>EIA_RE_aeo2014!G78*1000</f>
        <v>13.48299612474594</v>
      </c>
      <c r="F16" s="330">
        <f>EIA_RE_aeo2014!H78*1000</f>
        <v>20.101397241682971</v>
      </c>
      <c r="G16" s="330">
        <f>EIA_RE_aeo2014!I78*1000</f>
        <v>33.38540055247438</v>
      </c>
      <c r="H16" s="3">
        <f>EIA_RE_aeo2014!J78*1000</f>
        <v>33.880262023149271</v>
      </c>
      <c r="I16" s="3">
        <f>EIA_RE_aeo2014!K78*1000</f>
        <v>83.751253246101015</v>
      </c>
      <c r="J16" s="3">
        <f>EIA_RE_aeo2014!L78*1000</f>
        <v>117.42757507743347</v>
      </c>
      <c r="K16" s="3">
        <f>EIA_RE_aeo2014!M78*1000</f>
        <v>117.42493132238832</v>
      </c>
      <c r="L16" s="3">
        <f>EIA_RE_aeo2014!N78*1000</f>
        <v>117.38867631899127</v>
      </c>
      <c r="M16" s="3">
        <f>EIA_RE_aeo2014!O78*1000</f>
        <v>117.39431942186543</v>
      </c>
      <c r="N16" s="388">
        <f>EIA_RE_aeo2014!P78*1000</f>
        <v>117.41887078450702</v>
      </c>
      <c r="O16" s="3">
        <f>EIA_RE_aeo2014!Q78*1000</f>
        <v>117.40664148485369</v>
      </c>
      <c r="P16" s="3">
        <f>EIA_RE_aeo2014!R78*1000</f>
        <v>117.39908127305789</v>
      </c>
      <c r="Q16" s="3">
        <f>EIA_RE_aeo2014!S78*1000</f>
        <v>117.43737706982311</v>
      </c>
      <c r="R16" s="3">
        <f>EIA_RE_aeo2014!T78*1000</f>
        <v>117.55079570731597</v>
      </c>
      <c r="S16" s="3">
        <f>EIA_RE_aeo2014!U78*1000</f>
        <v>117.47796102884966</v>
      </c>
      <c r="T16" s="3">
        <f>EIA_RE_aeo2014!V78*1000</f>
        <v>118.03627262060834</v>
      </c>
      <c r="U16" s="3">
        <f>EIA_RE_aeo2014!W78*1000</f>
        <v>118.45373854885014</v>
      </c>
      <c r="V16" s="3">
        <f>EIA_RE_aeo2014!X78*1000</f>
        <v>120.54904583686206</v>
      </c>
      <c r="W16" s="3">
        <f>EIA_RE_aeo2014!Y78*1000</f>
        <v>122.85874465242487</v>
      </c>
      <c r="X16" s="185">
        <f>EIA_RE_aeo2014!Z78*1000</f>
        <v>123.4403243806921</v>
      </c>
      <c r="Y16" s="175">
        <f>EIA_RE_aeo2014!AA78*1000</f>
        <v>123.5179518314625</v>
      </c>
      <c r="Z16" s="175">
        <f>EIA_RE_aeo2014!AB78*1000</f>
        <v>123.58775624098814</v>
      </c>
      <c r="AA16" s="175">
        <f>EIA_RE_aeo2014!AC78*1000</f>
        <v>125.40392319367655</v>
      </c>
      <c r="AB16" s="175">
        <f>EIA_RE_aeo2014!AD78*1000</f>
        <v>127.81354358150165</v>
      </c>
      <c r="AC16" s="175">
        <f>EIA_RE_aeo2014!AE78*1000</f>
        <v>128.68415840081698</v>
      </c>
      <c r="AD16" s="175">
        <f>EIA_RE_aeo2014!AF78*1000</f>
        <v>136.0944182657241</v>
      </c>
      <c r="AE16" s="175">
        <f>EIA_RE_aeo2014!AG78*1000</f>
        <v>141.65154498897806</v>
      </c>
      <c r="AF16" s="175">
        <f>EIA_RE_aeo2014!AH78*1000</f>
        <v>142.32457390491845</v>
      </c>
      <c r="AG16" s="175">
        <f>EIA_RE_aeo2014!AI78*1000</f>
        <v>143.78646222099988</v>
      </c>
      <c r="AH16" s="175">
        <f>EIA_RE_aeo2014!AJ78*1000</f>
        <v>145.90915015336839</v>
      </c>
    </row>
    <row r="17" spans="1:34">
      <c r="A17" s="11" t="s">
        <v>327</v>
      </c>
      <c r="B17" s="36"/>
      <c r="C17" s="330">
        <f t="shared" ref="C17:AH17" si="0">SUM(C7:C16)</f>
        <v>7822</v>
      </c>
      <c r="D17" s="330">
        <f t="shared" si="0"/>
        <v>8215.2903435589997</v>
      </c>
      <c r="E17" s="330">
        <f t="shared" si="0"/>
        <v>7714.5945306263138</v>
      </c>
      <c r="F17" s="330">
        <f t="shared" si="0"/>
        <v>7862.7152687096032</v>
      </c>
      <c r="G17" s="330">
        <f t="shared" si="0"/>
        <v>7830.511999830992</v>
      </c>
      <c r="H17" s="3">
        <f t="shared" si="0"/>
        <v>7918.9592220581526</v>
      </c>
      <c r="I17" s="3">
        <f t="shared" si="0"/>
        <v>7459.1292354947036</v>
      </c>
      <c r="J17" s="3">
        <f t="shared" si="0"/>
        <v>7667.4257211461891</v>
      </c>
      <c r="K17" s="3">
        <f t="shared" si="0"/>
        <v>7760.3055418087461</v>
      </c>
      <c r="L17" s="3">
        <f t="shared" si="0"/>
        <v>7785.6311726590657</v>
      </c>
      <c r="M17" s="3">
        <f t="shared" si="0"/>
        <v>7804.4010282245054</v>
      </c>
      <c r="N17" s="388">
        <f t="shared" si="0"/>
        <v>7807.3662920329543</v>
      </c>
      <c r="O17" s="3">
        <f t="shared" si="0"/>
        <v>7817.1951995197333</v>
      </c>
      <c r="P17" s="3">
        <f t="shared" si="0"/>
        <v>7811.0810109078475</v>
      </c>
      <c r="Q17" s="3">
        <f t="shared" si="0"/>
        <v>7856.6488388639718</v>
      </c>
      <c r="R17" s="3">
        <f t="shared" si="0"/>
        <v>7856.418080385095</v>
      </c>
      <c r="S17" s="3">
        <f t="shared" si="0"/>
        <v>7860.0172749222784</v>
      </c>
      <c r="T17" s="3">
        <f t="shared" si="0"/>
        <v>7855.1724805552867</v>
      </c>
      <c r="U17" s="3">
        <f t="shared" si="0"/>
        <v>7870.0636725539325</v>
      </c>
      <c r="V17" s="3">
        <f t="shared" si="0"/>
        <v>7897.4539839914387</v>
      </c>
      <c r="W17" s="3">
        <f t="shared" si="0"/>
        <v>7887.0990779419317</v>
      </c>
      <c r="X17" s="185">
        <f t="shared" si="0"/>
        <v>7891.4725556032836</v>
      </c>
      <c r="Y17" s="175">
        <f t="shared" si="0"/>
        <v>7900.4252485319812</v>
      </c>
      <c r="Z17" s="175">
        <f t="shared" si="0"/>
        <v>7901.8630976622371</v>
      </c>
      <c r="AA17" s="175">
        <f t="shared" si="0"/>
        <v>7911.3706671883101</v>
      </c>
      <c r="AB17" s="175">
        <f t="shared" si="0"/>
        <v>7913.8998683812124</v>
      </c>
      <c r="AC17" s="175">
        <f t="shared" si="0"/>
        <v>7912.2817934723371</v>
      </c>
      <c r="AD17" s="175">
        <f t="shared" si="0"/>
        <v>7930.3973197123669</v>
      </c>
      <c r="AE17" s="175">
        <f t="shared" si="0"/>
        <v>7938.8228262699813</v>
      </c>
      <c r="AF17" s="175">
        <f t="shared" si="0"/>
        <v>7939.5372958957159</v>
      </c>
      <c r="AG17" s="175">
        <f t="shared" si="0"/>
        <v>7935.8680868971396</v>
      </c>
      <c r="AH17" s="175">
        <f t="shared" si="0"/>
        <v>7932.4445640614977</v>
      </c>
    </row>
    <row r="18" spans="1:34">
      <c r="A18" s="10" t="s">
        <v>126</v>
      </c>
      <c r="B18" s="37"/>
      <c r="C18" s="331">
        <f t="shared" ref="C18:AH18" si="1">SUMPRODUCT($B7:$B16,C7:C16)</f>
        <v>1225.01</v>
      </c>
      <c r="D18" s="331">
        <f t="shared" si="1"/>
        <v>1301.3003435589999</v>
      </c>
      <c r="E18" s="331">
        <f t="shared" si="1"/>
        <v>1320.056658523185</v>
      </c>
      <c r="F18" s="331">
        <f t="shared" si="1"/>
        <v>1368.8115538788295</v>
      </c>
      <c r="G18" s="331">
        <f t="shared" si="1"/>
        <v>1542.0316934663647</v>
      </c>
      <c r="H18" s="14">
        <f t="shared" si="1"/>
        <v>1591.3595872322778</v>
      </c>
      <c r="I18" s="14">
        <f t="shared" si="1"/>
        <v>1709.4808346640393</v>
      </c>
      <c r="J18" s="14">
        <f t="shared" si="1"/>
        <v>1846.2337291681997</v>
      </c>
      <c r="K18" s="14">
        <f t="shared" si="1"/>
        <v>1917.2235170712611</v>
      </c>
      <c r="L18" s="14">
        <f t="shared" si="1"/>
        <v>1930.861973303892</v>
      </c>
      <c r="M18" s="14">
        <f t="shared" si="1"/>
        <v>1937.9397178473903</v>
      </c>
      <c r="N18" s="191">
        <f t="shared" si="1"/>
        <v>1937.5610977434039</v>
      </c>
      <c r="O18" s="14">
        <f t="shared" si="1"/>
        <v>1947.3896993576031</v>
      </c>
      <c r="P18" s="14">
        <f t="shared" si="1"/>
        <v>1941.2752473161368</v>
      </c>
      <c r="Q18" s="14">
        <f t="shared" si="1"/>
        <v>1937.0923338872617</v>
      </c>
      <c r="R18" s="14">
        <f t="shared" si="1"/>
        <v>1936.8617071231758</v>
      </c>
      <c r="S18" s="14">
        <f t="shared" si="1"/>
        <v>1940.4597162272437</v>
      </c>
      <c r="T18" s="14">
        <f t="shared" si="1"/>
        <v>1935.6126827088128</v>
      </c>
      <c r="U18" s="14">
        <f t="shared" si="1"/>
        <v>1943.1418974761586</v>
      </c>
      <c r="V18" s="14">
        <f t="shared" si="1"/>
        <v>1963.1837514769968</v>
      </c>
      <c r="W18" s="14">
        <f t="shared" si="1"/>
        <v>1952.827659994374</v>
      </c>
      <c r="X18" s="188">
        <f t="shared" si="1"/>
        <v>1957.201269370518</v>
      </c>
      <c r="Y18" s="14">
        <f t="shared" si="1"/>
        <v>1966.153830584424</v>
      </c>
      <c r="Z18" s="14">
        <f t="shared" si="1"/>
        <v>1967.5914162850986</v>
      </c>
      <c r="AA18" s="14">
        <f t="shared" si="1"/>
        <v>1977.1005663886585</v>
      </c>
      <c r="AB18" s="14">
        <f t="shared" si="1"/>
        <v>1979.6297675815611</v>
      </c>
      <c r="AC18" s="14">
        <f t="shared" si="1"/>
        <v>1978.0116926726853</v>
      </c>
      <c r="AD18" s="14">
        <f t="shared" si="1"/>
        <v>1990.7988287757407</v>
      </c>
      <c r="AE18" s="14">
        <f t="shared" si="1"/>
        <v>1999.2240294607757</v>
      </c>
      <c r="AF18" s="14">
        <f t="shared" si="1"/>
        <v>1999.9384990865103</v>
      </c>
      <c r="AG18" s="14">
        <f t="shared" si="1"/>
        <v>1996.2695959605126</v>
      </c>
      <c r="AH18" s="14">
        <f t="shared" si="1"/>
        <v>1992.8447559769656</v>
      </c>
    </row>
    <row r="19" spans="1:34">
      <c r="A19" s="10" t="s">
        <v>112</v>
      </c>
      <c r="B19" s="37"/>
      <c r="C19" s="332">
        <f t="shared" ref="C19:AH19" si="2">C18/C4</f>
        <v>3.1012911392405064E-2</v>
      </c>
      <c r="D19" s="332">
        <f t="shared" si="2"/>
        <v>3.0162490868947452E-2</v>
      </c>
      <c r="E19" s="332">
        <f t="shared" si="2"/>
        <v>3.4199651605811586E-2</v>
      </c>
      <c r="F19" s="332">
        <f t="shared" si="2"/>
        <v>3.7588843402932372E-2</v>
      </c>
      <c r="G19" s="332">
        <f t="shared" si="2"/>
        <v>4.3079629716074257E-2</v>
      </c>
      <c r="H19" s="23">
        <f t="shared" si="2"/>
        <v>4.3189509712340035E-2</v>
      </c>
      <c r="I19" s="23">
        <f t="shared" si="2"/>
        <v>4.5701090176219768E-2</v>
      </c>
      <c r="J19" s="23">
        <f t="shared" si="2"/>
        <v>5.0251049152782709E-2</v>
      </c>
      <c r="K19" s="23">
        <f t="shared" si="2"/>
        <v>5.0073874977733884E-2</v>
      </c>
      <c r="L19" s="23">
        <f t="shared" si="2"/>
        <v>4.8888582718993719E-2</v>
      </c>
      <c r="M19" s="23">
        <f t="shared" si="2"/>
        <v>4.8647380761699575E-2</v>
      </c>
      <c r="N19" s="184">
        <f t="shared" si="2"/>
        <v>4.9217696216364966E-2</v>
      </c>
      <c r="O19" s="23">
        <f t="shared" si="2"/>
        <v>4.9748724495635173E-2</v>
      </c>
      <c r="P19" s="23">
        <f t="shared" si="2"/>
        <v>5.0540809211002027E-2</v>
      </c>
      <c r="Q19" s="23">
        <f t="shared" si="2"/>
        <v>5.1080902553834975E-2</v>
      </c>
      <c r="R19" s="23">
        <f t="shared" si="2"/>
        <v>5.1349399237152149E-2</v>
      </c>
      <c r="S19" s="23">
        <f t="shared" si="2"/>
        <v>5.1536160990991182E-2</v>
      </c>
      <c r="T19" s="23">
        <f t="shared" si="2"/>
        <v>5.2457701116535693E-2</v>
      </c>
      <c r="U19" s="23">
        <f t="shared" si="2"/>
        <v>5.1933846697365102E-2</v>
      </c>
      <c r="V19" s="23">
        <f t="shared" si="2"/>
        <v>5.1741879301198064E-2</v>
      </c>
      <c r="W19" s="23">
        <f t="shared" si="2"/>
        <v>5.2504867161918926E-2</v>
      </c>
      <c r="X19" s="186">
        <f t="shared" si="2"/>
        <v>5.2036918030309846E-2</v>
      </c>
      <c r="Y19" s="173">
        <f t="shared" si="2"/>
        <v>5.1811095439160605E-2</v>
      </c>
      <c r="Z19" s="173">
        <f t="shared" si="2"/>
        <v>5.1604231725314462E-2</v>
      </c>
      <c r="AA19" s="173">
        <f t="shared" si="2"/>
        <v>5.0970036025436399E-2</v>
      </c>
      <c r="AB19" s="173">
        <f t="shared" si="2"/>
        <v>5.0645861896569007E-2</v>
      </c>
      <c r="AC19" s="173">
        <f t="shared" si="2"/>
        <v>5.1067102229173988E-2</v>
      </c>
      <c r="AD19" s="173">
        <f t="shared" si="2"/>
        <v>5.0842049477374154E-2</v>
      </c>
      <c r="AE19" s="173">
        <f t="shared" si="2"/>
        <v>5.1260744695472704E-2</v>
      </c>
      <c r="AF19" s="173">
        <f t="shared" si="2"/>
        <v>5.1441278666142724E-2</v>
      </c>
      <c r="AG19" s="173">
        <f t="shared" si="2"/>
        <v>5.1727712661432758E-2</v>
      </c>
      <c r="AH19" s="173">
        <f t="shared" si="2"/>
        <v>5.2670907986405772E-2</v>
      </c>
    </row>
    <row r="20" spans="1:34">
      <c r="A20" s="10" t="s">
        <v>142</v>
      </c>
      <c r="B20" s="37"/>
      <c r="C20" s="331">
        <f>EIA_electricity_aeo2014!E49*1000</f>
        <v>9028</v>
      </c>
      <c r="D20" s="331">
        <f>EIA_electricity_aeo2014!F49*1000</f>
        <v>8306</v>
      </c>
      <c r="E20" s="331">
        <f>EIA_electricity_aeo2014!G49*1000</f>
        <v>3979.5551947314084</v>
      </c>
      <c r="F20" s="331">
        <f>EIA_electricity_aeo2014!H49*1000</f>
        <v>2065.2800691612365</v>
      </c>
      <c r="G20" s="331">
        <f>EIA_electricity_aeo2014!I49*1000</f>
        <v>2244.7896438281391</v>
      </c>
      <c r="H20" s="14">
        <f>EIA_electricity_aeo2014!J49*1000</f>
        <v>2233.1737429348691</v>
      </c>
      <c r="I20" s="14">
        <f>EIA_electricity_aeo2014!K49*1000</f>
        <v>2255.0677418280698</v>
      </c>
      <c r="J20" s="14">
        <f>EIA_electricity_aeo2014!L49*1000</f>
        <v>305.82940284368476</v>
      </c>
      <c r="K20" s="14">
        <f>EIA_electricity_aeo2014!M49*1000</f>
        <v>1165.2139439486418</v>
      </c>
      <c r="L20" s="14">
        <f>EIA_electricity_aeo2014!N49*1000</f>
        <v>2214.7256178378611</v>
      </c>
      <c r="M20" s="14">
        <f>EIA_electricity_aeo2014!O49*1000</f>
        <v>2649.8262659904176</v>
      </c>
      <c r="N20" s="191">
        <f>EIA_electricity_aeo2014!P49*1000</f>
        <v>2739.4407902892372</v>
      </c>
      <c r="O20" s="14">
        <f>EIA_electricity_aeo2014!Q49*1000</f>
        <v>2804.4833525462509</v>
      </c>
      <c r="P20" s="14">
        <f>EIA_electricity_aeo2014!R49*1000</f>
        <v>2848.8100075328766</v>
      </c>
      <c r="Q20" s="14">
        <f>EIA_electricity_aeo2014!S49*1000</f>
        <v>2882.0605975074222</v>
      </c>
      <c r="R20" s="14">
        <f>EIA_electricity_aeo2014!T49*1000</f>
        <v>2897.7517878312838</v>
      </c>
      <c r="S20" s="14">
        <f>EIA_electricity_aeo2014!U49*1000</f>
        <v>2913.2809095226921</v>
      </c>
      <c r="T20" s="14">
        <f>EIA_electricity_aeo2014!V49*1000</f>
        <v>2914.4755026789917</v>
      </c>
      <c r="U20" s="14">
        <f>EIA_electricity_aeo2014!W49*1000</f>
        <v>4511.7449725115175</v>
      </c>
      <c r="V20" s="14">
        <f>EIA_electricity_aeo2014!X49*1000</f>
        <v>4934.9857328114022</v>
      </c>
      <c r="W20" s="14">
        <f>EIA_electricity_aeo2014!Y49*1000</f>
        <v>5008.9721262178964</v>
      </c>
      <c r="X20" s="188">
        <f>EIA_electricity_aeo2014!Z49*1000</f>
        <v>5037.8468631162104</v>
      </c>
      <c r="Y20" s="14">
        <f>EIA_electricity_aeo2014!AA49*1000</f>
        <v>5010.8863041022878</v>
      </c>
      <c r="Z20" s="14">
        <f>EIA_electricity_aeo2014!AB49*1000</f>
        <v>4446.0093458480869</v>
      </c>
      <c r="AA20" s="14">
        <f>EIA_electricity_aeo2014!AC49*1000</f>
        <v>4369.1068957384023</v>
      </c>
      <c r="AB20" s="14">
        <f>EIA_electricity_aeo2014!AD49*1000</f>
        <v>4202.7083787667079</v>
      </c>
      <c r="AC20" s="14">
        <f>EIA_electricity_aeo2014!AE49*1000</f>
        <v>4102.2770992677324</v>
      </c>
      <c r="AD20" s="14">
        <f>EIA_electricity_aeo2014!AF49*1000</f>
        <v>4668.1264693166504</v>
      </c>
      <c r="AE20" s="14">
        <f>EIA_electricity_aeo2014!AG49*1000</f>
        <v>4593.8106345809156</v>
      </c>
      <c r="AF20" s="14">
        <f>EIA_electricity_aeo2014!AH49*1000</f>
        <v>4690.9763784710831</v>
      </c>
      <c r="AG20" s="14">
        <f>EIA_electricity_aeo2014!AI49*1000</f>
        <v>4692.8316223073089</v>
      </c>
      <c r="AH20" s="14">
        <f>EIA_electricity_aeo2014!AJ49*1000</f>
        <v>4691.2610299237185</v>
      </c>
    </row>
    <row r="21" spans="1:34">
      <c r="A21" s="10" t="s">
        <v>222</v>
      </c>
      <c r="B21" s="37"/>
      <c r="C21" s="331">
        <f>EIA_electricity_aeo2014!E51*1000</f>
        <v>20988</v>
      </c>
      <c r="D21" s="331">
        <f>EIA_electricity_aeo2014!F51*1000</f>
        <v>25582</v>
      </c>
      <c r="E21" s="331">
        <f>EIA_electricity_aeo2014!G51*1000</f>
        <v>26076.480606331133</v>
      </c>
      <c r="F21" s="331">
        <f>EIA_electricity_aeo2014!H51*1000</f>
        <v>25649.816839166131</v>
      </c>
      <c r="G21" s="331">
        <f>EIA_electricity_aeo2014!I51*1000</f>
        <v>24964.539463419071</v>
      </c>
      <c r="H21" s="14">
        <f>EIA_electricity_aeo2014!J51*1000</f>
        <v>25939.645643150128</v>
      </c>
      <c r="I21" s="14">
        <f>EIA_electricity_aeo2014!K51*1000</f>
        <v>26519.096358496317</v>
      </c>
      <c r="J21" s="14">
        <f>EIA_electricity_aeo2014!L51*1000</f>
        <v>27212.492860003837</v>
      </c>
      <c r="K21" s="14">
        <f>EIA_electricity_aeo2014!M51*1000</f>
        <v>27945.611877425392</v>
      </c>
      <c r="L21" s="14">
        <f>EIA_electricity_aeo2014!N51*1000</f>
        <v>28070.14215132286</v>
      </c>
      <c r="M21" s="14">
        <f>EIA_electricity_aeo2014!O51*1000</f>
        <v>27931.733589752035</v>
      </c>
      <c r="N21" s="191">
        <f>EIA_electricity_aeo2014!P51*1000</f>
        <v>27343.596420449721</v>
      </c>
      <c r="O21" s="14">
        <f>EIA_electricity_aeo2014!Q51*1000</f>
        <v>26987.806171502099</v>
      </c>
      <c r="P21" s="14">
        <f>EIA_electricity_aeo2014!R51*1000</f>
        <v>26209.764997180544</v>
      </c>
      <c r="Q21" s="14">
        <f>EIA_electricity_aeo2014!S51*1000</f>
        <v>25628.28742812002</v>
      </c>
      <c r="R21" s="14">
        <f>EIA_electricity_aeo2014!T51*1000</f>
        <v>25400.18115590679</v>
      </c>
      <c r="S21" s="14">
        <f>EIA_electricity_aeo2014!U51*1000</f>
        <v>25305.729686071329</v>
      </c>
      <c r="T21" s="14">
        <f>EIA_electricity_aeo2014!V51*1000</f>
        <v>24530.335609592392</v>
      </c>
      <c r="U21" s="14">
        <f>EIA_electricity_aeo2014!W51*1000</f>
        <v>23388.61710993942</v>
      </c>
      <c r="V21" s="14">
        <f>EIA_electricity_aeo2014!X51*1000</f>
        <v>23395.02210647261</v>
      </c>
      <c r="W21" s="14">
        <f>EIA_electricity_aeo2014!Y51*1000</f>
        <v>22555.192472333081</v>
      </c>
      <c r="X21" s="188">
        <f>EIA_electricity_aeo2014!Z51*1000</f>
        <v>22928.082374786791</v>
      </c>
      <c r="Y21" s="14">
        <f>EIA_electricity_aeo2014!AA51*1000</f>
        <v>23265.453975547112</v>
      </c>
      <c r="Z21" s="14">
        <f>EIA_electricity_aeo2014!AB51*1000</f>
        <v>24002.21508383947</v>
      </c>
      <c r="AA21" s="14">
        <f>EIA_electricity_aeo2014!AC51*1000</f>
        <v>24701.772821600392</v>
      </c>
      <c r="AB21" s="14">
        <f>EIA_electricity_aeo2014!AD51*1000</f>
        <v>25126.739375287078</v>
      </c>
      <c r="AC21" s="14">
        <f>EIA_electricity_aeo2014!AE51*1000</f>
        <v>24850.66828004799</v>
      </c>
      <c r="AD21" s="14">
        <f>EIA_electricity_aeo2014!AF51*1000</f>
        <v>24608.443429778836</v>
      </c>
      <c r="AE21" s="14">
        <f>EIA_electricity_aeo2014!AG51*1000</f>
        <v>24437.510654079371</v>
      </c>
      <c r="AF21" s="14">
        <f>EIA_electricity_aeo2014!AH51*1000</f>
        <v>24213.226473655293</v>
      </c>
      <c r="AG21" s="14">
        <f>EIA_electricity_aeo2014!AI51*1000</f>
        <v>23892.109606427701</v>
      </c>
      <c r="AH21" s="14">
        <f>EIA_electricity_aeo2014!AJ51*1000</f>
        <v>23096.263521989844</v>
      </c>
    </row>
    <row r="22" spans="1:34">
      <c r="A22" s="10" t="s">
        <v>350</v>
      </c>
      <c r="B22" s="37"/>
      <c r="C22" s="330">
        <f>SUM(C17,C20:C21)</f>
        <v>37838</v>
      </c>
      <c r="D22" s="330">
        <f t="shared" ref="D22:AH22" si="3">SUM(D17,D20:D21)</f>
        <v>42103.290343558998</v>
      </c>
      <c r="E22" s="330">
        <f t="shared" si="3"/>
        <v>37770.630331688852</v>
      </c>
      <c r="F22" s="330">
        <f t="shared" si="3"/>
        <v>35577.812177036969</v>
      </c>
      <c r="G22" s="330">
        <f t="shared" si="3"/>
        <v>35039.841107078202</v>
      </c>
      <c r="H22" s="79">
        <f t="shared" si="3"/>
        <v>36091.778608143148</v>
      </c>
      <c r="I22" s="79">
        <f t="shared" si="3"/>
        <v>36233.293335819093</v>
      </c>
      <c r="J22" s="79">
        <f t="shared" si="3"/>
        <v>35185.747983993708</v>
      </c>
      <c r="K22" s="79">
        <f t="shared" si="3"/>
        <v>36871.13136318278</v>
      </c>
      <c r="L22" s="79">
        <f t="shared" si="3"/>
        <v>38070.498941819787</v>
      </c>
      <c r="M22" s="79">
        <f t="shared" si="3"/>
        <v>38385.96088396696</v>
      </c>
      <c r="N22" s="388">
        <f t="shared" si="3"/>
        <v>37890.403502771915</v>
      </c>
      <c r="O22" s="79">
        <f t="shared" si="3"/>
        <v>37609.484723568079</v>
      </c>
      <c r="P22" s="79">
        <f t="shared" si="3"/>
        <v>36869.656015621265</v>
      </c>
      <c r="Q22" s="79">
        <f t="shared" si="3"/>
        <v>36366.996864491419</v>
      </c>
      <c r="R22" s="79">
        <f t="shared" si="3"/>
        <v>36154.351024123171</v>
      </c>
      <c r="S22" s="79">
        <f t="shared" si="3"/>
        <v>36079.0278705163</v>
      </c>
      <c r="T22" s="79">
        <f t="shared" si="3"/>
        <v>35299.983592826669</v>
      </c>
      <c r="U22" s="79">
        <f t="shared" si="3"/>
        <v>35770.425755004871</v>
      </c>
      <c r="V22" s="79">
        <f t="shared" si="3"/>
        <v>36227.461823275451</v>
      </c>
      <c r="W22" s="79">
        <f t="shared" si="3"/>
        <v>35451.263676492905</v>
      </c>
      <c r="X22" s="185">
        <f t="shared" si="3"/>
        <v>35857.401793506288</v>
      </c>
      <c r="Y22" s="175">
        <f t="shared" si="3"/>
        <v>36176.765528181379</v>
      </c>
      <c r="Z22" s="175">
        <f t="shared" si="3"/>
        <v>36350.087527349795</v>
      </c>
      <c r="AA22" s="175">
        <f t="shared" si="3"/>
        <v>36982.250384527106</v>
      </c>
      <c r="AB22" s="175">
        <f t="shared" si="3"/>
        <v>37243.347622435002</v>
      </c>
      <c r="AC22" s="175">
        <f t="shared" si="3"/>
        <v>36865.227172788058</v>
      </c>
      <c r="AD22" s="175">
        <f t="shared" si="3"/>
        <v>37206.967218807855</v>
      </c>
      <c r="AE22" s="175">
        <f t="shared" si="3"/>
        <v>36970.14411493027</v>
      </c>
      <c r="AF22" s="175">
        <f t="shared" si="3"/>
        <v>36843.740148022094</v>
      </c>
      <c r="AG22" s="175">
        <f t="shared" si="3"/>
        <v>36520.809315632148</v>
      </c>
      <c r="AH22" s="175">
        <f t="shared" si="3"/>
        <v>35719.969115975058</v>
      </c>
    </row>
    <row r="23" spans="1:34">
      <c r="A23" s="10" t="s">
        <v>328</v>
      </c>
      <c r="B23" s="37"/>
      <c r="C23" s="330">
        <f>EIA_electricity_aeo2014!E50*1000+EIA_electricity_aeo2014!E55*1000</f>
        <v>1658</v>
      </c>
      <c r="D23" s="330">
        <f>EIA_electricity_aeo2014!F50*1000+EIA_electricity_aeo2014!F55*1000</f>
        <v>1067</v>
      </c>
      <c r="E23" s="330">
        <f>EIA_electricity_aeo2014!G50*1000+EIA_electricity_aeo2014!G55*1000</f>
        <v>798.49131917076375</v>
      </c>
      <c r="F23" s="330">
        <f>EIA_electricity_aeo2014!H50*1000+EIA_electricity_aeo2014!H55*1000</f>
        <v>764.77164109582532</v>
      </c>
      <c r="G23" s="330">
        <f>EIA_electricity_aeo2014!I50*1000+EIA_electricity_aeo2014!I55*1000</f>
        <v>787.75811613541987</v>
      </c>
      <c r="H23" s="330">
        <f>EIA_electricity_aeo2014!J50*1000+EIA_electricity_aeo2014!J55*1000</f>
        <v>787.44921090208459</v>
      </c>
      <c r="I23" s="330">
        <f>EIA_electricity_aeo2014!K50*1000+EIA_electricity_aeo2014!K55*1000</f>
        <v>789.38426757735988</v>
      </c>
      <c r="J23" s="330">
        <f>EIA_electricity_aeo2014!L50*1000+EIA_electricity_aeo2014!L55*1000</f>
        <v>782.70606715876897</v>
      </c>
      <c r="K23" s="330">
        <f>EIA_electricity_aeo2014!M50*1000+EIA_electricity_aeo2014!M55*1000</f>
        <v>694.73797035503037</v>
      </c>
      <c r="L23" s="330">
        <f>EIA_electricity_aeo2014!N50*1000+EIA_electricity_aeo2014!N55*1000</f>
        <v>699.17212902087942</v>
      </c>
      <c r="M23" s="330">
        <f>EIA_electricity_aeo2014!O50*1000+EIA_electricity_aeo2014!O55*1000</f>
        <v>706.86983237498623</v>
      </c>
      <c r="N23" s="330">
        <f>EIA_electricity_aeo2014!P50*1000+EIA_electricity_aeo2014!P55*1000</f>
        <v>707.46564800700457</v>
      </c>
      <c r="O23" s="330">
        <f>EIA_electricity_aeo2014!Q50*1000+EIA_electricity_aeo2014!Q55*1000</f>
        <v>701.36232577811813</v>
      </c>
      <c r="P23" s="330">
        <f>EIA_electricity_aeo2014!R50*1000+EIA_electricity_aeo2014!R55*1000</f>
        <v>694.66815550237868</v>
      </c>
      <c r="Q23" s="330">
        <f>EIA_electricity_aeo2014!S50*1000+EIA_electricity_aeo2014!S55*1000</f>
        <v>694.46670072765539</v>
      </c>
      <c r="R23" s="330">
        <f>EIA_electricity_aeo2014!T50*1000+EIA_electricity_aeo2014!T55*1000</f>
        <v>687.40342615973373</v>
      </c>
      <c r="S23" s="330">
        <f>EIA_electricity_aeo2014!U50*1000+EIA_electricity_aeo2014!U55*1000</f>
        <v>687.64817668738885</v>
      </c>
      <c r="T23" s="330">
        <f>EIA_electricity_aeo2014!V50*1000+EIA_electricity_aeo2014!V55*1000</f>
        <v>685.77962344897242</v>
      </c>
      <c r="U23" s="330">
        <f>EIA_electricity_aeo2014!W50*1000+EIA_electricity_aeo2014!W55*1000</f>
        <v>690.25141772078166</v>
      </c>
      <c r="V23" s="330">
        <f>EIA_electricity_aeo2014!X50*1000+EIA_electricity_aeo2014!X55*1000</f>
        <v>690.35717729618511</v>
      </c>
      <c r="W23" s="330">
        <f>EIA_electricity_aeo2014!Y50*1000+EIA_electricity_aeo2014!Y55*1000</f>
        <v>690.56559895983071</v>
      </c>
      <c r="X23" s="330">
        <f>EIA_electricity_aeo2014!Z50*1000+EIA_electricity_aeo2014!Z55*1000</f>
        <v>690.39306170133818</v>
      </c>
      <c r="Y23" s="330">
        <f>EIA_electricity_aeo2014!AA50*1000+EIA_electricity_aeo2014!AA55*1000</f>
        <v>690.28064365756109</v>
      </c>
      <c r="Z23" s="330">
        <f>EIA_electricity_aeo2014!AB50*1000+EIA_electricity_aeo2014!AB55*1000</f>
        <v>687.90862293386567</v>
      </c>
      <c r="AA23" s="330">
        <f>EIA_electricity_aeo2014!AC50*1000+EIA_electricity_aeo2014!AC55*1000</f>
        <v>687.29535376547062</v>
      </c>
      <c r="AB23" s="330">
        <f>EIA_electricity_aeo2014!AD50*1000+EIA_electricity_aeo2014!AD55*1000</f>
        <v>686.88846274962089</v>
      </c>
      <c r="AC23" s="330">
        <f>EIA_electricity_aeo2014!AE50*1000+EIA_electricity_aeo2014!AE55*1000</f>
        <v>685.0051308071836</v>
      </c>
      <c r="AD23" s="330">
        <f>EIA_electricity_aeo2014!AF50*1000+EIA_electricity_aeo2014!AF55*1000</f>
        <v>686.89674153477188</v>
      </c>
      <c r="AE23" s="330">
        <f>EIA_electricity_aeo2014!AG50*1000+EIA_electricity_aeo2014!AG55*1000</f>
        <v>686.03021187592481</v>
      </c>
      <c r="AF23" s="330">
        <f>EIA_electricity_aeo2014!AH50*1000+EIA_electricity_aeo2014!AH55*1000</f>
        <v>686.44516053230495</v>
      </c>
      <c r="AG23" s="330">
        <f>EIA_electricity_aeo2014!AI50*1000+EIA_electricity_aeo2014!AI55*1000</f>
        <v>686.51673732593406</v>
      </c>
      <c r="AH23" s="330">
        <f>EIA_electricity_aeo2014!AJ50*1000+EIA_electricity_aeo2014!AJ55*1000</f>
        <v>686.59401218084065</v>
      </c>
    </row>
    <row r="24" spans="1:34">
      <c r="A24" s="10" t="s">
        <v>345</v>
      </c>
      <c r="B24" s="37"/>
      <c r="C24" s="330">
        <f>SUM(C22:C23)</f>
        <v>39496</v>
      </c>
      <c r="D24" s="330">
        <f t="shared" ref="D24:AH24" si="4">SUM(D22:D23)</f>
        <v>43170.290343558998</v>
      </c>
      <c r="E24" s="330">
        <f t="shared" si="4"/>
        <v>38569.121650859612</v>
      </c>
      <c r="F24" s="330">
        <f t="shared" si="4"/>
        <v>36342.583818132793</v>
      </c>
      <c r="G24" s="330">
        <f t="shared" si="4"/>
        <v>35827.59922321362</v>
      </c>
      <c r="H24" s="83">
        <f t="shared" si="4"/>
        <v>36879.227819045234</v>
      </c>
      <c r="I24" s="83">
        <f t="shared" si="4"/>
        <v>37022.677603396456</v>
      </c>
      <c r="J24" s="83">
        <f t="shared" si="4"/>
        <v>35968.454051152476</v>
      </c>
      <c r="K24" s="83">
        <f t="shared" si="4"/>
        <v>37565.869333537812</v>
      </c>
      <c r="L24" s="83">
        <f t="shared" si="4"/>
        <v>38769.671070840668</v>
      </c>
      <c r="M24" s="83">
        <f t="shared" si="4"/>
        <v>39092.830716341945</v>
      </c>
      <c r="N24" s="388">
        <f t="shared" si="4"/>
        <v>38597.869150778919</v>
      </c>
      <c r="O24" s="83">
        <f t="shared" si="4"/>
        <v>38310.847049346194</v>
      </c>
      <c r="P24" s="83">
        <f t="shared" si="4"/>
        <v>37564.324171123641</v>
      </c>
      <c r="Q24" s="83">
        <f t="shared" si="4"/>
        <v>37061.463565219077</v>
      </c>
      <c r="R24" s="83">
        <f t="shared" si="4"/>
        <v>36841.754450282904</v>
      </c>
      <c r="S24" s="83">
        <f t="shared" si="4"/>
        <v>36766.676047203691</v>
      </c>
      <c r="T24" s="83">
        <f t="shared" si="4"/>
        <v>35985.763216275642</v>
      </c>
      <c r="U24" s="83">
        <f t="shared" si="4"/>
        <v>36460.677172725656</v>
      </c>
      <c r="V24" s="83">
        <f t="shared" si="4"/>
        <v>36917.819000571639</v>
      </c>
      <c r="W24" s="83">
        <f t="shared" si="4"/>
        <v>36141.829275452736</v>
      </c>
      <c r="X24" s="185">
        <f t="shared" si="4"/>
        <v>36547.794855207627</v>
      </c>
      <c r="Y24" s="175">
        <f t="shared" si="4"/>
        <v>36867.046171838942</v>
      </c>
      <c r="Z24" s="175">
        <f t="shared" si="4"/>
        <v>37037.99615028366</v>
      </c>
      <c r="AA24" s="175">
        <f t="shared" si="4"/>
        <v>37669.545738292574</v>
      </c>
      <c r="AB24" s="175">
        <f t="shared" si="4"/>
        <v>37930.236085184624</v>
      </c>
      <c r="AC24" s="175">
        <f t="shared" si="4"/>
        <v>37550.232303595243</v>
      </c>
      <c r="AD24" s="175">
        <f t="shared" si="4"/>
        <v>37893.863960342627</v>
      </c>
      <c r="AE24" s="175">
        <f t="shared" si="4"/>
        <v>37656.174326806198</v>
      </c>
      <c r="AF24" s="175">
        <f t="shared" si="4"/>
        <v>37530.185308554399</v>
      </c>
      <c r="AG24" s="175">
        <f t="shared" si="4"/>
        <v>37207.32605295808</v>
      </c>
      <c r="AH24" s="175">
        <f t="shared" si="4"/>
        <v>36406.563128155896</v>
      </c>
    </row>
    <row r="25" spans="1:34">
      <c r="A25" s="10" t="s">
        <v>346</v>
      </c>
      <c r="B25" s="37"/>
      <c r="C25" s="332">
        <f t="shared" ref="C25:AH25" si="5">C24/C4-1</f>
        <v>-1.0126582278480178E-4</v>
      </c>
      <c r="D25" s="332">
        <f t="shared" si="5"/>
        <v>6.3255553760743766E-4</v>
      </c>
      <c r="E25" s="332">
        <f t="shared" si="5"/>
        <v>-7.6219101288210744E-4</v>
      </c>
      <c r="F25" s="332">
        <f t="shared" si="5"/>
        <v>-1.9987133169202531E-3</v>
      </c>
      <c r="G25" s="332">
        <f t="shared" si="5"/>
        <v>9.1309062683575526E-4</v>
      </c>
      <c r="H25" s="82">
        <f t="shared" si="5"/>
        <v>9.0248668716985669E-4</v>
      </c>
      <c r="I25" s="82">
        <f t="shared" si="5"/>
        <v>-1.0239428597949685E-2</v>
      </c>
      <c r="J25" s="82">
        <f t="shared" si="5"/>
        <v>-2.1005561799373407E-2</v>
      </c>
      <c r="K25" s="82">
        <f t="shared" si="5"/>
        <v>-1.8857933001484972E-2</v>
      </c>
      <c r="L25" s="82">
        <f t="shared" si="5"/>
        <v>-1.8368843894227993E-2</v>
      </c>
      <c r="M25" s="82">
        <f t="shared" si="5"/>
        <v>-1.8667194135956966E-2</v>
      </c>
      <c r="N25" s="199">
        <f t="shared" si="5"/>
        <v>-1.9541525335877052E-2</v>
      </c>
      <c r="O25" s="82">
        <f t="shared" si="5"/>
        <v>-2.1297187881266333E-2</v>
      </c>
      <c r="P25" s="82">
        <f t="shared" si="5"/>
        <v>-2.2018467655341323E-2</v>
      </c>
      <c r="Q25" s="82">
        <f t="shared" si="5"/>
        <v>-2.2693458768475616E-2</v>
      </c>
      <c r="R25" s="82">
        <f t="shared" si="5"/>
        <v>-2.3264309007068662E-2</v>
      </c>
      <c r="S25" s="82">
        <f t="shared" si="5"/>
        <v>-2.352348774530777E-2</v>
      </c>
      <c r="T25" s="82">
        <f t="shared" si="5"/>
        <v>-2.4737527237108092E-2</v>
      </c>
      <c r="U25" s="82">
        <f t="shared" si="5"/>
        <v>-2.552499061963831E-2</v>
      </c>
      <c r="V25" s="82">
        <f t="shared" si="5"/>
        <v>-2.6990044434749616E-2</v>
      </c>
      <c r="W25" s="82">
        <f t="shared" si="5"/>
        <v>-2.8269629741999092E-2</v>
      </c>
      <c r="X25" s="186">
        <f t="shared" si="5"/>
        <v>-2.8288692209619382E-2</v>
      </c>
      <c r="Y25" s="173">
        <f t="shared" si="5"/>
        <v>-2.8498168324235795E-2</v>
      </c>
      <c r="Z25" s="173">
        <f t="shared" si="5"/>
        <v>-2.8600490853331495E-2</v>
      </c>
      <c r="AA25" s="173">
        <f t="shared" si="5"/>
        <v>-2.8871805519902094E-2</v>
      </c>
      <c r="AB25" s="173">
        <f t="shared" si="5"/>
        <v>-2.9611733500378934E-2</v>
      </c>
      <c r="AC25" s="173">
        <f t="shared" si="5"/>
        <v>-3.0550952312168755E-2</v>
      </c>
      <c r="AD25" s="173">
        <f t="shared" si="5"/>
        <v>-3.2246915904905471E-2</v>
      </c>
      <c r="AE25" s="173">
        <f t="shared" si="5"/>
        <v>-3.4483624681494018E-2</v>
      </c>
      <c r="AF25" s="173">
        <f t="shared" si="5"/>
        <v>-3.4669955235552719E-2</v>
      </c>
      <c r="AG25" s="173">
        <f t="shared" si="5"/>
        <v>-3.587677993883176E-2</v>
      </c>
      <c r="AH25" s="173">
        <f t="shared" si="5"/>
        <v>-3.7774151311495086E-2</v>
      </c>
    </row>
    <row r="26" spans="1:34">
      <c r="A26" s="10"/>
      <c r="B26" s="37"/>
      <c r="C26" s="332"/>
      <c r="D26" s="332"/>
      <c r="E26" s="332"/>
      <c r="F26" s="332"/>
      <c r="G26" s="332"/>
      <c r="H26" s="82"/>
      <c r="I26" s="82"/>
      <c r="J26" s="82"/>
      <c r="K26" s="82"/>
      <c r="L26" s="82"/>
      <c r="M26" s="82"/>
      <c r="N26" s="184" t="s">
        <v>0</v>
      </c>
      <c r="O26" s="91" t="s">
        <v>0</v>
      </c>
      <c r="P26" s="82"/>
      <c r="Q26" s="82"/>
      <c r="R26" s="82"/>
      <c r="S26" s="82"/>
      <c r="T26" s="82"/>
      <c r="U26" s="82"/>
      <c r="V26" s="82"/>
      <c r="W26" s="82"/>
      <c r="X26" s="186" t="s">
        <v>0</v>
      </c>
    </row>
    <row r="27" spans="1:34">
      <c r="A27" s="10"/>
      <c r="B27" s="37"/>
      <c r="C27" s="332"/>
      <c r="D27" s="332"/>
      <c r="E27" s="332"/>
      <c r="F27" s="332"/>
      <c r="G27" s="332"/>
      <c r="H27" s="165"/>
      <c r="I27" s="165"/>
      <c r="J27" s="165"/>
      <c r="K27" s="165"/>
      <c r="L27" s="165"/>
      <c r="M27" s="165"/>
      <c r="N27" s="184"/>
      <c r="O27" s="165"/>
      <c r="P27" s="165"/>
      <c r="Q27" s="165"/>
      <c r="R27" s="165"/>
      <c r="S27" s="165"/>
      <c r="T27" s="165"/>
      <c r="U27" s="165"/>
      <c r="V27" s="165"/>
      <c r="W27" s="165"/>
      <c r="X27" s="186"/>
    </row>
    <row r="28" spans="1:34">
      <c r="A28" s="9" t="s">
        <v>125</v>
      </c>
      <c r="B28" s="37"/>
      <c r="C28" s="332">
        <f t="shared" ref="C28:K28" si="6">C10/C$18</f>
        <v>9.3876784679308739E-2</v>
      </c>
      <c r="D28" s="332">
        <f t="shared" si="6"/>
        <v>9.6057763005064939E-2</v>
      </c>
      <c r="E28" s="332">
        <f t="shared" si="6"/>
        <v>8.9242092704449438E-2</v>
      </c>
      <c r="F28" s="332">
        <f t="shared" si="6"/>
        <v>8.7215392173032466E-2</v>
      </c>
      <c r="G28" s="332">
        <f t="shared" si="6"/>
        <v>6.4320934351684136E-2</v>
      </c>
      <c r="H28" s="165">
        <f t="shared" si="6"/>
        <v>6.4527371708228407E-2</v>
      </c>
      <c r="I28" s="165">
        <f t="shared" si="6"/>
        <v>6.3882319540575994E-2</v>
      </c>
      <c r="J28" s="165">
        <f t="shared" si="6"/>
        <v>7.5692337611724128E-2</v>
      </c>
      <c r="K28" s="165">
        <f t="shared" si="6"/>
        <v>7.4557818907666731E-2</v>
      </c>
      <c r="L28" s="165">
        <f t="shared" ref="L28:L34" si="7">L10/L$18</f>
        <v>7.5441981109072506E-2</v>
      </c>
      <c r="M28" s="165">
        <f t="shared" ref="M28:AH28" si="8">M10/M$18</f>
        <v>7.7220246455378838E-2</v>
      </c>
      <c r="N28" s="186">
        <f t="shared" si="8"/>
        <v>7.9226073211566592E-2</v>
      </c>
      <c r="O28" s="165">
        <f t="shared" si="8"/>
        <v>8.4919065562657728E-2</v>
      </c>
      <c r="P28" s="165">
        <f t="shared" si="8"/>
        <v>8.546863929892079E-2</v>
      </c>
      <c r="Q28" s="165">
        <f t="shared" si="8"/>
        <v>8.5758649600290393E-2</v>
      </c>
      <c r="R28" s="165">
        <f t="shared" si="8"/>
        <v>8.6543283782833033E-2</v>
      </c>
      <c r="S28" s="165">
        <f t="shared" si="8"/>
        <v>8.669088020714448E-2</v>
      </c>
      <c r="T28" s="165">
        <f t="shared" si="8"/>
        <v>8.7647632296302319E-2</v>
      </c>
      <c r="U28" s="165">
        <f t="shared" si="8"/>
        <v>9.0463735050502578E-2</v>
      </c>
      <c r="V28" s="165">
        <f t="shared" si="8"/>
        <v>9.4382428858123854E-2</v>
      </c>
      <c r="W28" s="165">
        <f t="shared" si="8"/>
        <v>9.3766109843707771E-2</v>
      </c>
      <c r="X28" s="186">
        <f t="shared" si="8"/>
        <v>9.3564607060419205E-2</v>
      </c>
      <c r="Y28" s="173">
        <f t="shared" si="8"/>
        <v>9.4231983953243753E-2</v>
      </c>
      <c r="Z28" s="173">
        <f t="shared" si="8"/>
        <v>9.4037861352281357E-2</v>
      </c>
      <c r="AA28" s="173">
        <f t="shared" si="8"/>
        <v>9.4457881875437522E-2</v>
      </c>
      <c r="AB28" s="173">
        <f t="shared" si="8"/>
        <v>9.4920384844389707E-2</v>
      </c>
      <c r="AC28" s="173">
        <f t="shared" si="8"/>
        <v>9.5371266448632405E-2</v>
      </c>
      <c r="AD28" s="173">
        <f t="shared" si="8"/>
        <v>9.555557837698718E-2</v>
      </c>
      <c r="AE28" s="173">
        <f t="shared" si="8"/>
        <v>9.7300294472023832E-2</v>
      </c>
      <c r="AF28" s="173">
        <f t="shared" si="8"/>
        <v>9.5972589068209838E-2</v>
      </c>
      <c r="AG28" s="173">
        <f t="shared" si="8"/>
        <v>9.6767922003810861E-2</v>
      </c>
      <c r="AH28" s="173">
        <f t="shared" si="8"/>
        <v>9.7591058587218782E-2</v>
      </c>
    </row>
    <row r="29" spans="1:34">
      <c r="A29" s="9" t="s">
        <v>50</v>
      </c>
      <c r="B29" s="37"/>
      <c r="C29" s="332">
        <f t="shared" ref="C29:K29" si="9">C11/C$18</f>
        <v>0</v>
      </c>
      <c r="D29" s="332">
        <f t="shared" si="9"/>
        <v>0</v>
      </c>
      <c r="E29" s="332">
        <f t="shared" si="9"/>
        <v>7.5754324145355343E-13</v>
      </c>
      <c r="F29" s="332">
        <f t="shared" si="9"/>
        <v>7.3056075335299408E-13</v>
      </c>
      <c r="G29" s="332">
        <f t="shared" si="9"/>
        <v>6.4849510177840743E-13</v>
      </c>
      <c r="H29" s="165">
        <f t="shared" si="9"/>
        <v>6.2839348694233123E-13</v>
      </c>
      <c r="I29" s="165">
        <f t="shared" si="9"/>
        <v>5.8497292261046489E-13</v>
      </c>
      <c r="J29" s="165">
        <f t="shared" si="9"/>
        <v>5.4164322978247128E-13</v>
      </c>
      <c r="K29" s="165">
        <f t="shared" si="9"/>
        <v>5.2158759325443382E-13</v>
      </c>
      <c r="L29" s="165">
        <f t="shared" si="7"/>
        <v>5.179034098894719E-13</v>
      </c>
      <c r="M29" s="165">
        <f t="shared" ref="M29:AH29" si="10">M11/M$18</f>
        <v>5.1601192276030766E-13</v>
      </c>
      <c r="N29" s="186">
        <f t="shared" si="10"/>
        <v>5.1611275699365454E-13</v>
      </c>
      <c r="O29" s="165">
        <f t="shared" si="10"/>
        <v>5.1350790256817931E-13</v>
      </c>
      <c r="P29" s="165">
        <f t="shared" si="10"/>
        <v>5.1512530301023824E-13</v>
      </c>
      <c r="Q29" s="165">
        <f t="shared" si="10"/>
        <v>5.1623765295340838E-13</v>
      </c>
      <c r="R29" s="165">
        <f t="shared" si="10"/>
        <v>5.1629912260762376E-13</v>
      </c>
      <c r="S29" s="165">
        <f t="shared" si="10"/>
        <v>5.1534179846013971E-13</v>
      </c>
      <c r="T29" s="165">
        <f t="shared" si="10"/>
        <v>5.1663228337631057E-13</v>
      </c>
      <c r="U29" s="165">
        <f t="shared" si="10"/>
        <v>5.1463045560329164E-13</v>
      </c>
      <c r="V29" s="165">
        <f t="shared" si="10"/>
        <v>5.0937666901921547E-13</v>
      </c>
      <c r="W29" s="165">
        <f t="shared" si="10"/>
        <v>5.1207795776657578E-13</v>
      </c>
      <c r="X29" s="186">
        <f t="shared" si="10"/>
        <v>5.1093365595538548E-13</v>
      </c>
      <c r="Y29" s="173">
        <f t="shared" si="10"/>
        <v>5.0860720277556203E-13</v>
      </c>
      <c r="Z29" s="173">
        <f t="shared" si="10"/>
        <v>5.0823559796171766E-13</v>
      </c>
      <c r="AA29" s="173">
        <f t="shared" si="10"/>
        <v>5.0579116560903353E-13</v>
      </c>
      <c r="AB29" s="173">
        <f t="shared" si="10"/>
        <v>5.0514496012133738E-13</v>
      </c>
      <c r="AC29" s="173">
        <f t="shared" si="10"/>
        <v>5.0555818436482653E-13</v>
      </c>
      <c r="AD29" s="173">
        <f t="shared" si="10"/>
        <v>5.0231092441166389E-13</v>
      </c>
      <c r="AE29" s="173">
        <f t="shared" si="10"/>
        <v>5.0019406793030434E-13</v>
      </c>
      <c r="AF29" s="173">
        <f t="shared" si="10"/>
        <v>5.0001537570118226E-13</v>
      </c>
      <c r="AG29" s="173">
        <f t="shared" si="10"/>
        <v>5.0093434374972096E-13</v>
      </c>
      <c r="AH29" s="173">
        <f t="shared" si="10"/>
        <v>5.0179523367326389E-13</v>
      </c>
    </row>
    <row r="30" spans="1:34">
      <c r="A30" s="9" t="s">
        <v>51</v>
      </c>
      <c r="B30" s="37"/>
      <c r="C30" s="332">
        <f t="shared" ref="C30:K30" si="11">C12/C$18</f>
        <v>0.90121713292136396</v>
      </c>
      <c r="D30" s="332">
        <f t="shared" si="11"/>
        <v>0.86451986704558448</v>
      </c>
      <c r="E30" s="332">
        <f t="shared" si="11"/>
        <v>0.85281736851292345</v>
      </c>
      <c r="F30" s="332">
        <f t="shared" si="11"/>
        <v>0.85457276260791237</v>
      </c>
      <c r="G30" s="332">
        <f t="shared" si="11"/>
        <v>0.85020608597177383</v>
      </c>
      <c r="H30" s="165">
        <f t="shared" si="11"/>
        <v>0.82329698728880274</v>
      </c>
      <c r="I30" s="165">
        <f t="shared" si="11"/>
        <v>0.76633335491381693</v>
      </c>
      <c r="J30" s="165">
        <f t="shared" si="11"/>
        <v>0.70958094054059706</v>
      </c>
      <c r="K30" s="165">
        <f t="shared" si="11"/>
        <v>0.68330895728803243</v>
      </c>
      <c r="L30" s="165">
        <f t="shared" si="7"/>
        <v>0.67849408112743648</v>
      </c>
      <c r="M30" s="165">
        <f t="shared" ref="M30:AH30" si="12">M12/M$18</f>
        <v>0.67601728965368935</v>
      </c>
      <c r="N30" s="186">
        <f t="shared" si="12"/>
        <v>0.67614312343574312</v>
      </c>
      <c r="O30" s="165">
        <f t="shared" si="12"/>
        <v>0.67272602864610365</v>
      </c>
      <c r="P30" s="165">
        <f t="shared" si="12"/>
        <v>0.67484179223865615</v>
      </c>
      <c r="Q30" s="165">
        <f t="shared" si="12"/>
        <v>0.6762949315802943</v>
      </c>
      <c r="R30" s="165">
        <f t="shared" si="12"/>
        <v>0.67637111923612536</v>
      </c>
      <c r="S30" s="165">
        <f t="shared" si="12"/>
        <v>0.67701263445653825</v>
      </c>
      <c r="T30" s="165">
        <f t="shared" si="12"/>
        <v>0.67870120871569439</v>
      </c>
      <c r="U30" s="165">
        <f t="shared" si="12"/>
        <v>0.67416635556422122</v>
      </c>
      <c r="V30" s="165">
        <f t="shared" si="12"/>
        <v>0.66915711796225119</v>
      </c>
      <c r="W30" s="165">
        <f t="shared" si="12"/>
        <v>0.67080679643192032</v>
      </c>
      <c r="X30" s="186">
        <f t="shared" si="12"/>
        <v>0.66930159099588493</v>
      </c>
      <c r="Y30" s="173">
        <f t="shared" si="12"/>
        <v>0.66812419548030311</v>
      </c>
      <c r="Z30" s="173">
        <f t="shared" si="12"/>
        <v>0.66762844665253618</v>
      </c>
      <c r="AA30" s="173">
        <f t="shared" si="12"/>
        <v>0.66440983219798722</v>
      </c>
      <c r="AB30" s="173">
        <f t="shared" si="12"/>
        <v>0.66167452523663917</v>
      </c>
      <c r="AC30" s="173">
        <f t="shared" si="12"/>
        <v>0.66220493413797021</v>
      </c>
      <c r="AD30" s="173">
        <f t="shared" si="12"/>
        <v>0.65793227637195595</v>
      </c>
      <c r="AE30" s="173">
        <f t="shared" si="12"/>
        <v>0.65515071763469923</v>
      </c>
      <c r="AF30" s="173">
        <f t="shared" si="12"/>
        <v>0.65678699555287567</v>
      </c>
      <c r="AG30" s="173">
        <f t="shared" si="12"/>
        <v>0.6561027789551328</v>
      </c>
      <c r="AH30" s="173">
        <f t="shared" si="12"/>
        <v>0.65722424309746652</v>
      </c>
    </row>
    <row r="31" spans="1:34">
      <c r="A31" s="9" t="s">
        <v>347</v>
      </c>
      <c r="B31" s="37"/>
      <c r="C31" s="332">
        <f t="shared" ref="C31:K31" si="13">C13/C$18</f>
        <v>0</v>
      </c>
      <c r="D31" s="332">
        <f t="shared" si="13"/>
        <v>2.250851903941882E-2</v>
      </c>
      <c r="E31" s="332">
        <f t="shared" si="13"/>
        <v>4.7643256436463874E-2</v>
      </c>
      <c r="F31" s="332">
        <f t="shared" si="13"/>
        <v>4.3446191623124297E-2</v>
      </c>
      <c r="G31" s="332">
        <f t="shared" si="13"/>
        <v>6.3751376485508063E-2</v>
      </c>
      <c r="H31" s="165">
        <f t="shared" si="13"/>
        <v>9.0816381727530218E-2</v>
      </c>
      <c r="I31" s="165">
        <f t="shared" si="13"/>
        <v>0.12072776313987406</v>
      </c>
      <c r="J31" s="165">
        <f t="shared" si="13"/>
        <v>0.15106329006139652</v>
      </c>
      <c r="K31" s="165">
        <f t="shared" si="13"/>
        <v>0.18082846185200971</v>
      </c>
      <c r="L31" s="165">
        <f t="shared" si="7"/>
        <v>0.1852109726398683</v>
      </c>
      <c r="M31" s="165">
        <f t="shared" ref="M31:AH31" si="14">M13/M$18</f>
        <v>0.18612883409289779</v>
      </c>
      <c r="N31" s="186">
        <f t="shared" si="14"/>
        <v>0.18397265382523134</v>
      </c>
      <c r="O31" s="165">
        <f t="shared" si="14"/>
        <v>0.18200918170498137</v>
      </c>
      <c r="P31" s="165">
        <f t="shared" si="14"/>
        <v>0.1791576673646694</v>
      </c>
      <c r="Q31" s="165">
        <f t="shared" si="14"/>
        <v>0.17726403676954433</v>
      </c>
      <c r="R31" s="165">
        <f t="shared" si="14"/>
        <v>0.1763374313915233</v>
      </c>
      <c r="S31" s="165">
        <f t="shared" si="14"/>
        <v>0.17569849402193383</v>
      </c>
      <c r="T31" s="165">
        <f t="shared" si="14"/>
        <v>0.17261298039110171</v>
      </c>
      <c r="U31" s="165">
        <f t="shared" si="14"/>
        <v>0.17435339859733734</v>
      </c>
      <c r="V31" s="165">
        <f t="shared" si="14"/>
        <v>0.1749995503236981</v>
      </c>
      <c r="W31" s="165">
        <f t="shared" si="14"/>
        <v>0.17245751009312665</v>
      </c>
      <c r="X31" s="186">
        <f t="shared" si="14"/>
        <v>0.17400778301288405</v>
      </c>
      <c r="Y31" s="173">
        <f t="shared" si="14"/>
        <v>0.17476575380007256</v>
      </c>
      <c r="Z31" s="173">
        <f t="shared" si="14"/>
        <v>0.17546608888501283</v>
      </c>
      <c r="AA31" s="173">
        <f t="shared" si="14"/>
        <v>0.17764845241377708</v>
      </c>
      <c r="AB31" s="173">
        <f t="shared" si="14"/>
        <v>0.17878515659740829</v>
      </c>
      <c r="AC31" s="173">
        <f t="shared" si="14"/>
        <v>0.17731085853497891</v>
      </c>
      <c r="AD31" s="173">
        <f t="shared" si="14"/>
        <v>0.1780951780025459</v>
      </c>
      <c r="AE31" s="173">
        <f t="shared" si="14"/>
        <v>0.17664070402865489</v>
      </c>
      <c r="AF31" s="173">
        <f t="shared" si="14"/>
        <v>0.17602093839450902</v>
      </c>
      <c r="AG31" s="173">
        <f t="shared" si="14"/>
        <v>0.17504661916997227</v>
      </c>
      <c r="AH31" s="173">
        <f t="shared" si="14"/>
        <v>0.17191298474283193</v>
      </c>
    </row>
    <row r="32" spans="1:34">
      <c r="A32" s="9" t="s">
        <v>348</v>
      </c>
      <c r="B32" s="37"/>
      <c r="C32" s="332">
        <f t="shared" ref="C32:K32" si="15">C14/C$18</f>
        <v>0</v>
      </c>
      <c r="D32" s="332">
        <f t="shared" si="15"/>
        <v>0</v>
      </c>
      <c r="E32" s="332">
        <f t="shared" si="15"/>
        <v>7.5754324145355339E-5</v>
      </c>
      <c r="F32" s="332">
        <f t="shared" si="15"/>
        <v>7.30560753352994E-5</v>
      </c>
      <c r="G32" s="332">
        <f t="shared" si="15"/>
        <v>6.4849510177840744E-5</v>
      </c>
      <c r="H32" s="165">
        <f t="shared" si="15"/>
        <v>6.2839348694233128E-5</v>
      </c>
      <c r="I32" s="165">
        <f t="shared" si="15"/>
        <v>5.8497292261046492E-5</v>
      </c>
      <c r="J32" s="165">
        <f t="shared" si="15"/>
        <v>5.4164322978247125E-5</v>
      </c>
      <c r="K32" s="165">
        <f t="shared" si="15"/>
        <v>5.2158759325443388E-5</v>
      </c>
      <c r="L32" s="165">
        <f t="shared" si="7"/>
        <v>5.1790340988947186E-5</v>
      </c>
      <c r="M32" s="165">
        <f t="shared" ref="M32:AH32" si="16">M14/M$18</f>
        <v>5.1601192276030773E-5</v>
      </c>
      <c r="N32" s="186">
        <f t="shared" si="16"/>
        <v>5.1611275699365462E-5</v>
      </c>
      <c r="O32" s="165">
        <f t="shared" si="16"/>
        <v>5.1350790256817932E-5</v>
      </c>
      <c r="P32" s="165">
        <f t="shared" si="16"/>
        <v>5.1512530301023821E-5</v>
      </c>
      <c r="Q32" s="165">
        <f t="shared" si="16"/>
        <v>5.1623765295340835E-5</v>
      </c>
      <c r="R32" s="165">
        <f t="shared" si="16"/>
        <v>5.1629912260762377E-5</v>
      </c>
      <c r="S32" s="165">
        <f t="shared" si="16"/>
        <v>5.1534179846013968E-5</v>
      </c>
      <c r="T32" s="165">
        <f t="shared" si="16"/>
        <v>5.1663228337631053E-5</v>
      </c>
      <c r="U32" s="165">
        <f t="shared" si="16"/>
        <v>5.1463045560329162E-5</v>
      </c>
      <c r="V32" s="165">
        <f t="shared" si="16"/>
        <v>5.0937666901921555E-5</v>
      </c>
      <c r="W32" s="165">
        <f t="shared" si="16"/>
        <v>5.1207795776657575E-5</v>
      </c>
      <c r="X32" s="186">
        <f t="shared" si="16"/>
        <v>5.109336559553855E-5</v>
      </c>
      <c r="Y32" s="173">
        <f t="shared" si="16"/>
        <v>5.0860720277556197E-5</v>
      </c>
      <c r="Z32" s="173">
        <f t="shared" si="16"/>
        <v>5.082355979617177E-5</v>
      </c>
      <c r="AA32" s="173">
        <f t="shared" si="16"/>
        <v>5.0579116560903356E-5</v>
      </c>
      <c r="AB32" s="173">
        <f t="shared" si="16"/>
        <v>5.0514496012133742E-5</v>
      </c>
      <c r="AC32" s="173">
        <f t="shared" si="16"/>
        <v>5.0555818436482655E-5</v>
      </c>
      <c r="AD32" s="173">
        <f t="shared" si="16"/>
        <v>5.023109244116639E-5</v>
      </c>
      <c r="AE32" s="173">
        <f t="shared" si="16"/>
        <v>5.0019406793030437E-5</v>
      </c>
      <c r="AF32" s="173">
        <f t="shared" si="16"/>
        <v>5.0001537570118226E-5</v>
      </c>
      <c r="AG32" s="173">
        <f t="shared" si="16"/>
        <v>5.0093434374972097E-5</v>
      </c>
      <c r="AH32" s="173">
        <f t="shared" si="16"/>
        <v>5.0179523367326387E-5</v>
      </c>
    </row>
    <row r="33" spans="1:36">
      <c r="A33" s="9" t="s">
        <v>344</v>
      </c>
      <c r="B33" s="37"/>
      <c r="C33" s="332">
        <f t="shared" ref="C33:K33" si="17">C15/C$18</f>
        <v>8.1631986677659774E-6</v>
      </c>
      <c r="D33" s="332">
        <f t="shared" si="17"/>
        <v>7.6846210404051962E-6</v>
      </c>
      <c r="E33" s="332">
        <f t="shared" si="17"/>
        <v>7.5754324145355344E-6</v>
      </c>
      <c r="F33" s="332">
        <f t="shared" si="17"/>
        <v>7.3056075335299403E-6</v>
      </c>
      <c r="G33" s="332">
        <f t="shared" si="17"/>
        <v>6.4849510177840732E-6</v>
      </c>
      <c r="H33" s="165">
        <f t="shared" si="17"/>
        <v>6.2839348694233126E-6</v>
      </c>
      <c r="I33" s="165">
        <f t="shared" si="17"/>
        <v>5.8497292261046492E-6</v>
      </c>
      <c r="J33" s="165">
        <f t="shared" si="17"/>
        <v>5.4164322978247129E-6</v>
      </c>
      <c r="K33" s="165">
        <f t="shared" si="17"/>
        <v>5.2158759325443388E-6</v>
      </c>
      <c r="L33" s="165">
        <f t="shared" si="7"/>
        <v>5.1790340988947181E-6</v>
      </c>
      <c r="M33" s="165">
        <f t="shared" ref="M33:AH33" si="18">M15/M$18</f>
        <v>5.1601192276030768E-6</v>
      </c>
      <c r="N33" s="186">
        <f t="shared" si="18"/>
        <v>5.1611275699365457E-6</v>
      </c>
      <c r="O33" s="165">
        <f t="shared" si="18"/>
        <v>5.1350790256817927E-6</v>
      </c>
      <c r="P33" s="165">
        <f t="shared" si="18"/>
        <v>5.1512530301023819E-6</v>
      </c>
      <c r="Q33" s="165">
        <f t="shared" si="18"/>
        <v>5.1623765295340837E-6</v>
      </c>
      <c r="R33" s="165">
        <f t="shared" si="18"/>
        <v>5.1629912260762377E-6</v>
      </c>
      <c r="S33" s="165">
        <f t="shared" si="18"/>
        <v>5.1534179846013964E-6</v>
      </c>
      <c r="T33" s="165">
        <f t="shared" si="18"/>
        <v>5.1663228337631057E-6</v>
      </c>
      <c r="U33" s="165">
        <f t="shared" si="18"/>
        <v>5.1463045560329159E-6</v>
      </c>
      <c r="V33" s="165">
        <f t="shared" si="18"/>
        <v>5.0937666901921548E-6</v>
      </c>
      <c r="W33" s="165">
        <f t="shared" si="18"/>
        <v>5.1207795776657578E-6</v>
      </c>
      <c r="X33" s="186">
        <f t="shared" si="18"/>
        <v>5.109336559553855E-6</v>
      </c>
      <c r="Y33" s="173">
        <f t="shared" si="18"/>
        <v>5.0860720277556192E-6</v>
      </c>
      <c r="Z33" s="173">
        <f t="shared" si="18"/>
        <v>5.0823559796171765E-6</v>
      </c>
      <c r="AA33" s="173">
        <f t="shared" si="18"/>
        <v>5.0579116560903355E-6</v>
      </c>
      <c r="AB33" s="173">
        <f t="shared" si="18"/>
        <v>5.0514496012133738E-6</v>
      </c>
      <c r="AC33" s="173">
        <f t="shared" si="18"/>
        <v>5.0555818436482655E-6</v>
      </c>
      <c r="AD33" s="173">
        <f t="shared" si="18"/>
        <v>5.0231092441166384E-6</v>
      </c>
      <c r="AE33" s="173">
        <f t="shared" si="18"/>
        <v>5.0019406793030432E-6</v>
      </c>
      <c r="AF33" s="173">
        <f t="shared" si="18"/>
        <v>5.0001537570118227E-6</v>
      </c>
      <c r="AG33" s="173">
        <f t="shared" si="18"/>
        <v>5.0093434374972096E-6</v>
      </c>
      <c r="AH33" s="173">
        <f t="shared" si="18"/>
        <v>5.0179523367326386E-6</v>
      </c>
    </row>
    <row r="34" spans="1:36">
      <c r="A34" s="9" t="s">
        <v>53</v>
      </c>
      <c r="B34" s="37"/>
      <c r="C34" s="332">
        <f t="shared" ref="C34:K34" si="19">C16/C$18</f>
        <v>4.8979192006595867E-3</v>
      </c>
      <c r="D34" s="332">
        <f t="shared" si="19"/>
        <v>1.6906166288891428E-2</v>
      </c>
      <c r="E34" s="332">
        <f t="shared" si="19"/>
        <v>1.0213952588845738E-2</v>
      </c>
      <c r="F34" s="332">
        <f t="shared" si="19"/>
        <v>1.4685291912331706E-2</v>
      </c>
      <c r="G34" s="332">
        <f t="shared" si="19"/>
        <v>2.1650268729189771E-2</v>
      </c>
      <c r="H34" s="165">
        <f t="shared" si="19"/>
        <v>2.1290135991246611E-2</v>
      </c>
      <c r="I34" s="165">
        <f t="shared" si="19"/>
        <v>4.8992215383660893E-2</v>
      </c>
      <c r="J34" s="165">
        <f t="shared" si="19"/>
        <v>6.3603851030464689E-2</v>
      </c>
      <c r="K34" s="165">
        <f t="shared" si="19"/>
        <v>6.1247387316511706E-2</v>
      </c>
      <c r="L34" s="165">
        <f t="shared" si="7"/>
        <v>6.079599574801707E-2</v>
      </c>
      <c r="M34" s="165">
        <f t="shared" ref="M34:AH34" si="20">M16/M$18</f>
        <v>6.0576868486014512E-2</v>
      </c>
      <c r="N34" s="186">
        <f t="shared" si="20"/>
        <v>6.0601377123673597E-2</v>
      </c>
      <c r="O34" s="165">
        <f t="shared" si="20"/>
        <v>6.0289238216461406E-2</v>
      </c>
      <c r="P34" s="165">
        <f t="shared" si="20"/>
        <v>6.0475237313907526E-2</v>
      </c>
      <c r="Q34" s="165">
        <f t="shared" si="20"/>
        <v>6.0625595907529896E-2</v>
      </c>
      <c r="R34" s="165">
        <f t="shared" si="20"/>
        <v>6.0691372685515256E-2</v>
      </c>
      <c r="S34" s="165">
        <f t="shared" si="20"/>
        <v>6.0541303716037581E-2</v>
      </c>
      <c r="T34" s="165">
        <f t="shared" si="20"/>
        <v>6.0981349045213573E-2</v>
      </c>
      <c r="U34" s="165">
        <f t="shared" si="20"/>
        <v>6.095990143730793E-2</v>
      </c>
      <c r="V34" s="165">
        <f t="shared" si="20"/>
        <v>6.1404871421825526E-2</v>
      </c>
      <c r="W34" s="165">
        <f t="shared" si="20"/>
        <v>6.2913255055378939E-2</v>
      </c>
      <c r="X34" s="186">
        <f t="shared" si="20"/>
        <v>6.3069816228145725E-2</v>
      </c>
      <c r="Y34" s="173">
        <f t="shared" si="20"/>
        <v>6.2822119973566737E-2</v>
      </c>
      <c r="Z34" s="173">
        <f t="shared" si="20"/>
        <v>6.2811697193885616E-2</v>
      </c>
      <c r="AA34" s="173">
        <f t="shared" si="20"/>
        <v>6.3428196484075383E-2</v>
      </c>
      <c r="AB34" s="173">
        <f t="shared" si="20"/>
        <v>6.4564367375444465E-2</v>
      </c>
      <c r="AC34" s="173">
        <f t="shared" si="20"/>
        <v>6.5057329477632778E-2</v>
      </c>
      <c r="AD34" s="173">
        <f t="shared" si="20"/>
        <v>6.8361713046323505E-2</v>
      </c>
      <c r="AE34" s="173">
        <f t="shared" si="20"/>
        <v>7.085326251664946E-2</v>
      </c>
      <c r="AF34" s="173">
        <f t="shared" si="20"/>
        <v>7.116447529257848E-2</v>
      </c>
      <c r="AG34" s="173">
        <f t="shared" si="20"/>
        <v>7.202757709277062E-2</v>
      </c>
      <c r="AH34" s="173">
        <f t="shared" si="20"/>
        <v>7.3216516096276829E-2</v>
      </c>
    </row>
    <row r="35" spans="1:36">
      <c r="A35" s="10"/>
      <c r="B35" s="37"/>
      <c r="C35" s="332"/>
      <c r="D35" s="332"/>
      <c r="E35" s="332"/>
      <c r="F35" s="332"/>
      <c r="G35" s="332"/>
      <c r="H35" s="165"/>
      <c r="I35" s="165"/>
      <c r="J35" s="165"/>
      <c r="K35" s="165"/>
      <c r="L35" s="165"/>
      <c r="M35" s="165"/>
      <c r="N35" s="184"/>
      <c r="O35" s="165"/>
      <c r="P35" s="165"/>
      <c r="Q35" s="165"/>
      <c r="R35" s="165"/>
      <c r="S35" s="165"/>
      <c r="T35" s="165"/>
      <c r="U35" s="165"/>
      <c r="V35" s="165"/>
      <c r="W35" s="165"/>
      <c r="X35" s="186"/>
    </row>
    <row r="36" spans="1:36">
      <c r="A36" s="10"/>
      <c r="B36" s="37"/>
      <c r="C36" s="332"/>
      <c r="D36" s="332"/>
      <c r="E36" s="332"/>
      <c r="F36" s="332"/>
      <c r="G36" s="332"/>
      <c r="H36" s="165"/>
      <c r="I36" s="165"/>
      <c r="J36" s="165"/>
      <c r="K36" s="165"/>
      <c r="L36" s="165"/>
      <c r="M36" s="165"/>
      <c r="N36" s="184"/>
      <c r="O36" s="165"/>
      <c r="P36" s="165"/>
      <c r="Q36" s="165"/>
      <c r="R36" s="165"/>
      <c r="S36" s="165"/>
      <c r="T36" s="165"/>
      <c r="U36" s="165"/>
      <c r="V36" s="165"/>
      <c r="W36" s="165"/>
      <c r="X36" s="186"/>
    </row>
    <row r="37" spans="1:36">
      <c r="A37" s="10"/>
      <c r="B37" s="37"/>
      <c r="C37" s="332"/>
      <c r="D37" s="332"/>
      <c r="E37" s="332"/>
      <c r="F37" s="332"/>
      <c r="G37" s="332"/>
      <c r="H37" s="165"/>
      <c r="I37" s="165"/>
      <c r="J37" s="165"/>
      <c r="K37" s="165"/>
      <c r="L37" s="165"/>
      <c r="M37" s="165"/>
      <c r="N37" s="184"/>
      <c r="O37" s="165"/>
      <c r="P37" s="165"/>
      <c r="Q37" s="165"/>
      <c r="R37" s="165"/>
      <c r="S37" s="165"/>
      <c r="T37" s="165"/>
      <c r="U37" s="165"/>
      <c r="V37" s="165"/>
      <c r="W37" s="165"/>
      <c r="X37" s="186"/>
    </row>
    <row r="38" spans="1:36">
      <c r="A38" s="10"/>
      <c r="B38" s="37"/>
      <c r="C38" s="332"/>
      <c r="D38" s="332"/>
      <c r="E38" s="332"/>
      <c r="F38" s="332"/>
      <c r="G38" s="332"/>
      <c r="H38" s="165"/>
      <c r="I38" s="165"/>
      <c r="J38" s="165"/>
      <c r="K38" s="165"/>
      <c r="L38" s="165"/>
      <c r="M38" s="165"/>
      <c r="N38" s="184"/>
      <c r="O38" s="165"/>
      <c r="P38" s="165"/>
      <c r="Q38" s="165"/>
      <c r="R38" s="165"/>
      <c r="S38" s="165"/>
      <c r="T38" s="165"/>
      <c r="U38" s="165"/>
      <c r="V38" s="165"/>
      <c r="W38" s="165"/>
      <c r="X38" s="186"/>
    </row>
    <row r="39" spans="1:36">
      <c r="A39" s="1" t="s">
        <v>139</v>
      </c>
      <c r="B39" s="13"/>
      <c r="D39" s="333"/>
      <c r="E39" s="333"/>
      <c r="F39" s="333"/>
      <c r="G39" s="333"/>
      <c r="H39" s="16"/>
      <c r="I39" s="16"/>
      <c r="J39" s="16"/>
      <c r="K39" s="16"/>
      <c r="L39" s="16"/>
      <c r="M39" s="16"/>
      <c r="N39" s="389" t="s">
        <v>0</v>
      </c>
    </row>
    <row r="40" spans="1:36" ht="15">
      <c r="A40" s="8" t="s">
        <v>61</v>
      </c>
      <c r="B40" s="34">
        <v>0</v>
      </c>
      <c r="C40" s="331">
        <f>C5*Inputs!$C$44</f>
        <v>0</v>
      </c>
      <c r="D40" s="331">
        <f>D5*Inputs!$C$44</f>
        <v>0</v>
      </c>
      <c r="E40" s="331">
        <f>E5*Inputs!$C$44</f>
        <v>0</v>
      </c>
      <c r="F40" s="331">
        <f>F5*Inputs!$C$44</f>
        <v>0</v>
      </c>
      <c r="G40" s="331">
        <f>G5*Inputs!$C$44</f>
        <v>0</v>
      </c>
      <c r="H40" s="14">
        <f>H5*Inputs!$C$44</f>
        <v>0</v>
      </c>
      <c r="I40" s="14">
        <f>I5*Inputs!$C$44</f>
        <v>0</v>
      </c>
      <c r="J40" s="14">
        <f>J5*Inputs!$C$44</f>
        <v>0</v>
      </c>
      <c r="K40" s="14">
        <f>K5*Inputs!$C$44</f>
        <v>0</v>
      </c>
      <c r="L40" s="14">
        <f>L5*Inputs!$C$44</f>
        <v>0</v>
      </c>
      <c r="M40" s="14">
        <f>M5*Inputs!$C$44</f>
        <v>0</v>
      </c>
      <c r="N40" s="191">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8">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1">
        <f>C6*Inputs!$C$47</f>
        <v>0</v>
      </c>
      <c r="D41" s="331">
        <f>D6*Inputs!$C$47</f>
        <v>0</v>
      </c>
      <c r="E41" s="331" t="s">
        <v>376</v>
      </c>
      <c r="F41" s="331">
        <f>F6*Inputs!$C$47</f>
        <v>0</v>
      </c>
      <c r="G41" s="331">
        <f>G6*Inputs!$C$47</f>
        <v>0</v>
      </c>
      <c r="H41" s="14">
        <f>H6*Inputs!$C$47</f>
        <v>0</v>
      </c>
      <c r="I41" s="14">
        <f>I6*Inputs!$C$47</f>
        <v>0</v>
      </c>
      <c r="J41" s="14">
        <f>J6*Inputs!$C$47</f>
        <v>0</v>
      </c>
      <c r="K41" s="14">
        <f>K6*Inputs!$C$47</f>
        <v>0</v>
      </c>
      <c r="L41" s="14">
        <f>L6*Inputs!$C$47</f>
        <v>0</v>
      </c>
      <c r="M41" s="14">
        <f>M6*Inputs!$C$47</f>
        <v>0</v>
      </c>
      <c r="N41" s="191">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8">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1">
        <f>C7*Inputs!$C$48</f>
        <v>180.14849999999998</v>
      </c>
      <c r="D42" s="331">
        <f>D7*Inputs!$C$48</f>
        <v>149.39849999999998</v>
      </c>
      <c r="E42" s="331">
        <f>E7*Inputs!$C$48</f>
        <v>172.7134376258376</v>
      </c>
      <c r="F42" s="331">
        <f>F7*Inputs!$C$48</f>
        <v>145.56848132732276</v>
      </c>
      <c r="G42" s="331">
        <f>G7*Inputs!$C$48</f>
        <v>141.13450706132764</v>
      </c>
      <c r="H42" s="14">
        <f>H7*Inputs!$C$48</f>
        <v>143.51054968252558</v>
      </c>
      <c r="I42" s="14">
        <f>I7*Inputs!$C$48</f>
        <v>146.34507831815466</v>
      </c>
      <c r="J42" s="14">
        <f>J7*Inputs!$C$48</f>
        <v>149.19304186242005</v>
      </c>
      <c r="K42" s="14">
        <f>K7*Inputs!$C$48</f>
        <v>150.72456217529862</v>
      </c>
      <c r="L42" s="14">
        <f>L7*Inputs!$C$48</f>
        <v>150.7246214469543</v>
      </c>
      <c r="M42" s="14">
        <f>M7*Inputs!$C$48</f>
        <v>150.72464120417291</v>
      </c>
      <c r="N42" s="191">
        <f>N7*Inputs!$C$48</f>
        <v>150.72456217529862</v>
      </c>
      <c r="O42" s="14">
        <f>O7*Inputs!$C$48</f>
        <v>150.72456217529862</v>
      </c>
      <c r="P42" s="14">
        <f>P7*Inputs!$C$48</f>
        <v>150.72460168973572</v>
      </c>
      <c r="Q42" s="14">
        <f>Q7*Inputs!$C$48</f>
        <v>158.18725877837258</v>
      </c>
      <c r="R42" s="14">
        <f>R7*Inputs!$C$48</f>
        <v>158.18723902115397</v>
      </c>
      <c r="S42" s="14">
        <f>S7*Inputs!$C$48</f>
        <v>158.18741683612123</v>
      </c>
      <c r="T42" s="14">
        <f>T7*Inputs!$C$48</f>
        <v>158.18775270883711</v>
      </c>
      <c r="U42" s="14">
        <f>U7*Inputs!$C$48</f>
        <v>159.29200341264524</v>
      </c>
      <c r="V42" s="14">
        <f>V7*Inputs!$C$48</f>
        <v>160.39431790903228</v>
      </c>
      <c r="W42" s="14">
        <f>W7*Inputs!$C$48</f>
        <v>160.39449572399954</v>
      </c>
      <c r="X42" s="188">
        <f>X7*Inputs!$C$48</f>
        <v>160.39447596678093</v>
      </c>
      <c r="Y42" s="14">
        <f>Y7*Inputs!$C$48</f>
        <v>160.39449572399954</v>
      </c>
      <c r="Z42" s="14">
        <f>Z7*Inputs!$C$48</f>
        <v>160.39453523843673</v>
      </c>
      <c r="AA42" s="14">
        <f>AA7*Inputs!$C$48</f>
        <v>160.39429815181373</v>
      </c>
      <c r="AB42" s="14">
        <f>AB7*Inputs!$C$48</f>
        <v>160.39429815181373</v>
      </c>
      <c r="AC42" s="14">
        <f>AC7*Inputs!$C$48</f>
        <v>160.39429815181373</v>
      </c>
      <c r="AD42" s="14">
        <f>AD7*Inputs!$C$48</f>
        <v>161.19355667235999</v>
      </c>
      <c r="AE42" s="14">
        <f>AE7*Inputs!$C$48</f>
        <v>161.19355667235999</v>
      </c>
      <c r="AF42" s="14">
        <f>AF7*Inputs!$C$48</f>
        <v>161.19355667235999</v>
      </c>
      <c r="AG42" s="14">
        <f>AG7*Inputs!$C$48</f>
        <v>161.19355667235999</v>
      </c>
      <c r="AH42" s="14">
        <f>AH7*Inputs!$C$48</f>
        <v>161.19375424454586</v>
      </c>
    </row>
    <row r="43" spans="1:36" ht="15">
      <c r="A43" s="8" t="s">
        <v>59</v>
      </c>
      <c r="B43" s="34">
        <v>0</v>
      </c>
      <c r="C43" s="331">
        <f>C8*Inputs!$C$53</f>
        <v>755.44</v>
      </c>
      <c r="D43" s="331">
        <f>D8*Inputs!$C$53</f>
        <v>828.5200000000001</v>
      </c>
      <c r="E43" s="331">
        <f>E8*Inputs!$C$53</f>
        <v>734.03609364365616</v>
      </c>
      <c r="F43" s="331">
        <f>F8*Inputs!$C$53</f>
        <v>773.28260417080696</v>
      </c>
      <c r="G43" s="331">
        <f>G8*Inputs!$C$53</f>
        <v>748.66170296714188</v>
      </c>
      <c r="H43" s="14">
        <f>H8*Inputs!$C$53</f>
        <v>751.92076917193185</v>
      </c>
      <c r="I43" s="14">
        <f>I8*Inputs!$C$53</f>
        <v>668.3620363526818</v>
      </c>
      <c r="J43" s="14">
        <f>J8*Inputs!$C$53</f>
        <v>675.72003980532645</v>
      </c>
      <c r="K43" s="14">
        <f>K8*Inputs!$C$53</f>
        <v>677.35522543296906</v>
      </c>
      <c r="L43" s="14">
        <f>L8*Inputs!$C$53</f>
        <v>678.99137455923358</v>
      </c>
      <c r="M43" s="14">
        <f>M8*Inputs!$C$53</f>
        <v>680.62825166223467</v>
      </c>
      <c r="N43" s="191">
        <f>N8*Inputs!$C$53</f>
        <v>681.09646917025827</v>
      </c>
      <c r="O43" s="14">
        <f>O8*Inputs!$C$53</f>
        <v>681.09651199241932</v>
      </c>
      <c r="P43" s="14">
        <f>P8*Inputs!$C$53</f>
        <v>681.09651199241932</v>
      </c>
      <c r="Q43" s="14">
        <f>Q8*Inputs!$C$53</f>
        <v>681.09646917025827</v>
      </c>
      <c r="R43" s="14">
        <f>R8*Inputs!$C$53</f>
        <v>681.09646917025827</v>
      </c>
      <c r="S43" s="14">
        <f>S8*Inputs!$C$53</f>
        <v>681.09646917025827</v>
      </c>
      <c r="T43" s="14">
        <f>T8*Inputs!$C$53</f>
        <v>681.09646917025827</v>
      </c>
      <c r="U43" s="14">
        <f>U8*Inputs!$C$53</f>
        <v>681.09651199241932</v>
      </c>
      <c r="V43" s="14">
        <f>V8*Inputs!$C$53</f>
        <v>681.09646917025827</v>
      </c>
      <c r="W43" s="14">
        <f>W8*Inputs!$C$53</f>
        <v>681.09646917025827</v>
      </c>
      <c r="X43" s="188">
        <f>X8*Inputs!$C$53</f>
        <v>681.09646917025827</v>
      </c>
      <c r="Y43" s="14">
        <f>Y8*Inputs!$C$53</f>
        <v>681.09646917025827</v>
      </c>
      <c r="Z43" s="14">
        <f>Z8*Inputs!$C$53</f>
        <v>681.09646917025827</v>
      </c>
      <c r="AA43" s="14">
        <f>AA8*Inputs!$C$53</f>
        <v>681.09646917025827</v>
      </c>
      <c r="AB43" s="14">
        <f>AB8*Inputs!$C$53</f>
        <v>681.09646917025827</v>
      </c>
      <c r="AC43" s="14">
        <f>AC8*Inputs!$C$53</f>
        <v>681.09646917025827</v>
      </c>
      <c r="AD43" s="14">
        <f>AD8*Inputs!$C$53</f>
        <v>681.09646917025827</v>
      </c>
      <c r="AE43" s="14">
        <f>AE8*Inputs!$C$53</f>
        <v>681.09651199241932</v>
      </c>
      <c r="AF43" s="14">
        <f>AF8*Inputs!$C$53</f>
        <v>681.09651199241932</v>
      </c>
      <c r="AG43" s="14">
        <f>AG8*Inputs!$C$53</f>
        <v>681.09646917025827</v>
      </c>
      <c r="AH43" s="14">
        <f>AH8*Inputs!$C$53</f>
        <v>681.09646917025827</v>
      </c>
    </row>
    <row r="44" spans="1:36" ht="15">
      <c r="A44" s="8" t="s">
        <v>121</v>
      </c>
      <c r="B44" s="34">
        <v>1</v>
      </c>
      <c r="C44" s="331">
        <f>C10*Inputs!$C$46</f>
        <v>24.15</v>
      </c>
      <c r="D44" s="331">
        <f>D10*Inputs!$C$46</f>
        <v>26.25</v>
      </c>
      <c r="E44" s="331">
        <f>E10*Inputs!$C$46</f>
        <v>24.738969925960884</v>
      </c>
      <c r="F44" s="331">
        <f>F10*Inputs!$C$46</f>
        <v>25.070101661329215</v>
      </c>
      <c r="G44" s="331">
        <f>G10*Inputs!$C$46</f>
        <v>20.828833057969934</v>
      </c>
      <c r="H44" s="14">
        <f>H10*Inputs!$C$46</f>
        <v>21.564112837425924</v>
      </c>
      <c r="I44" s="14">
        <f>I10*Inputs!$C$46</f>
        <v>22.933176194984728</v>
      </c>
      <c r="J44" s="14">
        <f>J10*Inputs!$C$46</f>
        <v>29.346606815053878</v>
      </c>
      <c r="K44" s="14">
        <f>K10*Inputs!$C$46</f>
        <v>30.018240796176983</v>
      </c>
      <c r="L44" s="14">
        <f>L10*Inputs!$C$46</f>
        <v>30.590291027985923</v>
      </c>
      <c r="M44" s="14">
        <f>M10*Inputs!$C$46</f>
        <v>31.426118351846988</v>
      </c>
      <c r="N44" s="191">
        <f>N10*Inputs!$C$46</f>
        <v>32.236125050157469</v>
      </c>
      <c r="O44" s="14">
        <f>O10*Inputs!$C$46</f>
        <v>34.727807846716452</v>
      </c>
      <c r="P44" s="14">
        <f>P10*Inputs!$C$46</f>
        <v>34.842812317485084</v>
      </c>
      <c r="Q44" s="14">
        <f>Q10*Inputs!$C$46</f>
        <v>34.885708768101743</v>
      </c>
      <c r="R44" s="14">
        <f>R10*Inputs!$C$46</f>
        <v>35.20069819720932</v>
      </c>
      <c r="S44" s="14">
        <f>S10*Inputs!$C$46</f>
        <v>35.326233769311564</v>
      </c>
      <c r="T44" s="14">
        <f>T10*Inputs!$C$46</f>
        <v>35.626892423245472</v>
      </c>
      <c r="U44" s="14">
        <f>U10*Inputs!$C$46</f>
        <v>36.914613493550952</v>
      </c>
      <c r="V44" s="14">
        <f>V10*Inputs!$C$46</f>
        <v>38.910910659432496</v>
      </c>
      <c r="W44" s="14">
        <f>W10*Inputs!$C$46</f>
        <v>38.452901103301286</v>
      </c>
      <c r="X44" s="188">
        <f>X10*Inputs!$C$46</f>
        <v>38.4562012184293</v>
      </c>
      <c r="Y44" s="14">
        <f>Y10*Inputs!$C$46</f>
        <v>38.907661004780437</v>
      </c>
      <c r="Z44" s="14">
        <f>Z10*Inputs!$C$46</f>
        <v>38.855898648536972</v>
      </c>
      <c r="AA44" s="14">
        <f>AA10*Inputs!$C$46</f>
        <v>39.218073668718112</v>
      </c>
      <c r="AB44" s="14">
        <f>AB10*Inputs!$C$46</f>
        <v>39.460516071532815</v>
      </c>
      <c r="AC44" s="14">
        <f>AC10*Inputs!$C$46</f>
        <v>39.615550837883383</v>
      </c>
      <c r="AD44" s="14">
        <f>AD10*Inputs!$C$46</f>
        <v>39.94870603833786</v>
      </c>
      <c r="AE44" s="14">
        <f>AE10*Inputs!$C$46</f>
        <v>40.850268224236693</v>
      </c>
      <c r="AF44" s="14">
        <f>AF10*Inputs!$C$46</f>
        <v>40.307247904249621</v>
      </c>
      <c r="AG44" s="14">
        <f>AG10*Inputs!$C$46</f>
        <v>40.56672071770204</v>
      </c>
      <c r="AH44" s="14">
        <f>AH10*Inputs!$C$46</f>
        <v>40.841604160513754</v>
      </c>
    </row>
    <row r="45" spans="1:36" ht="15">
      <c r="A45" s="8" t="s">
        <v>50</v>
      </c>
      <c r="B45" s="34">
        <v>1</v>
      </c>
      <c r="C45" s="331">
        <f>C11*Inputs!$C$49</f>
        <v>0</v>
      </c>
      <c r="D45" s="331">
        <f>D11*Inputs!$C$49</f>
        <v>0</v>
      </c>
      <c r="E45" s="331">
        <f>E11*Inputs!$C$49</f>
        <v>2.5000000000000002E-10</v>
      </c>
      <c r="F45" s="331">
        <f>F11*Inputs!$C$49</f>
        <v>2.5000000000000002E-10</v>
      </c>
      <c r="G45" s="331">
        <f>G11*Inputs!$C$49</f>
        <v>2.5000000000000002E-10</v>
      </c>
      <c r="H45" s="14">
        <f>H11*Inputs!$C$49</f>
        <v>2.5000000000000002E-10</v>
      </c>
      <c r="I45" s="14">
        <f>I11*Inputs!$C$49</f>
        <v>2.5000000000000002E-10</v>
      </c>
      <c r="J45" s="14">
        <f>J11*Inputs!$C$49</f>
        <v>2.5000000000000002E-10</v>
      </c>
      <c r="K45" s="14">
        <f>K11*Inputs!$C$49</f>
        <v>2.5000000000000002E-10</v>
      </c>
      <c r="L45" s="14">
        <f>L11*Inputs!$C$49</f>
        <v>2.5000000000000002E-10</v>
      </c>
      <c r="M45" s="14">
        <f>M11*Inputs!$C$49</f>
        <v>2.5000000000000002E-10</v>
      </c>
      <c r="N45" s="191">
        <f>N11*Inputs!$C$49</f>
        <v>2.5000000000000002E-10</v>
      </c>
      <c r="O45" s="14">
        <f>O11*Inputs!$C$49</f>
        <v>2.5000000000000002E-10</v>
      </c>
      <c r="P45" s="14">
        <f>P11*Inputs!$C$49</f>
        <v>2.5000000000000002E-10</v>
      </c>
      <c r="Q45" s="14">
        <f>Q11*Inputs!$C$49</f>
        <v>2.5000000000000002E-10</v>
      </c>
      <c r="R45" s="14">
        <f>R11*Inputs!$C$49</f>
        <v>2.5000000000000002E-10</v>
      </c>
      <c r="S45" s="14">
        <f>S11*Inputs!$C$49</f>
        <v>2.5000000000000002E-10</v>
      </c>
      <c r="T45" s="14">
        <f>T11*Inputs!$C$49</f>
        <v>2.5000000000000002E-10</v>
      </c>
      <c r="U45" s="14">
        <f>U11*Inputs!$C$49</f>
        <v>2.5000000000000002E-10</v>
      </c>
      <c r="V45" s="14">
        <f>V11*Inputs!$C$49</f>
        <v>2.5000000000000002E-10</v>
      </c>
      <c r="W45" s="14">
        <f>W11*Inputs!$C$49</f>
        <v>2.5000000000000002E-10</v>
      </c>
      <c r="X45" s="188">
        <f>X11*Inputs!$C$49</f>
        <v>2.5000000000000002E-10</v>
      </c>
      <c r="Y45" s="14">
        <f>Y11*Inputs!$C$49</f>
        <v>2.5000000000000002E-10</v>
      </c>
      <c r="Z45" s="14">
        <f>Z11*Inputs!$C$49</f>
        <v>2.5000000000000002E-10</v>
      </c>
      <c r="AA45" s="14">
        <f>AA11*Inputs!$C$49</f>
        <v>2.5000000000000002E-10</v>
      </c>
      <c r="AB45" s="14">
        <f>AB11*Inputs!$C$49</f>
        <v>2.5000000000000002E-10</v>
      </c>
      <c r="AC45" s="14">
        <f>AC11*Inputs!$C$49</f>
        <v>2.5000000000000002E-10</v>
      </c>
      <c r="AD45" s="14">
        <f>AD11*Inputs!$C$49</f>
        <v>2.5000000000000002E-10</v>
      </c>
      <c r="AE45" s="14">
        <f>AE11*Inputs!$C$49</f>
        <v>2.5000000000000002E-10</v>
      </c>
      <c r="AF45" s="14">
        <f>AF11*Inputs!$C$49</f>
        <v>2.5000000000000002E-10</v>
      </c>
      <c r="AG45" s="14">
        <f>AG11*Inputs!$C$49</f>
        <v>2.5000000000000002E-10</v>
      </c>
      <c r="AH45" s="14">
        <f>AH11*Inputs!$C$49</f>
        <v>2.5000000000000002E-10</v>
      </c>
    </row>
    <row r="46" spans="1:36" ht="15">
      <c r="A46" s="8" t="s">
        <v>51</v>
      </c>
      <c r="B46" s="34">
        <v>1</v>
      </c>
      <c r="C46" s="331">
        <f>C12*Inputs!$C$52</f>
        <v>165.6</v>
      </c>
      <c r="D46" s="331">
        <f>D12*Inputs!$C$52</f>
        <v>168.75</v>
      </c>
      <c r="E46" s="331">
        <f>E12*Inputs!$C$52</f>
        <v>168.86508687145582</v>
      </c>
      <c r="F46" s="331">
        <f>F12*Inputs!$C$52</f>
        <v>175.46236066317908</v>
      </c>
      <c r="G46" s="331">
        <f>G12*Inputs!$C$52</f>
        <v>196.65670958196961</v>
      </c>
      <c r="H46" s="14">
        <f>H12*Inputs!$C$52</f>
        <v>196.52423307922302</v>
      </c>
      <c r="I46" s="14">
        <f>I12*Inputs!$C$52</f>
        <v>196.50482747834479</v>
      </c>
      <c r="J46" s="14">
        <f>J12*Inputs!$C$52</f>
        <v>196.50783990014176</v>
      </c>
      <c r="K46" s="14">
        <f>K12*Inputs!$C$52</f>
        <v>196.50840035070863</v>
      </c>
      <c r="L46" s="14">
        <f>L12*Inputs!$C$52</f>
        <v>196.51176305410993</v>
      </c>
      <c r="M46" s="14">
        <f>M12*Inputs!$C$52</f>
        <v>196.51211333571422</v>
      </c>
      <c r="N46" s="191">
        <f>N12*Inputs!$C$52</f>
        <v>196.51029187137186</v>
      </c>
      <c r="O46" s="14">
        <f>O12*Inputs!$C$52</f>
        <v>196.50896080127552</v>
      </c>
      <c r="P46" s="14">
        <f>P12*Inputs!$C$52</f>
        <v>196.50805006910431</v>
      </c>
      <c r="Q46" s="14">
        <f>Q12*Inputs!$C$52</f>
        <v>196.50685911164973</v>
      </c>
      <c r="R46" s="14">
        <f>R12*Inputs!$C$52</f>
        <v>196.50559809787421</v>
      </c>
      <c r="S46" s="14">
        <f>S12*Inputs!$C$52</f>
        <v>197.05736168096894</v>
      </c>
      <c r="T46" s="14">
        <f>T12*Inputs!$C$52</f>
        <v>197.05540010398485</v>
      </c>
      <c r="U46" s="14">
        <f>U12*Inputs!$C$52</f>
        <v>196.50013370484712</v>
      </c>
      <c r="V46" s="14">
        <f>V12*Inputs!$C$52</f>
        <v>197.05175717530014</v>
      </c>
      <c r="W46" s="14">
        <f>W12*Inputs!$C$52</f>
        <v>196.4955099876704</v>
      </c>
      <c r="X46" s="188">
        <f>X12*Inputs!$C$52</f>
        <v>196.49368852332799</v>
      </c>
      <c r="Y46" s="14">
        <f>Y12*Inputs!$C$52</f>
        <v>197.04524193746016</v>
      </c>
      <c r="Z46" s="14">
        <f>Z12*Inputs!$C$52</f>
        <v>197.04300013519261</v>
      </c>
      <c r="AA46" s="14">
        <f>AA12*Inputs!$C$52</f>
        <v>197.04075833292509</v>
      </c>
      <c r="AB46" s="14">
        <f>AB12*Inputs!$C$52</f>
        <v>196.48058799132716</v>
      </c>
      <c r="AC46" s="14">
        <f>AC12*Inputs!$C$52</f>
        <v>196.47736540056758</v>
      </c>
      <c r="AD46" s="14">
        <f>AD12*Inputs!$C$52</f>
        <v>196.47162078225702</v>
      </c>
      <c r="AE46" s="14">
        <f>AE12*Inputs!$C$52</f>
        <v>196.46895864206434</v>
      </c>
      <c r="AF46" s="14">
        <f>AF12*Inputs!$C$52</f>
        <v>197.03003971583348</v>
      </c>
      <c r="AG46" s="14">
        <f>AG12*Inputs!$C$52</f>
        <v>196.46370441799988</v>
      </c>
      <c r="AH46" s="14">
        <f>AH12*Inputs!$C$52</f>
        <v>196.46188295365749</v>
      </c>
    </row>
    <row r="47" spans="1:36" ht="15">
      <c r="A47" s="8" t="s">
        <v>347</v>
      </c>
      <c r="B47" s="34">
        <v>1</v>
      </c>
      <c r="C47" s="331">
        <f>C13*Inputs!$C$54</f>
        <v>0</v>
      </c>
      <c r="D47" s="331">
        <f>D13*Inputs!$C$54</f>
        <v>23.13937141161</v>
      </c>
      <c r="E47" s="331">
        <f>E13*Inputs!$C$54</f>
        <v>49.684520335218565</v>
      </c>
      <c r="F47" s="331">
        <f>F13*Inputs!$C$54</f>
        <v>46.981022761955266</v>
      </c>
      <c r="G47" s="331">
        <f>G13*Inputs!$C$54</f>
        <v>77.662248003780221</v>
      </c>
      <c r="H47" s="14">
        <f>H13*Inputs!$C$54</f>
        <v>114.17200059448267</v>
      </c>
      <c r="I47" s="14">
        <f>I13*Inputs!$C$54</f>
        <v>163.04161986658474</v>
      </c>
      <c r="J47" s="14">
        <f>J13*Inputs!$C$54</f>
        <v>220.32953166687093</v>
      </c>
      <c r="K47" s="14">
        <f>K13*Inputs!$C$54</f>
        <v>273.88397789861216</v>
      </c>
      <c r="L47" s="14">
        <f>L13*Inputs!$C$54</f>
        <v>282.51729104606989</v>
      </c>
      <c r="M47" s="14">
        <f>M13*Inputs!$C$54</f>
        <v>284.95810357795074</v>
      </c>
      <c r="N47" s="191">
        <f>N13*Inputs!$C$54</f>
        <v>281.60202310930214</v>
      </c>
      <c r="O47" s="14">
        <f>O13*Inputs!$C$54</f>
        <v>280.00981645622176</v>
      </c>
      <c r="P47" s="14">
        <f>P13*Inputs!$C$54</f>
        <v>274.75753256732526</v>
      </c>
      <c r="Q47" s="14">
        <f>Q13*Inputs!$C$54</f>
        <v>271.26767729315327</v>
      </c>
      <c r="R47" s="14">
        <f>R13*Inputs!$C$54</f>
        <v>269.81756253181436</v>
      </c>
      <c r="S47" s="14">
        <f>S13*Inputs!$C$54</f>
        <v>269.33932138257109</v>
      </c>
      <c r="T47" s="14">
        <f>T13*Inputs!$C$54</f>
        <v>263.94838049569546</v>
      </c>
      <c r="U47" s="14">
        <f>U13*Inputs!$C$54</f>
        <v>267.64678108765924</v>
      </c>
      <c r="V47" s="14">
        <f>V13*Inputs!$C$54</f>
        <v>271.40945623189947</v>
      </c>
      <c r="W47" s="14">
        <f>W13*Inputs!$C$54</f>
        <v>266.05603874805718</v>
      </c>
      <c r="X47" s="188">
        <f>X13*Inputs!$C$54</f>
        <v>269.0489204966014</v>
      </c>
      <c r="Y47" s="14">
        <f>Y13*Inputs!$C$54</f>
        <v>271.45692146829975</v>
      </c>
      <c r="Z47" s="14">
        <f>Z13*Inputs!$C$54</f>
        <v>272.74400056802284</v>
      </c>
      <c r="AA47" s="14">
        <f>AA13*Inputs!$C$54</f>
        <v>277.47079614942442</v>
      </c>
      <c r="AB47" s="14">
        <f>AB13*Inputs!$C$54</f>
        <v>279.60345022154871</v>
      </c>
      <c r="AC47" s="14">
        <f>AC13*Inputs!$C$54</f>
        <v>277.07113162181639</v>
      </c>
      <c r="AD47" s="14">
        <f>AD13*Inputs!$C$54</f>
        <v>280.09582070467962</v>
      </c>
      <c r="AE47" s="14">
        <f>AE13*Inputs!$C$54</f>
        <v>278.98402865921503</v>
      </c>
      <c r="AF47" s="14">
        <f>AF13*Inputs!$C$54</f>
        <v>278.1045305590057</v>
      </c>
      <c r="AG47" s="14">
        <f>AG13*Inputs!$C$54</f>
        <v>276.05779254250848</v>
      </c>
      <c r="AH47" s="14">
        <f>AH13*Inputs!$C$54</f>
        <v>270.65075320198957</v>
      </c>
    </row>
    <row r="48" spans="1:36" ht="15">
      <c r="A48" s="8" t="s">
        <v>348</v>
      </c>
      <c r="B48" s="34">
        <v>1</v>
      </c>
      <c r="C48" s="331">
        <f>C14*Inputs!$C$55</f>
        <v>0</v>
      </c>
      <c r="D48" s="331">
        <f>D14*Inputs!$C$55</f>
        <v>0</v>
      </c>
      <c r="E48" s="331">
        <f>E14*Inputs!$C$55</f>
        <v>2.3000000000000003E-2</v>
      </c>
      <c r="F48" s="331">
        <f>F14*Inputs!$C$55</f>
        <v>2.3000000000000003E-2</v>
      </c>
      <c r="G48" s="331">
        <f>G14*Inputs!$C$55</f>
        <v>2.3000000000000003E-2</v>
      </c>
      <c r="H48" s="14">
        <f>H14*Inputs!$C$55</f>
        <v>2.3000000000000003E-2</v>
      </c>
      <c r="I48" s="14">
        <f>I14*Inputs!$C$55</f>
        <v>2.3000000000000003E-2</v>
      </c>
      <c r="J48" s="14">
        <f>J14*Inputs!$C$55</f>
        <v>2.3000000000000003E-2</v>
      </c>
      <c r="K48" s="14">
        <f>K14*Inputs!$C$55</f>
        <v>2.3000000000000003E-2</v>
      </c>
      <c r="L48" s="14">
        <f>L14*Inputs!$C$55</f>
        <v>2.3000000000000003E-2</v>
      </c>
      <c r="M48" s="14">
        <f>M14*Inputs!$C$55</f>
        <v>2.3000000000000003E-2</v>
      </c>
      <c r="N48" s="191">
        <f>N14*Inputs!$C$55</f>
        <v>2.3000000000000003E-2</v>
      </c>
      <c r="O48" s="14">
        <f>O14*Inputs!$C$55</f>
        <v>2.3000000000000003E-2</v>
      </c>
      <c r="P48" s="14">
        <f>P14*Inputs!$C$55</f>
        <v>2.3000000000000003E-2</v>
      </c>
      <c r="Q48" s="14">
        <f>Q14*Inputs!$C$55</f>
        <v>2.3000000000000003E-2</v>
      </c>
      <c r="R48" s="14">
        <f>R14*Inputs!$C$55</f>
        <v>2.3000000000000003E-2</v>
      </c>
      <c r="S48" s="14">
        <f>S14*Inputs!$C$55</f>
        <v>2.3000000000000003E-2</v>
      </c>
      <c r="T48" s="14">
        <f>T14*Inputs!$C$55</f>
        <v>2.3000000000000003E-2</v>
      </c>
      <c r="U48" s="14">
        <f>U14*Inputs!$C$55</f>
        <v>2.3000000000000003E-2</v>
      </c>
      <c r="V48" s="14">
        <f>V14*Inputs!$C$55</f>
        <v>2.3000000000000003E-2</v>
      </c>
      <c r="W48" s="14">
        <f>W14*Inputs!$C$55</f>
        <v>2.3000000000000003E-2</v>
      </c>
      <c r="X48" s="188">
        <f>X14*Inputs!$C$55</f>
        <v>2.3000000000000003E-2</v>
      </c>
      <c r="Y48" s="14">
        <f>Y14*Inputs!$C$55</f>
        <v>2.3000000000000003E-2</v>
      </c>
      <c r="Z48" s="14">
        <f>Z14*Inputs!$C$55</f>
        <v>2.3000000000000003E-2</v>
      </c>
      <c r="AA48" s="14">
        <f>AA14*Inputs!$C$55</f>
        <v>2.3000000000000003E-2</v>
      </c>
      <c r="AB48" s="14">
        <f>AB14*Inputs!$C$55</f>
        <v>2.3000000000000003E-2</v>
      </c>
      <c r="AC48" s="14">
        <f>AC14*Inputs!$C$55</f>
        <v>2.3000000000000003E-2</v>
      </c>
      <c r="AD48" s="14">
        <f>AD14*Inputs!$C$55</f>
        <v>2.3000000000000003E-2</v>
      </c>
      <c r="AE48" s="14">
        <f>AE14*Inputs!$C$55</f>
        <v>2.3000000000000003E-2</v>
      </c>
      <c r="AF48" s="14">
        <f>AF14*Inputs!$C$55</f>
        <v>2.3000000000000003E-2</v>
      </c>
      <c r="AG48" s="14">
        <f>AG14*Inputs!$C$55</f>
        <v>2.3000000000000003E-2</v>
      </c>
      <c r="AH48" s="14">
        <f>AH14*Inputs!$C$55</f>
        <v>2.3000000000000003E-2</v>
      </c>
    </row>
    <row r="49" spans="1:34" ht="15">
      <c r="A49" s="8" t="s">
        <v>344</v>
      </c>
      <c r="B49" s="34">
        <v>1</v>
      </c>
      <c r="C49" s="331">
        <f>C15*Inputs!$C$51</f>
        <v>2.7000000000000001E-3</v>
      </c>
      <c r="D49" s="331">
        <f>D15*Inputs!$C$51</f>
        <v>2.7000000000000001E-3</v>
      </c>
      <c r="E49" s="331">
        <f>E15*Inputs!$C$51</f>
        <v>2.7000000000000001E-3</v>
      </c>
      <c r="F49" s="331">
        <f>F15*Inputs!$C$51</f>
        <v>2.7000000000000001E-3</v>
      </c>
      <c r="G49" s="331">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1">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8">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1">
        <f>C16*Inputs!$C$57</f>
        <v>1.02</v>
      </c>
      <c r="D50" s="331">
        <f>D16*Inputs!$C$57</f>
        <v>3.74</v>
      </c>
      <c r="E50" s="331">
        <f>E16*Inputs!$C$57</f>
        <v>2.2921093412068099</v>
      </c>
      <c r="F50" s="331">
        <f>F16*Inputs!$C$57</f>
        <v>3.4172375310861054</v>
      </c>
      <c r="G50" s="331">
        <f>G16*Inputs!$C$57</f>
        <v>5.6755180939206449</v>
      </c>
      <c r="H50" s="14">
        <f>H16*Inputs!$C$57</f>
        <v>5.7596445439353765</v>
      </c>
      <c r="I50" s="14">
        <f>I16*Inputs!$C$57</f>
        <v>14.237713051837174</v>
      </c>
      <c r="J50" s="14">
        <f>J16*Inputs!$C$57</f>
        <v>19.962687763163693</v>
      </c>
      <c r="K50" s="14">
        <f>K16*Inputs!$C$57</f>
        <v>19.962238324806016</v>
      </c>
      <c r="L50" s="14">
        <f>L16*Inputs!$C$57</f>
        <v>19.956074974228518</v>
      </c>
      <c r="M50" s="14">
        <f>M16*Inputs!$C$57</f>
        <v>19.957034301717126</v>
      </c>
      <c r="N50" s="191">
        <f>N16*Inputs!$C$57</f>
        <v>19.961208033366194</v>
      </c>
      <c r="O50" s="14">
        <f>O16*Inputs!$C$57</f>
        <v>19.95912905242513</v>
      </c>
      <c r="P50" s="14">
        <f>P16*Inputs!$C$57</f>
        <v>19.957843816419842</v>
      </c>
      <c r="Q50" s="14">
        <f>Q16*Inputs!$C$57</f>
        <v>19.96435410186993</v>
      </c>
      <c r="R50" s="14">
        <f>R16*Inputs!$C$57</f>
        <v>19.983635270243717</v>
      </c>
      <c r="S50" s="14">
        <f>S16*Inputs!$C$57</f>
        <v>19.971253374904443</v>
      </c>
      <c r="T50" s="14">
        <f>T16*Inputs!$C$57</f>
        <v>20.066166345503419</v>
      </c>
      <c r="U50" s="14">
        <f>U16*Inputs!$C$57</f>
        <v>20.137135553304525</v>
      </c>
      <c r="V50" s="14">
        <f>V16*Inputs!$C$57</f>
        <v>20.493337792266551</v>
      </c>
      <c r="W50" s="14">
        <f>W16*Inputs!$C$57</f>
        <v>20.885986590912232</v>
      </c>
      <c r="X50" s="188">
        <f>X16*Inputs!$C$57</f>
        <v>20.98485514471766</v>
      </c>
      <c r="Y50" s="14">
        <f>Y16*Inputs!$C$57</f>
        <v>20.998051811348628</v>
      </c>
      <c r="Z50" s="14">
        <f>Z16*Inputs!$C$57</f>
        <v>21.009918560967986</v>
      </c>
      <c r="AA50" s="14">
        <f>AA16*Inputs!$C$57</f>
        <v>21.318666942925013</v>
      </c>
      <c r="AB50" s="14">
        <f>AB16*Inputs!$C$57</f>
        <v>21.728302408855281</v>
      </c>
      <c r="AC50" s="14">
        <f>AC16*Inputs!$C$57</f>
        <v>21.876306928138888</v>
      </c>
      <c r="AD50" s="14">
        <f>AD16*Inputs!$C$57</f>
        <v>23.136051105173099</v>
      </c>
      <c r="AE50" s="14">
        <f>AE16*Inputs!$C$57</f>
        <v>24.080762648126271</v>
      </c>
      <c r="AF50" s="14">
        <f>AF16*Inputs!$C$57</f>
        <v>24.19517756383614</v>
      </c>
      <c r="AG50" s="14">
        <f>AG16*Inputs!$C$57</f>
        <v>24.443698577569982</v>
      </c>
      <c r="AH50" s="14">
        <f>AH16*Inputs!$C$57</f>
        <v>24.804555526072626</v>
      </c>
    </row>
    <row r="51" spans="1:34" s="20" customFormat="1" ht="15">
      <c r="A51" s="8" t="s">
        <v>128</v>
      </c>
      <c r="B51" s="38"/>
      <c r="C51" s="334">
        <f t="shared" ref="C51:AH51" si="21">SUMPRODUCT($B42:$B50,C42:C50)</f>
        <v>190.77270000000001</v>
      </c>
      <c r="D51" s="334">
        <f t="shared" si="21"/>
        <v>221.88207141161001</v>
      </c>
      <c r="E51" s="334">
        <f t="shared" si="21"/>
        <v>245.60638647409209</v>
      </c>
      <c r="F51" s="334">
        <f t="shared" si="21"/>
        <v>250.95642261779966</v>
      </c>
      <c r="G51" s="334">
        <f t="shared" si="21"/>
        <v>300.84900873789041</v>
      </c>
      <c r="H51" s="19">
        <f t="shared" si="21"/>
        <v>338.04569105531704</v>
      </c>
      <c r="I51" s="19">
        <f t="shared" si="21"/>
        <v>396.74303659200143</v>
      </c>
      <c r="J51" s="19">
        <f t="shared" si="21"/>
        <v>466.17236614548028</v>
      </c>
      <c r="K51" s="19">
        <f t="shared" si="21"/>
        <v>520.39855737055382</v>
      </c>
      <c r="L51" s="19">
        <f t="shared" si="21"/>
        <v>529.60112010264424</v>
      </c>
      <c r="M51" s="19">
        <f t="shared" si="21"/>
        <v>532.87906956747918</v>
      </c>
      <c r="N51" s="191">
        <f t="shared" si="21"/>
        <v>530.33534806444766</v>
      </c>
      <c r="O51" s="19">
        <f t="shared" si="21"/>
        <v>531.23141415688895</v>
      </c>
      <c r="P51" s="19">
        <f t="shared" si="21"/>
        <v>526.09193877058453</v>
      </c>
      <c r="Q51" s="19">
        <f t="shared" si="21"/>
        <v>522.65029927502474</v>
      </c>
      <c r="R51" s="19">
        <f t="shared" si="21"/>
        <v>521.53319409739163</v>
      </c>
      <c r="S51" s="19">
        <f t="shared" si="21"/>
        <v>521.719870208006</v>
      </c>
      <c r="T51" s="19">
        <f t="shared" si="21"/>
        <v>516.72253936867924</v>
      </c>
      <c r="U51" s="19">
        <f t="shared" si="21"/>
        <v>521.2243638396119</v>
      </c>
      <c r="V51" s="19">
        <f t="shared" si="21"/>
        <v>527.89116185914861</v>
      </c>
      <c r="W51" s="19">
        <f t="shared" si="21"/>
        <v>521.91613643019116</v>
      </c>
      <c r="X51" s="183">
        <f t="shared" si="21"/>
        <v>525.00936538332644</v>
      </c>
      <c r="Y51" s="19">
        <f t="shared" si="21"/>
        <v>528.43357622213898</v>
      </c>
      <c r="Z51" s="19">
        <f t="shared" si="21"/>
        <v>529.67851791297039</v>
      </c>
      <c r="AA51" s="19">
        <f t="shared" si="21"/>
        <v>535.07399509424272</v>
      </c>
      <c r="AB51" s="19">
        <f t="shared" si="21"/>
        <v>537.298556693514</v>
      </c>
      <c r="AC51" s="19">
        <f t="shared" si="21"/>
        <v>535.06605478865629</v>
      </c>
      <c r="AD51" s="19">
        <f t="shared" si="21"/>
        <v>539.67789863069765</v>
      </c>
      <c r="AE51" s="19">
        <f t="shared" si="21"/>
        <v>540.40971817389243</v>
      </c>
      <c r="AF51" s="19">
        <f t="shared" si="21"/>
        <v>539.66269574317494</v>
      </c>
      <c r="AG51" s="19">
        <f t="shared" si="21"/>
        <v>537.55761625603043</v>
      </c>
      <c r="AH51" s="19">
        <f t="shared" si="21"/>
        <v>532.78449584248347</v>
      </c>
    </row>
    <row r="52" spans="1:34" s="20" customFormat="1" ht="15">
      <c r="A52" s="27" t="s">
        <v>329</v>
      </c>
      <c r="B52" s="39"/>
      <c r="C52" s="334">
        <f>SUM(C40:C50)</f>
        <v>1126.3612000000001</v>
      </c>
      <c r="D52" s="334">
        <f t="shared" ref="D52:I52" si="22">SUM(D42:D50)</f>
        <v>1199.8005714116102</v>
      </c>
      <c r="E52" s="334">
        <f t="shared" si="22"/>
        <v>1152.3559177435857</v>
      </c>
      <c r="F52" s="334">
        <f t="shared" si="22"/>
        <v>1169.8075081159293</v>
      </c>
      <c r="G52" s="334">
        <f t="shared" si="22"/>
        <v>1190.6452187663597</v>
      </c>
      <c r="H52" s="19">
        <f t="shared" si="22"/>
        <v>1233.4770099097743</v>
      </c>
      <c r="I52" s="19">
        <f t="shared" si="22"/>
        <v>1211.4501512628378</v>
      </c>
      <c r="J52" s="19">
        <f t="shared" ref="J52:AH52" si="23">SUM(J42:J50)</f>
        <v>1291.0854478132267</v>
      </c>
      <c r="K52" s="19">
        <f t="shared" si="23"/>
        <v>1348.4783449788215</v>
      </c>
      <c r="L52" s="19">
        <f t="shared" si="23"/>
        <v>1359.3171161088321</v>
      </c>
      <c r="M52" s="19">
        <f t="shared" si="23"/>
        <v>1364.2319624338868</v>
      </c>
      <c r="N52" s="191">
        <f t="shared" si="23"/>
        <v>1362.1563794100043</v>
      </c>
      <c r="O52" s="19">
        <f t="shared" si="23"/>
        <v>1363.0524883246067</v>
      </c>
      <c r="P52" s="19">
        <f t="shared" si="23"/>
        <v>1357.9130524527397</v>
      </c>
      <c r="Q52" s="19">
        <f t="shared" si="23"/>
        <v>1361.9340272236552</v>
      </c>
      <c r="R52" s="19">
        <f t="shared" si="23"/>
        <v>1360.8169022888039</v>
      </c>
      <c r="S52" s="19">
        <f t="shared" si="23"/>
        <v>1361.0037562143855</v>
      </c>
      <c r="T52" s="19">
        <f t="shared" si="23"/>
        <v>1356.0067612477744</v>
      </c>
      <c r="U52" s="19">
        <f t="shared" si="23"/>
        <v>1361.6128792446764</v>
      </c>
      <c r="V52" s="19">
        <f t="shared" si="23"/>
        <v>1369.3819489384391</v>
      </c>
      <c r="W52" s="19">
        <f t="shared" si="23"/>
        <v>1363.4071013244486</v>
      </c>
      <c r="X52" s="183">
        <f t="shared" si="23"/>
        <v>1366.5003105203655</v>
      </c>
      <c r="Y52" s="19">
        <f t="shared" si="23"/>
        <v>1369.9245411163968</v>
      </c>
      <c r="Z52" s="19">
        <f t="shared" si="23"/>
        <v>1371.1695223216652</v>
      </c>
      <c r="AA52" s="19">
        <f t="shared" si="23"/>
        <v>1376.5647624163146</v>
      </c>
      <c r="AB52" s="19">
        <f t="shared" si="23"/>
        <v>1378.7893240155859</v>
      </c>
      <c r="AC52" s="19">
        <f t="shared" si="23"/>
        <v>1376.5568221107283</v>
      </c>
      <c r="AD52" s="19">
        <f t="shared" si="23"/>
        <v>1381.9679244733156</v>
      </c>
      <c r="AE52" s="19">
        <f t="shared" si="23"/>
        <v>1382.6997868386716</v>
      </c>
      <c r="AF52" s="19">
        <f t="shared" si="23"/>
        <v>1381.9527644079542</v>
      </c>
      <c r="AG52" s="19">
        <f t="shared" si="23"/>
        <v>1379.8476420986483</v>
      </c>
      <c r="AH52" s="19">
        <f t="shared" si="23"/>
        <v>1375.0747192572874</v>
      </c>
    </row>
    <row r="53" spans="1:34" s="20" customFormat="1" ht="15">
      <c r="A53" s="27" t="s">
        <v>330</v>
      </c>
      <c r="B53" s="39"/>
      <c r="C53" s="334">
        <f>C20*Inputs!$C$60</f>
        <v>993.08</v>
      </c>
      <c r="D53" s="334">
        <f>D20*Inputs!$C$60</f>
        <v>913.66</v>
      </c>
      <c r="E53" s="334">
        <f>E20*Inputs!$C$60</f>
        <v>437.75107142045493</v>
      </c>
      <c r="F53" s="334">
        <f>F20*Inputs!$C$60</f>
        <v>227.18080760773603</v>
      </c>
      <c r="G53" s="334">
        <f>G20*Inputs!$C$60</f>
        <v>246.92686082109529</v>
      </c>
      <c r="H53" s="19">
        <f>H20*Inputs!$C$60</f>
        <v>245.64911172283561</v>
      </c>
      <c r="I53" s="19">
        <f>I20*Inputs!$C$60</f>
        <v>248.05745160108768</v>
      </c>
      <c r="J53" s="19">
        <f>J20*Inputs!$C$60</f>
        <v>33.641234312805324</v>
      </c>
      <c r="K53" s="19">
        <f>K20*Inputs!$C$60</f>
        <v>128.17353383435059</v>
      </c>
      <c r="L53" s="19">
        <f>L20*Inputs!$C$60</f>
        <v>243.61981796216472</v>
      </c>
      <c r="M53" s="19">
        <f>M20*Inputs!$C$60</f>
        <v>291.48088925894592</v>
      </c>
      <c r="N53" s="191">
        <f>N20*Inputs!$C$60</f>
        <v>301.33848693181608</v>
      </c>
      <c r="O53" s="19">
        <f>O20*Inputs!$C$60</f>
        <v>308.49316878008761</v>
      </c>
      <c r="P53" s="19">
        <f>P20*Inputs!$C$60</f>
        <v>313.36910082861641</v>
      </c>
      <c r="Q53" s="19">
        <f>Q20*Inputs!$C$60</f>
        <v>317.02666572581643</v>
      </c>
      <c r="R53" s="19">
        <f>R20*Inputs!$C$60</f>
        <v>318.75269666144123</v>
      </c>
      <c r="S53" s="19">
        <f>S20*Inputs!$C$60</f>
        <v>320.46090004749612</v>
      </c>
      <c r="T53" s="19">
        <f>T20*Inputs!$C$60</f>
        <v>320.59230529468908</v>
      </c>
      <c r="U53" s="19">
        <f>U20*Inputs!$C$60</f>
        <v>496.29194697626696</v>
      </c>
      <c r="V53" s="19">
        <f>V20*Inputs!$C$60</f>
        <v>542.84843060925425</v>
      </c>
      <c r="W53" s="19">
        <f>W20*Inputs!$C$60</f>
        <v>550.98693388396862</v>
      </c>
      <c r="X53" s="183">
        <f>X20*Inputs!$C$60</f>
        <v>554.16315494278319</v>
      </c>
      <c r="Y53" s="19">
        <f>Y20*Inputs!$C$60</f>
        <v>551.19749345125172</v>
      </c>
      <c r="Z53" s="19">
        <f>Z20*Inputs!$C$60</f>
        <v>489.06102804328958</v>
      </c>
      <c r="AA53" s="19">
        <f>AA20*Inputs!$C$60</f>
        <v>480.60175853122428</v>
      </c>
      <c r="AB53" s="19">
        <f>AB20*Inputs!$C$60</f>
        <v>462.29792166433788</v>
      </c>
      <c r="AC53" s="19">
        <f>AC20*Inputs!$C$60</f>
        <v>451.25048091945058</v>
      </c>
      <c r="AD53" s="19">
        <f>AD20*Inputs!$C$60</f>
        <v>513.49391162483153</v>
      </c>
      <c r="AE53" s="19">
        <f>AE20*Inputs!$C$60</f>
        <v>505.31916980390071</v>
      </c>
      <c r="AF53" s="19">
        <f>AF20*Inputs!$C$60</f>
        <v>516.00740163181911</v>
      </c>
      <c r="AG53" s="19">
        <f>AG20*Inputs!$C$60</f>
        <v>516.21147845380403</v>
      </c>
      <c r="AH53" s="19">
        <f>AH20*Inputs!$C$60</f>
        <v>516.03871329160904</v>
      </c>
    </row>
    <row r="54" spans="1:34" s="20" customFormat="1" ht="15">
      <c r="A54" s="27" t="s">
        <v>222</v>
      </c>
      <c r="B54" s="39"/>
      <c r="C54" s="334">
        <f>C21*Inputs!$C$61</f>
        <v>2308.6799999999998</v>
      </c>
      <c r="D54" s="334">
        <f>D21*Inputs!$C$61</f>
        <v>2814.02</v>
      </c>
      <c r="E54" s="334">
        <f>E21*Inputs!$C$61</f>
        <v>2868.4128666964248</v>
      </c>
      <c r="F54" s="334">
        <f>F21*Inputs!$C$61</f>
        <v>2821.4798523082745</v>
      </c>
      <c r="G54" s="334">
        <f>G21*Inputs!$C$61</f>
        <v>2746.0993409760977</v>
      </c>
      <c r="H54" s="19">
        <f>H21*Inputs!$C$61</f>
        <v>2853.361020746514</v>
      </c>
      <c r="I54" s="19">
        <f>I21*Inputs!$C$61</f>
        <v>2917.1005994345951</v>
      </c>
      <c r="J54" s="19">
        <f>J21*Inputs!$C$61</f>
        <v>2993.374214600422</v>
      </c>
      <c r="K54" s="19">
        <f>K21*Inputs!$C$61</f>
        <v>3074.0173065167933</v>
      </c>
      <c r="L54" s="19">
        <f>L21*Inputs!$C$61</f>
        <v>3087.7156366455147</v>
      </c>
      <c r="M54" s="19">
        <f>M21*Inputs!$C$61</f>
        <v>3072.4906948727239</v>
      </c>
      <c r="N54" s="191">
        <f>N21*Inputs!$C$61</f>
        <v>3007.7956062494695</v>
      </c>
      <c r="O54" s="19">
        <f>O21*Inputs!$C$61</f>
        <v>2968.6586788652307</v>
      </c>
      <c r="P54" s="19">
        <f>P21*Inputs!$C$61</f>
        <v>2883.07414968986</v>
      </c>
      <c r="Q54" s="19">
        <f>Q21*Inputs!$C$61</f>
        <v>2819.1116170932023</v>
      </c>
      <c r="R54" s="19">
        <f>R21*Inputs!$C$61</f>
        <v>2794.0199271497468</v>
      </c>
      <c r="S54" s="19">
        <f>S21*Inputs!$C$61</f>
        <v>2783.6302654678461</v>
      </c>
      <c r="T54" s="19">
        <f>T21*Inputs!$C$61</f>
        <v>2698.3369170551632</v>
      </c>
      <c r="U54" s="19">
        <f>U21*Inputs!$C$61</f>
        <v>2572.7478820933361</v>
      </c>
      <c r="V54" s="19">
        <f>V21*Inputs!$C$61</f>
        <v>2573.4524317119872</v>
      </c>
      <c r="W54" s="19">
        <f>W21*Inputs!$C$61</f>
        <v>2481.0711719566389</v>
      </c>
      <c r="X54" s="183">
        <f>X21*Inputs!$C$61</f>
        <v>2522.0890612265471</v>
      </c>
      <c r="Y54" s="19">
        <f>Y21*Inputs!$C$61</f>
        <v>2559.1999373101826</v>
      </c>
      <c r="Z54" s="19">
        <f>Z21*Inputs!$C$61</f>
        <v>2640.2436592223416</v>
      </c>
      <c r="AA54" s="19">
        <f>AA21*Inputs!$C$61</f>
        <v>2717.1950103760432</v>
      </c>
      <c r="AB54" s="19">
        <f>AB21*Inputs!$C$61</f>
        <v>2763.9413312815786</v>
      </c>
      <c r="AC54" s="19">
        <f>AC21*Inputs!$C$61</f>
        <v>2733.5735108052791</v>
      </c>
      <c r="AD54" s="19">
        <f>AD21*Inputs!$C$61</f>
        <v>2706.928777275672</v>
      </c>
      <c r="AE54" s="19">
        <f>AE21*Inputs!$C$61</f>
        <v>2688.1261719487306</v>
      </c>
      <c r="AF54" s="19">
        <f>AF21*Inputs!$C$61</f>
        <v>2663.4549121020823</v>
      </c>
      <c r="AG54" s="19">
        <f>AG21*Inputs!$C$61</f>
        <v>2628.132056707047</v>
      </c>
      <c r="AH54" s="19">
        <f>AH21*Inputs!$C$61</f>
        <v>2540.5889874188829</v>
      </c>
    </row>
    <row r="55" spans="1:34" s="20" customFormat="1" ht="15">
      <c r="A55" s="27" t="s">
        <v>58</v>
      </c>
      <c r="B55" s="39"/>
      <c r="C55" s="334">
        <f>SUM(C52:C54)</f>
        <v>4428.1211999999996</v>
      </c>
      <c r="D55" s="334">
        <f t="shared" ref="D55:AH55" si="24">SUM(D52:D54)</f>
        <v>4927.4805714116101</v>
      </c>
      <c r="E55" s="334">
        <f t="shared" si="24"/>
        <v>4458.5198558604652</v>
      </c>
      <c r="F55" s="334">
        <f t="shared" si="24"/>
        <v>4218.46816803194</v>
      </c>
      <c r="G55" s="334">
        <f t="shared" si="24"/>
        <v>4183.6714205635526</v>
      </c>
      <c r="H55" s="19">
        <f t="shared" si="24"/>
        <v>4332.4871423791237</v>
      </c>
      <c r="I55" s="19">
        <f t="shared" si="24"/>
        <v>4376.6082022985211</v>
      </c>
      <c r="J55" s="19">
        <f t="shared" si="24"/>
        <v>4318.1008967264543</v>
      </c>
      <c r="K55" s="19">
        <f t="shared" si="24"/>
        <v>4550.6691853299653</v>
      </c>
      <c r="L55" s="19">
        <f t="shared" si="24"/>
        <v>4690.652570716511</v>
      </c>
      <c r="M55" s="19">
        <f t="shared" si="24"/>
        <v>4728.2035465655572</v>
      </c>
      <c r="N55" s="191">
        <f t="shared" si="24"/>
        <v>4671.2904725912904</v>
      </c>
      <c r="O55" s="19">
        <f t="shared" si="24"/>
        <v>4640.2043359699255</v>
      </c>
      <c r="P55" s="19">
        <f t="shared" si="24"/>
        <v>4554.3563029712159</v>
      </c>
      <c r="Q55" s="19">
        <f t="shared" si="24"/>
        <v>4498.072310042674</v>
      </c>
      <c r="R55" s="19">
        <f t="shared" si="24"/>
        <v>4473.5895260999914</v>
      </c>
      <c r="S55" s="19">
        <f t="shared" si="24"/>
        <v>4465.0949217297275</v>
      </c>
      <c r="T55" s="19">
        <f t="shared" si="24"/>
        <v>4374.9359835976265</v>
      </c>
      <c r="U55" s="19">
        <f t="shared" si="24"/>
        <v>4430.6527083142792</v>
      </c>
      <c r="V55" s="19">
        <f t="shared" si="24"/>
        <v>4485.6828112596804</v>
      </c>
      <c r="W55" s="19">
        <f t="shared" si="24"/>
        <v>4395.4652071650562</v>
      </c>
      <c r="X55" s="183">
        <f t="shared" si="24"/>
        <v>4442.7525266896955</v>
      </c>
      <c r="Y55" s="19">
        <f t="shared" si="24"/>
        <v>4480.3219718778309</v>
      </c>
      <c r="Z55" s="19">
        <f t="shared" si="24"/>
        <v>4500.4742095872962</v>
      </c>
      <c r="AA55" s="19">
        <f t="shared" si="24"/>
        <v>4574.3615313235823</v>
      </c>
      <c r="AB55" s="19">
        <f t="shared" si="24"/>
        <v>4605.028576961502</v>
      </c>
      <c r="AC55" s="19">
        <f t="shared" si="24"/>
        <v>4561.380813835458</v>
      </c>
      <c r="AD55" s="19">
        <f t="shared" si="24"/>
        <v>4602.3906133738192</v>
      </c>
      <c r="AE55" s="19">
        <f t="shared" si="24"/>
        <v>4576.1451285913026</v>
      </c>
      <c r="AF55" s="19">
        <f t="shared" si="24"/>
        <v>4561.4150781418557</v>
      </c>
      <c r="AG55" s="19">
        <f t="shared" si="24"/>
        <v>4524.1911772594995</v>
      </c>
      <c r="AH55" s="19">
        <f t="shared" si="24"/>
        <v>4431.7024199677799</v>
      </c>
    </row>
    <row r="57" spans="1:34">
      <c r="A57" s="1" t="s">
        <v>140</v>
      </c>
      <c r="B57" s="13"/>
      <c r="D57" s="333"/>
      <c r="E57" s="333"/>
      <c r="F57" s="333"/>
      <c r="G57" s="333"/>
      <c r="H57" s="16"/>
      <c r="I57" s="16"/>
      <c r="J57" s="16"/>
      <c r="K57" s="16"/>
      <c r="L57" s="16"/>
      <c r="M57" s="16"/>
      <c r="N57" s="389" t="s">
        <v>0</v>
      </c>
    </row>
    <row r="58" spans="1:34" ht="15">
      <c r="A58" s="8" t="s">
        <v>61</v>
      </c>
      <c r="B58" s="34">
        <v>0</v>
      </c>
      <c r="C58" s="331">
        <f>C40*Inputs!$H44</f>
        <v>0</v>
      </c>
      <c r="D58" s="331">
        <f>D40*Inputs!$H44</f>
        <v>0</v>
      </c>
      <c r="E58" s="331">
        <f>E40*Inputs!$H44</f>
        <v>0</v>
      </c>
      <c r="F58" s="331">
        <f>F40*Inputs!$H44</f>
        <v>0</v>
      </c>
      <c r="G58" s="331">
        <f>G40*Inputs!$H44</f>
        <v>0</v>
      </c>
      <c r="H58" s="14">
        <f>H40*Inputs!$H44</f>
        <v>0</v>
      </c>
      <c r="I58" s="14">
        <f>I40*Inputs!$H44</f>
        <v>0</v>
      </c>
      <c r="J58" s="14">
        <f>J40*Inputs!$H44</f>
        <v>0</v>
      </c>
      <c r="K58" s="14">
        <f>K40*Inputs!$H44</f>
        <v>0</v>
      </c>
      <c r="L58" s="14">
        <f>L40*Inputs!$H44</f>
        <v>0</v>
      </c>
      <c r="M58" s="14">
        <f>M40*Inputs!$H44</f>
        <v>0</v>
      </c>
      <c r="N58" s="191">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8">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1">
        <f>C41*Inputs!$H47</f>
        <v>0</v>
      </c>
      <c r="D59" s="331">
        <f>D41*Inputs!$H47</f>
        <v>0</v>
      </c>
      <c r="E59" s="331" t="s">
        <v>376</v>
      </c>
      <c r="F59" s="331">
        <f>F41*Inputs!$H47</f>
        <v>0</v>
      </c>
      <c r="G59" s="331">
        <f>G41*Inputs!$H47</f>
        <v>0</v>
      </c>
      <c r="H59" s="14">
        <f>H41*Inputs!$H47</f>
        <v>0</v>
      </c>
      <c r="I59" s="14">
        <f>I41*Inputs!$H47</f>
        <v>0</v>
      </c>
      <c r="J59" s="14">
        <f>J41*Inputs!$H47</f>
        <v>0</v>
      </c>
      <c r="K59" s="14">
        <f>K41*Inputs!$H47</f>
        <v>0</v>
      </c>
      <c r="L59" s="14">
        <f>L41*Inputs!$H47</f>
        <v>0</v>
      </c>
      <c r="M59" s="14">
        <f>M41*Inputs!$H47</f>
        <v>0</v>
      </c>
      <c r="N59" s="191">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8">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1">
        <f>C42*Inputs!$H48</f>
        <v>162.13364999999999</v>
      </c>
      <c r="D60" s="331">
        <f>D42*Inputs!$H48</f>
        <v>134.45864999999998</v>
      </c>
      <c r="E60" s="331">
        <f>E42*Inputs!$H48</f>
        <v>155.44209386325383</v>
      </c>
      <c r="F60" s="331">
        <f>F42*Inputs!$H48</f>
        <v>131.01163319459047</v>
      </c>
      <c r="G60" s="331">
        <f>G42*Inputs!$H48</f>
        <v>127.02105635519487</v>
      </c>
      <c r="H60" s="14">
        <f>H42*Inputs!$H48</f>
        <v>129.15949471427302</v>
      </c>
      <c r="I60" s="14">
        <f>I42*Inputs!$H48</f>
        <v>131.71057048633921</v>
      </c>
      <c r="J60" s="14">
        <f>J42*Inputs!$H48</f>
        <v>134.27373767617806</v>
      </c>
      <c r="K60" s="14">
        <f>K42*Inputs!$H48</f>
        <v>135.65210595776875</v>
      </c>
      <c r="L60" s="14">
        <f>L42*Inputs!$H48</f>
        <v>135.65215930225887</v>
      </c>
      <c r="M60" s="14">
        <f>M42*Inputs!$H48</f>
        <v>135.65217708375562</v>
      </c>
      <c r="N60" s="191">
        <f>N42*Inputs!$H48</f>
        <v>135.65210595776875</v>
      </c>
      <c r="O60" s="14">
        <f>O42*Inputs!$H48</f>
        <v>135.65210595776875</v>
      </c>
      <c r="P60" s="14">
        <f>P42*Inputs!$H48</f>
        <v>135.65214152076214</v>
      </c>
      <c r="Q60" s="14">
        <f>Q42*Inputs!$H48</f>
        <v>142.36853290053531</v>
      </c>
      <c r="R60" s="14">
        <f>R42*Inputs!$H48</f>
        <v>142.36851511903859</v>
      </c>
      <c r="S60" s="14">
        <f>S42*Inputs!$H48</f>
        <v>142.3686751525091</v>
      </c>
      <c r="T60" s="14">
        <f>T42*Inputs!$H48</f>
        <v>142.36897743795339</v>
      </c>
      <c r="U60" s="14">
        <f>U42*Inputs!$H48</f>
        <v>143.36280307138071</v>
      </c>
      <c r="V60" s="14">
        <f>V42*Inputs!$H48</f>
        <v>144.35488611812906</v>
      </c>
      <c r="W60" s="14">
        <f>W42*Inputs!$H48</f>
        <v>144.35504615159959</v>
      </c>
      <c r="X60" s="188">
        <f>X42*Inputs!$H48</f>
        <v>144.35502837010284</v>
      </c>
      <c r="Y60" s="14">
        <f>Y42*Inputs!$H48</f>
        <v>144.35504615159959</v>
      </c>
      <c r="Z60" s="14">
        <f>Z42*Inputs!$H48</f>
        <v>144.35508171459307</v>
      </c>
      <c r="AA60" s="14">
        <f>AA42*Inputs!$H48</f>
        <v>144.35486833663236</v>
      </c>
      <c r="AB60" s="14">
        <f>AB42*Inputs!$H48</f>
        <v>144.35486833663236</v>
      </c>
      <c r="AC60" s="14">
        <f>AC42*Inputs!$H48</f>
        <v>144.35486833663236</v>
      </c>
      <c r="AD60" s="14">
        <f>AD42*Inputs!$H48</f>
        <v>145.074201005124</v>
      </c>
      <c r="AE60" s="14">
        <f>AE42*Inputs!$H48</f>
        <v>145.074201005124</v>
      </c>
      <c r="AF60" s="14">
        <f>AF42*Inputs!$H48</f>
        <v>145.074201005124</v>
      </c>
      <c r="AG60" s="14">
        <f>AG42*Inputs!$H48</f>
        <v>145.074201005124</v>
      </c>
      <c r="AH60" s="14">
        <f>AH42*Inputs!$H48</f>
        <v>145.07437882009128</v>
      </c>
    </row>
    <row r="61" spans="1:34" ht="15">
      <c r="A61" s="8" t="s">
        <v>59</v>
      </c>
      <c r="B61" s="34">
        <v>0</v>
      </c>
      <c r="C61" s="331">
        <f>C43*Inputs!$H53</f>
        <v>679.89600000000007</v>
      </c>
      <c r="D61" s="331">
        <f>D43*Inputs!$H53</f>
        <v>745.66800000000012</v>
      </c>
      <c r="E61" s="331">
        <f>E43*Inputs!$H53</f>
        <v>660.63248427929057</v>
      </c>
      <c r="F61" s="331">
        <f>F43*Inputs!$H53</f>
        <v>695.95434375372633</v>
      </c>
      <c r="G61" s="331">
        <f>G43*Inputs!$H53</f>
        <v>673.79553267042775</v>
      </c>
      <c r="H61" s="14">
        <f>H43*Inputs!$H53</f>
        <v>676.72869225473869</v>
      </c>
      <c r="I61" s="14">
        <f>I43*Inputs!$H53</f>
        <v>601.52583271741366</v>
      </c>
      <c r="J61" s="14">
        <f>J43*Inputs!$H53</f>
        <v>608.14803582479385</v>
      </c>
      <c r="K61" s="14">
        <f>K43*Inputs!$H53</f>
        <v>609.61970288967223</v>
      </c>
      <c r="L61" s="14">
        <f>L43*Inputs!$H53</f>
        <v>611.09223710331025</v>
      </c>
      <c r="M61" s="14">
        <f>M43*Inputs!$H53</f>
        <v>612.56542649601124</v>
      </c>
      <c r="N61" s="191">
        <f>N43*Inputs!$H53</f>
        <v>612.9868222532325</v>
      </c>
      <c r="O61" s="14">
        <f>O43*Inputs!$H53</f>
        <v>612.98686079317736</v>
      </c>
      <c r="P61" s="14">
        <f>P43*Inputs!$H53</f>
        <v>612.98686079317736</v>
      </c>
      <c r="Q61" s="14">
        <f>Q43*Inputs!$H53</f>
        <v>612.9868222532325</v>
      </c>
      <c r="R61" s="14">
        <f>R43*Inputs!$H53</f>
        <v>612.9868222532325</v>
      </c>
      <c r="S61" s="14">
        <f>S43*Inputs!$H53</f>
        <v>612.9868222532325</v>
      </c>
      <c r="T61" s="14">
        <f>T43*Inputs!$H53</f>
        <v>612.9868222532325</v>
      </c>
      <c r="U61" s="14">
        <f>U43*Inputs!$H53</f>
        <v>612.98686079317736</v>
      </c>
      <c r="V61" s="14">
        <f>V43*Inputs!$H53</f>
        <v>612.9868222532325</v>
      </c>
      <c r="W61" s="14">
        <f>W43*Inputs!$H53</f>
        <v>612.9868222532325</v>
      </c>
      <c r="X61" s="188">
        <f>X43*Inputs!$H53</f>
        <v>612.9868222532325</v>
      </c>
      <c r="Y61" s="14">
        <f>Y43*Inputs!$H53</f>
        <v>612.9868222532325</v>
      </c>
      <c r="Z61" s="14">
        <f>Z43*Inputs!$H53</f>
        <v>612.9868222532325</v>
      </c>
      <c r="AA61" s="14">
        <f>AA43*Inputs!$H53</f>
        <v>612.9868222532325</v>
      </c>
      <c r="AB61" s="14">
        <f>AB43*Inputs!$H53</f>
        <v>612.9868222532325</v>
      </c>
      <c r="AC61" s="14">
        <f>AC43*Inputs!$H53</f>
        <v>612.9868222532325</v>
      </c>
      <c r="AD61" s="14">
        <f>AD43*Inputs!$H53</f>
        <v>612.9868222532325</v>
      </c>
      <c r="AE61" s="14">
        <f>AE43*Inputs!$H53</f>
        <v>612.98686079317736</v>
      </c>
      <c r="AF61" s="14">
        <f>AF43*Inputs!$H53</f>
        <v>612.98686079317736</v>
      </c>
      <c r="AG61" s="14">
        <f>AG43*Inputs!$H53</f>
        <v>612.9868222532325</v>
      </c>
      <c r="AH61" s="14">
        <f>AH43*Inputs!$H53</f>
        <v>612.9868222532325</v>
      </c>
    </row>
    <row r="62" spans="1:34" ht="15">
      <c r="A62" s="8" t="s">
        <v>121</v>
      </c>
      <c r="B62" s="34">
        <v>1</v>
      </c>
      <c r="C62" s="331">
        <f>C44*Inputs!$H46</f>
        <v>21.734999999999999</v>
      </c>
      <c r="D62" s="331">
        <f>D44*Inputs!$H46</f>
        <v>23.625</v>
      </c>
      <c r="E62" s="331">
        <f>E44*Inputs!$H46</f>
        <v>22.265072933364795</v>
      </c>
      <c r="F62" s="331">
        <f>F44*Inputs!$H46</f>
        <v>22.563091495196293</v>
      </c>
      <c r="G62" s="331">
        <f>G44*Inputs!$H46</f>
        <v>18.74594975217294</v>
      </c>
      <c r="H62" s="14">
        <f>H44*Inputs!$H46</f>
        <v>19.407701553683331</v>
      </c>
      <c r="I62" s="14">
        <f>I44*Inputs!$H46</f>
        <v>20.639858575486254</v>
      </c>
      <c r="J62" s="14">
        <f>J44*Inputs!$H46</f>
        <v>26.41194613354849</v>
      </c>
      <c r="K62" s="14">
        <f>K44*Inputs!$H46</f>
        <v>27.016416716559284</v>
      </c>
      <c r="L62" s="14">
        <f>L44*Inputs!$H46</f>
        <v>27.53126192518733</v>
      </c>
      <c r="M62" s="14">
        <f>M44*Inputs!$H46</f>
        <v>28.283506516662289</v>
      </c>
      <c r="N62" s="191">
        <f>N44*Inputs!$H46</f>
        <v>29.012512545141721</v>
      </c>
      <c r="O62" s="14">
        <f>O44*Inputs!$H46</f>
        <v>31.255027062044807</v>
      </c>
      <c r="P62" s="14">
        <f>P44*Inputs!$H46</f>
        <v>31.358531085736576</v>
      </c>
      <c r="Q62" s="14">
        <f>Q44*Inputs!$H46</f>
        <v>31.397137891291571</v>
      </c>
      <c r="R62" s="14">
        <f>R44*Inputs!$H46</f>
        <v>31.680628377488389</v>
      </c>
      <c r="S62" s="14">
        <f>S44*Inputs!$H46</f>
        <v>31.793610392380408</v>
      </c>
      <c r="T62" s="14">
        <f>T44*Inputs!$H46</f>
        <v>32.064203180920927</v>
      </c>
      <c r="U62" s="14">
        <f>U44*Inputs!$H46</f>
        <v>33.223152144195858</v>
      </c>
      <c r="V62" s="14">
        <f>V44*Inputs!$H46</f>
        <v>35.019819593489245</v>
      </c>
      <c r="W62" s="14">
        <f>W44*Inputs!$H46</f>
        <v>34.607610992971161</v>
      </c>
      <c r="X62" s="188">
        <f>X44*Inputs!$H46</f>
        <v>34.610581096586372</v>
      </c>
      <c r="Y62" s="14">
        <f>Y44*Inputs!$H46</f>
        <v>35.016894904302397</v>
      </c>
      <c r="Z62" s="14">
        <f>Z44*Inputs!$H46</f>
        <v>34.970308783683272</v>
      </c>
      <c r="AA62" s="14">
        <f>AA44*Inputs!$H46</f>
        <v>35.296266301846302</v>
      </c>
      <c r="AB62" s="14">
        <f>AB44*Inputs!$H46</f>
        <v>35.514464464379536</v>
      </c>
      <c r="AC62" s="14">
        <f>AC44*Inputs!$H46</f>
        <v>35.653995754095043</v>
      </c>
      <c r="AD62" s="14">
        <f>AD44*Inputs!$H46</f>
        <v>35.953835434504079</v>
      </c>
      <c r="AE62" s="14">
        <f>AE44*Inputs!$H46</f>
        <v>36.765241401813022</v>
      </c>
      <c r="AF62" s="14">
        <f>AF44*Inputs!$H46</f>
        <v>36.276523113824659</v>
      </c>
      <c r="AG62" s="14">
        <f>AG44*Inputs!$H46</f>
        <v>36.510048645931839</v>
      </c>
      <c r="AH62" s="14">
        <f>AH44*Inputs!$H46</f>
        <v>36.757443744462378</v>
      </c>
    </row>
    <row r="63" spans="1:34" ht="15">
      <c r="A63" s="8" t="s">
        <v>50</v>
      </c>
      <c r="B63" s="34">
        <v>1</v>
      </c>
      <c r="C63" s="331">
        <f>C45*Inputs!$H49</f>
        <v>0</v>
      </c>
      <c r="D63" s="331">
        <f>D45*Inputs!$H49</f>
        <v>0</v>
      </c>
      <c r="E63" s="331">
        <f>E45*Inputs!$H49</f>
        <v>2.2500000000000002E-10</v>
      </c>
      <c r="F63" s="331">
        <f>F45*Inputs!$H49</f>
        <v>2.2500000000000002E-10</v>
      </c>
      <c r="G63" s="331">
        <f>G45*Inputs!$H49</f>
        <v>2.2500000000000002E-10</v>
      </c>
      <c r="H63" s="14">
        <f>H45*Inputs!$H49</f>
        <v>2.2500000000000002E-10</v>
      </c>
      <c r="I63" s="14">
        <f>I45*Inputs!$H49</f>
        <v>2.2500000000000002E-10</v>
      </c>
      <c r="J63" s="14">
        <f>J45*Inputs!$H49</f>
        <v>2.2500000000000002E-10</v>
      </c>
      <c r="K63" s="14">
        <f>K45*Inputs!$H49</f>
        <v>2.2500000000000002E-10</v>
      </c>
      <c r="L63" s="14">
        <f>L45*Inputs!$H49</f>
        <v>2.2500000000000002E-10</v>
      </c>
      <c r="M63" s="14">
        <f>M45*Inputs!$H49</f>
        <v>2.2500000000000002E-10</v>
      </c>
      <c r="N63" s="191">
        <f>N45*Inputs!$H49</f>
        <v>2.2500000000000002E-10</v>
      </c>
      <c r="O63" s="14">
        <f>O45*Inputs!$H49</f>
        <v>2.2500000000000002E-10</v>
      </c>
      <c r="P63" s="14">
        <f>P45*Inputs!$H49</f>
        <v>2.2500000000000002E-10</v>
      </c>
      <c r="Q63" s="14">
        <f>Q45*Inputs!$H49</f>
        <v>2.2500000000000002E-10</v>
      </c>
      <c r="R63" s="14">
        <f>R45*Inputs!$H49</f>
        <v>2.2500000000000002E-10</v>
      </c>
      <c r="S63" s="14">
        <f>S45*Inputs!$H49</f>
        <v>2.2500000000000002E-10</v>
      </c>
      <c r="T63" s="14">
        <f>T45*Inputs!$H49</f>
        <v>2.2500000000000002E-10</v>
      </c>
      <c r="U63" s="14">
        <f>U45*Inputs!$H49</f>
        <v>2.2500000000000002E-10</v>
      </c>
      <c r="V63" s="14">
        <f>V45*Inputs!$H49</f>
        <v>2.2500000000000002E-10</v>
      </c>
      <c r="W63" s="14">
        <f>W45*Inputs!$H49</f>
        <v>2.2500000000000002E-10</v>
      </c>
      <c r="X63" s="188">
        <f>X45*Inputs!$H49</f>
        <v>2.2500000000000002E-10</v>
      </c>
      <c r="Y63" s="14">
        <f>Y45*Inputs!$H49</f>
        <v>2.2500000000000002E-10</v>
      </c>
      <c r="Z63" s="14">
        <f>Z45*Inputs!$H49</f>
        <v>2.2500000000000002E-10</v>
      </c>
      <c r="AA63" s="14">
        <f>AA45*Inputs!$H49</f>
        <v>2.2500000000000002E-10</v>
      </c>
      <c r="AB63" s="14">
        <f>AB45*Inputs!$H49</f>
        <v>2.2500000000000002E-10</v>
      </c>
      <c r="AC63" s="14">
        <f>AC45*Inputs!$H49</f>
        <v>2.2500000000000002E-10</v>
      </c>
      <c r="AD63" s="14">
        <f>AD45*Inputs!$H49</f>
        <v>2.2500000000000002E-10</v>
      </c>
      <c r="AE63" s="14">
        <f>AE45*Inputs!$H49</f>
        <v>2.2500000000000002E-10</v>
      </c>
      <c r="AF63" s="14">
        <f>AF45*Inputs!$H49</f>
        <v>2.2500000000000002E-10</v>
      </c>
      <c r="AG63" s="14">
        <f>AG45*Inputs!$H49</f>
        <v>2.2500000000000002E-10</v>
      </c>
      <c r="AH63" s="14">
        <f>AH45*Inputs!$H49</f>
        <v>2.2500000000000002E-10</v>
      </c>
    </row>
    <row r="64" spans="1:34" ht="15">
      <c r="A64" s="8" t="s">
        <v>51</v>
      </c>
      <c r="B64" s="34">
        <v>1</v>
      </c>
      <c r="C64" s="331">
        <f>C46*Inputs!$H52</f>
        <v>149.04</v>
      </c>
      <c r="D64" s="331">
        <f>D46*Inputs!$H52</f>
        <v>151.875</v>
      </c>
      <c r="E64" s="331">
        <f>E46*Inputs!$H52</f>
        <v>151.97857818431024</v>
      </c>
      <c r="F64" s="331">
        <f>F46*Inputs!$H52</f>
        <v>157.91612459686118</v>
      </c>
      <c r="G64" s="331">
        <f>G46*Inputs!$H52</f>
        <v>176.99103862377265</v>
      </c>
      <c r="H64" s="14">
        <f>H46*Inputs!$H52</f>
        <v>176.87180977130072</v>
      </c>
      <c r="I64" s="14">
        <f>I46*Inputs!$H52</f>
        <v>176.85434473051032</v>
      </c>
      <c r="J64" s="14">
        <f>J46*Inputs!$H52</f>
        <v>176.8570559101276</v>
      </c>
      <c r="K64" s="14">
        <f>K46*Inputs!$H52</f>
        <v>176.85756031563776</v>
      </c>
      <c r="L64" s="14">
        <f>L46*Inputs!$H52</f>
        <v>176.86058674869895</v>
      </c>
      <c r="M64" s="14">
        <f>M46*Inputs!$H52</f>
        <v>176.86090200214281</v>
      </c>
      <c r="N64" s="191">
        <f>N46*Inputs!$H52</f>
        <v>176.85926268423469</v>
      </c>
      <c r="O64" s="14">
        <f>O46*Inputs!$H52</f>
        <v>176.85806472114797</v>
      </c>
      <c r="P64" s="14">
        <f>P46*Inputs!$H52</f>
        <v>176.8572450621939</v>
      </c>
      <c r="Q64" s="14">
        <f>Q46*Inputs!$H52</f>
        <v>176.85617320048476</v>
      </c>
      <c r="R64" s="14">
        <f>R46*Inputs!$H52</f>
        <v>176.8550382880868</v>
      </c>
      <c r="S64" s="14">
        <f>S46*Inputs!$H52</f>
        <v>177.35162551287206</v>
      </c>
      <c r="T64" s="14">
        <f>T46*Inputs!$H52</f>
        <v>177.34986009358636</v>
      </c>
      <c r="U64" s="14">
        <f>U46*Inputs!$H52</f>
        <v>176.8501203343624</v>
      </c>
      <c r="V64" s="14">
        <f>V46*Inputs!$H52</f>
        <v>177.34658145777013</v>
      </c>
      <c r="W64" s="14">
        <f>W46*Inputs!$H52</f>
        <v>176.84595898890336</v>
      </c>
      <c r="X64" s="188">
        <f>X46*Inputs!$H52</f>
        <v>176.84431967099519</v>
      </c>
      <c r="Y64" s="14">
        <f>Y46*Inputs!$H52</f>
        <v>177.34071774371415</v>
      </c>
      <c r="Z64" s="14">
        <f>Z46*Inputs!$H52</f>
        <v>177.33870012167336</v>
      </c>
      <c r="AA64" s="14">
        <f>AA46*Inputs!$H52</f>
        <v>177.33668249963259</v>
      </c>
      <c r="AB64" s="14">
        <f>AB46*Inputs!$H52</f>
        <v>176.83252919219444</v>
      </c>
      <c r="AC64" s="14">
        <f>AC46*Inputs!$H52</f>
        <v>176.82962886051084</v>
      </c>
      <c r="AD64" s="14">
        <f>AD46*Inputs!$H52</f>
        <v>176.82445870403131</v>
      </c>
      <c r="AE64" s="14">
        <f>AE46*Inputs!$H52</f>
        <v>176.82206277785789</v>
      </c>
      <c r="AF64" s="14">
        <f>AF46*Inputs!$H52</f>
        <v>177.32703574425014</v>
      </c>
      <c r="AG64" s="14">
        <f>AG46*Inputs!$H52</f>
        <v>176.8173339761999</v>
      </c>
      <c r="AH64" s="14">
        <f>AH46*Inputs!$H52</f>
        <v>176.81569465829176</v>
      </c>
    </row>
    <row r="65" spans="1:34" ht="15">
      <c r="A65" s="8" t="s">
        <v>347</v>
      </c>
      <c r="B65" s="34">
        <v>1</v>
      </c>
      <c r="C65" s="331">
        <f>C47*Inputs!$H54</f>
        <v>0</v>
      </c>
      <c r="D65" s="331">
        <f>D47*Inputs!$H54</f>
        <v>20.825434270449001</v>
      </c>
      <c r="E65" s="331">
        <f>E47*Inputs!$H54</f>
        <v>44.716068301696708</v>
      </c>
      <c r="F65" s="331">
        <f>F47*Inputs!$H54</f>
        <v>42.282920485759739</v>
      </c>
      <c r="G65" s="331">
        <f>G47*Inputs!$H54</f>
        <v>69.896023203402194</v>
      </c>
      <c r="H65" s="14">
        <f>H47*Inputs!$H54</f>
        <v>102.75480053503441</v>
      </c>
      <c r="I65" s="14">
        <f>I47*Inputs!$H54</f>
        <v>146.73745787992627</v>
      </c>
      <c r="J65" s="14">
        <f>J47*Inputs!$H54</f>
        <v>198.29657850018384</v>
      </c>
      <c r="K65" s="14">
        <f>K47*Inputs!$H54</f>
        <v>246.49558010875094</v>
      </c>
      <c r="L65" s="14">
        <f>L47*Inputs!$H54</f>
        <v>254.26556194146289</v>
      </c>
      <c r="M65" s="14">
        <f>M47*Inputs!$H54</f>
        <v>256.46229322015569</v>
      </c>
      <c r="N65" s="191">
        <f>N47*Inputs!$H54</f>
        <v>253.44182079837194</v>
      </c>
      <c r="O65" s="14">
        <f>O47*Inputs!$H54</f>
        <v>252.00883481059958</v>
      </c>
      <c r="P65" s="14">
        <f>P47*Inputs!$H54</f>
        <v>247.28177931059273</v>
      </c>
      <c r="Q65" s="14">
        <f>Q47*Inputs!$H54</f>
        <v>244.14090956383794</v>
      </c>
      <c r="R65" s="14">
        <f>R47*Inputs!$H54</f>
        <v>242.83580627863293</v>
      </c>
      <c r="S65" s="14">
        <f>S47*Inputs!$H54</f>
        <v>242.40538924431399</v>
      </c>
      <c r="T65" s="14">
        <f>T47*Inputs!$H54</f>
        <v>237.55354244612593</v>
      </c>
      <c r="U65" s="14">
        <f>U47*Inputs!$H54</f>
        <v>240.88210297889333</v>
      </c>
      <c r="V65" s="14">
        <f>V47*Inputs!$H54</f>
        <v>244.26851060870953</v>
      </c>
      <c r="W65" s="14">
        <f>W47*Inputs!$H54</f>
        <v>239.45043487325145</v>
      </c>
      <c r="X65" s="188">
        <f>X47*Inputs!$H54</f>
        <v>242.14402844694126</v>
      </c>
      <c r="Y65" s="14">
        <f>Y47*Inputs!$H54</f>
        <v>244.3112293214698</v>
      </c>
      <c r="Z65" s="14">
        <f>Z47*Inputs!$H54</f>
        <v>245.46960051122056</v>
      </c>
      <c r="AA65" s="14">
        <f>AA47*Inputs!$H54</f>
        <v>249.72371653448198</v>
      </c>
      <c r="AB65" s="14">
        <f>AB47*Inputs!$H54</f>
        <v>251.64310519939386</v>
      </c>
      <c r="AC65" s="14">
        <f>AC47*Inputs!$H54</f>
        <v>249.36401845963476</v>
      </c>
      <c r="AD65" s="14">
        <f>AD47*Inputs!$H54</f>
        <v>252.08623863421167</v>
      </c>
      <c r="AE65" s="14">
        <f>AE47*Inputs!$H54</f>
        <v>251.08562579329353</v>
      </c>
      <c r="AF65" s="14">
        <f>AF47*Inputs!$H54</f>
        <v>250.29407750310514</v>
      </c>
      <c r="AG65" s="14">
        <f>AG47*Inputs!$H54</f>
        <v>248.45201328825763</v>
      </c>
      <c r="AH65" s="14">
        <f>AH47*Inputs!$H54</f>
        <v>243.58567788179062</v>
      </c>
    </row>
    <row r="66" spans="1:34" ht="15">
      <c r="A66" s="8" t="s">
        <v>348</v>
      </c>
      <c r="B66" s="34">
        <v>1</v>
      </c>
      <c r="C66" s="331">
        <f>C48*Inputs!$H55</f>
        <v>0</v>
      </c>
      <c r="D66" s="331">
        <f>D48*Inputs!$H55</f>
        <v>0</v>
      </c>
      <c r="E66" s="331">
        <f>E48*Inputs!$H55</f>
        <v>2.0700000000000003E-2</v>
      </c>
      <c r="F66" s="331">
        <f>F48*Inputs!$H55</f>
        <v>2.0700000000000003E-2</v>
      </c>
      <c r="G66" s="331">
        <f>G48*Inputs!$H55</f>
        <v>2.0700000000000003E-2</v>
      </c>
      <c r="H66" s="14">
        <f>H48*Inputs!$H55</f>
        <v>2.0700000000000003E-2</v>
      </c>
      <c r="I66" s="14">
        <f>I48*Inputs!$H55</f>
        <v>2.0700000000000003E-2</v>
      </c>
      <c r="J66" s="14">
        <f>J48*Inputs!$H55</f>
        <v>2.0700000000000003E-2</v>
      </c>
      <c r="K66" s="14">
        <f>K48*Inputs!$H55</f>
        <v>2.0700000000000003E-2</v>
      </c>
      <c r="L66" s="14">
        <f>L48*Inputs!$H55</f>
        <v>2.0700000000000003E-2</v>
      </c>
      <c r="M66" s="14">
        <f>M48*Inputs!$H55</f>
        <v>2.0700000000000003E-2</v>
      </c>
      <c r="N66" s="191">
        <f>N48*Inputs!$H55</f>
        <v>2.0700000000000003E-2</v>
      </c>
      <c r="O66" s="14">
        <f>O48*Inputs!$H55</f>
        <v>2.0700000000000003E-2</v>
      </c>
      <c r="P66" s="14">
        <f>P48*Inputs!$H55</f>
        <v>2.0700000000000003E-2</v>
      </c>
      <c r="Q66" s="14">
        <f>Q48*Inputs!$H55</f>
        <v>2.0700000000000003E-2</v>
      </c>
      <c r="R66" s="14">
        <f>R48*Inputs!$H55</f>
        <v>2.0700000000000003E-2</v>
      </c>
      <c r="S66" s="14">
        <f>S48*Inputs!$H55</f>
        <v>2.0700000000000003E-2</v>
      </c>
      <c r="T66" s="14">
        <f>T48*Inputs!$H55</f>
        <v>2.0700000000000003E-2</v>
      </c>
      <c r="U66" s="14">
        <f>U48*Inputs!$H55</f>
        <v>2.0700000000000003E-2</v>
      </c>
      <c r="V66" s="14">
        <f>V48*Inputs!$H55</f>
        <v>2.0700000000000003E-2</v>
      </c>
      <c r="W66" s="14">
        <f>W48*Inputs!$H55</f>
        <v>2.0700000000000003E-2</v>
      </c>
      <c r="X66" s="188">
        <f>X48*Inputs!$H55</f>
        <v>2.0700000000000003E-2</v>
      </c>
      <c r="Y66" s="14">
        <f>Y48*Inputs!$H55</f>
        <v>2.0700000000000003E-2</v>
      </c>
      <c r="Z66" s="14">
        <f>Z48*Inputs!$H55</f>
        <v>2.0700000000000003E-2</v>
      </c>
      <c r="AA66" s="14">
        <f>AA48*Inputs!$H55</f>
        <v>2.0700000000000003E-2</v>
      </c>
      <c r="AB66" s="14">
        <f>AB48*Inputs!$H55</f>
        <v>2.0700000000000003E-2</v>
      </c>
      <c r="AC66" s="14">
        <f>AC48*Inputs!$H55</f>
        <v>2.0700000000000003E-2</v>
      </c>
      <c r="AD66" s="14">
        <f>AD48*Inputs!$H55</f>
        <v>2.0700000000000003E-2</v>
      </c>
      <c r="AE66" s="14">
        <f>AE48*Inputs!$H55</f>
        <v>2.0700000000000003E-2</v>
      </c>
      <c r="AF66" s="14">
        <f>AF48*Inputs!$H55</f>
        <v>2.0700000000000003E-2</v>
      </c>
      <c r="AG66" s="14">
        <f>AG48*Inputs!$H55</f>
        <v>2.0700000000000003E-2</v>
      </c>
      <c r="AH66" s="14">
        <f>AH48*Inputs!$H55</f>
        <v>2.0700000000000003E-2</v>
      </c>
    </row>
    <row r="67" spans="1:34" ht="15">
      <c r="A67" s="8" t="s">
        <v>344</v>
      </c>
      <c r="B67" s="34">
        <v>1</v>
      </c>
      <c r="C67" s="331">
        <f>C49*Inputs!$H51</f>
        <v>2.4300000000000003E-3</v>
      </c>
      <c r="D67" s="331">
        <f>D49*Inputs!$H51</f>
        <v>2.4300000000000003E-3</v>
      </c>
      <c r="E67" s="331">
        <f>E49*Inputs!$H51</f>
        <v>2.4300000000000003E-3</v>
      </c>
      <c r="F67" s="331">
        <f>F49*Inputs!$H51</f>
        <v>2.4300000000000003E-3</v>
      </c>
      <c r="G67" s="331">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1">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8">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1">
        <f>C50*Inputs!$H57</f>
        <v>0.91800000000000004</v>
      </c>
      <c r="D68" s="331">
        <f>D50*Inputs!$H57</f>
        <v>3.3660000000000001</v>
      </c>
      <c r="E68" s="331">
        <f>E50*Inputs!$H57</f>
        <v>2.0628984070861289</v>
      </c>
      <c r="F68" s="331">
        <f>F50*Inputs!$H57</f>
        <v>3.0755137779774948</v>
      </c>
      <c r="G68" s="331">
        <f>G50*Inputs!$H57</f>
        <v>5.1079662845285805</v>
      </c>
      <c r="H68" s="14">
        <f>H50*Inputs!$H57</f>
        <v>5.1836800895418387</v>
      </c>
      <c r="I68" s="14">
        <f>I50*Inputs!$H57</f>
        <v>12.813941746653457</v>
      </c>
      <c r="J68" s="14">
        <f>J50*Inputs!$H57</f>
        <v>17.966418986847323</v>
      </c>
      <c r="K68" s="14">
        <f>K50*Inputs!$H57</f>
        <v>17.966014492325414</v>
      </c>
      <c r="L68" s="14">
        <f>L50*Inputs!$H57</f>
        <v>17.960467476805665</v>
      </c>
      <c r="M68" s="14">
        <f>M50*Inputs!$H57</f>
        <v>17.961330871545414</v>
      </c>
      <c r="N68" s="191">
        <f>N50*Inputs!$H57</f>
        <v>17.965087230029575</v>
      </c>
      <c r="O68" s="14">
        <f>O50*Inputs!$H57</f>
        <v>17.963216147182617</v>
      </c>
      <c r="P68" s="14">
        <f>P50*Inputs!$H57</f>
        <v>17.96205943477786</v>
      </c>
      <c r="Q68" s="14">
        <f>Q50*Inputs!$H57</f>
        <v>17.967918691682936</v>
      </c>
      <c r="R68" s="14">
        <f>R50*Inputs!$H57</f>
        <v>17.985271743219347</v>
      </c>
      <c r="S68" s="14">
        <f>S50*Inputs!$H57</f>
        <v>17.974128037413998</v>
      </c>
      <c r="T68" s="14">
        <f>T50*Inputs!$H57</f>
        <v>18.059549710953078</v>
      </c>
      <c r="U68" s="14">
        <f>U50*Inputs!$H57</f>
        <v>18.123421997974074</v>
      </c>
      <c r="V68" s="14">
        <f>V50*Inputs!$H57</f>
        <v>18.444004013039898</v>
      </c>
      <c r="W68" s="14">
        <f>W50*Inputs!$H57</f>
        <v>18.79738793182101</v>
      </c>
      <c r="X68" s="188">
        <f>X50*Inputs!$H57</f>
        <v>18.886369630245895</v>
      </c>
      <c r="Y68" s="14">
        <f>Y50*Inputs!$H57</f>
        <v>18.898246630213766</v>
      </c>
      <c r="Z68" s="14">
        <f>Z50*Inputs!$H57</f>
        <v>18.908926704871188</v>
      </c>
      <c r="AA68" s="14">
        <f>AA50*Inputs!$H57</f>
        <v>19.186800248632512</v>
      </c>
      <c r="AB68" s="14">
        <f>AB50*Inputs!$H57</f>
        <v>19.555472167969754</v>
      </c>
      <c r="AC68" s="14">
        <f>AC50*Inputs!$H57</f>
        <v>19.688676235325001</v>
      </c>
      <c r="AD68" s="14">
        <f>AD50*Inputs!$H57</f>
        <v>20.822445994655791</v>
      </c>
      <c r="AE68" s="14">
        <f>AE50*Inputs!$H57</f>
        <v>21.672686383313643</v>
      </c>
      <c r="AF68" s="14">
        <f>AF50*Inputs!$H57</f>
        <v>21.775659807452527</v>
      </c>
      <c r="AG68" s="14">
        <f>AG50*Inputs!$H57</f>
        <v>21.999328719812986</v>
      </c>
      <c r="AH68" s="14">
        <f>AH50*Inputs!$H57</f>
        <v>22.324099973465366</v>
      </c>
    </row>
    <row r="69" spans="1:34" s="20" customFormat="1" ht="15">
      <c r="A69" s="8" t="s">
        <v>128</v>
      </c>
      <c r="B69" s="38"/>
      <c r="C69" s="334">
        <f t="shared" ref="C69:AH69" si="25">SUMPRODUCT($B60:$B68,C60:C68)</f>
        <v>171.69542999999999</v>
      </c>
      <c r="D69" s="334">
        <f t="shared" si="25"/>
        <v>199.69386427044901</v>
      </c>
      <c r="E69" s="334">
        <f t="shared" si="25"/>
        <v>221.04574782668288</v>
      </c>
      <c r="F69" s="334">
        <f t="shared" si="25"/>
        <v>225.86078035601975</v>
      </c>
      <c r="G69" s="334">
        <f t="shared" si="25"/>
        <v>270.76410786410133</v>
      </c>
      <c r="H69" s="19">
        <f t="shared" si="25"/>
        <v>304.24112194978528</v>
      </c>
      <c r="I69" s="19">
        <f t="shared" si="25"/>
        <v>357.06873293280131</v>
      </c>
      <c r="J69" s="19">
        <f t="shared" si="25"/>
        <v>419.55512953093222</v>
      </c>
      <c r="K69" s="19">
        <f t="shared" si="25"/>
        <v>468.35870163349841</v>
      </c>
      <c r="L69" s="19">
        <f t="shared" si="25"/>
        <v>476.64100809237982</v>
      </c>
      <c r="M69" s="19">
        <f t="shared" si="25"/>
        <v>479.5911626107312</v>
      </c>
      <c r="N69" s="191">
        <f t="shared" si="25"/>
        <v>477.30181325800288</v>
      </c>
      <c r="O69" s="19">
        <f t="shared" si="25"/>
        <v>478.10827274119998</v>
      </c>
      <c r="P69" s="19">
        <f t="shared" si="25"/>
        <v>473.48274489352605</v>
      </c>
      <c r="Q69" s="19">
        <f t="shared" si="25"/>
        <v>470.38526934752218</v>
      </c>
      <c r="R69" s="19">
        <f t="shared" si="25"/>
        <v>469.37987468765243</v>
      </c>
      <c r="S69" s="19">
        <f t="shared" si="25"/>
        <v>469.54788318720546</v>
      </c>
      <c r="T69" s="19">
        <f t="shared" si="25"/>
        <v>465.05028543181129</v>
      </c>
      <c r="U69" s="19">
        <f t="shared" si="25"/>
        <v>469.10192745565064</v>
      </c>
      <c r="V69" s="19">
        <f t="shared" si="25"/>
        <v>475.10204567323376</v>
      </c>
      <c r="W69" s="19">
        <f t="shared" si="25"/>
        <v>469.72452278717196</v>
      </c>
      <c r="X69" s="183">
        <f t="shared" si="25"/>
        <v>472.50842884499372</v>
      </c>
      <c r="Y69" s="19">
        <f t="shared" si="25"/>
        <v>475.59021859992509</v>
      </c>
      <c r="Z69" s="19">
        <f t="shared" si="25"/>
        <v>476.71066612167334</v>
      </c>
      <c r="AA69" s="19">
        <f t="shared" si="25"/>
        <v>481.56659558481834</v>
      </c>
      <c r="AB69" s="19">
        <f t="shared" si="25"/>
        <v>483.56870102416258</v>
      </c>
      <c r="AC69" s="19">
        <f t="shared" si="25"/>
        <v>481.55944930979058</v>
      </c>
      <c r="AD69" s="19">
        <f t="shared" si="25"/>
        <v>485.71010876762784</v>
      </c>
      <c r="AE69" s="19">
        <f t="shared" si="25"/>
        <v>486.36874635650304</v>
      </c>
      <c r="AF69" s="19">
        <f t="shared" si="25"/>
        <v>485.69642616885744</v>
      </c>
      <c r="AG69" s="19">
        <f t="shared" si="25"/>
        <v>483.80185463042733</v>
      </c>
      <c r="AH69" s="19">
        <f t="shared" si="25"/>
        <v>479.50604625823507</v>
      </c>
    </row>
    <row r="70" spans="1:34" s="20" customFormat="1" ht="15">
      <c r="A70" s="27" t="s">
        <v>329</v>
      </c>
      <c r="B70" s="39"/>
      <c r="C70" s="334">
        <f>SUM(C58:C68)</f>
        <v>1013.72508</v>
      </c>
      <c r="D70" s="334">
        <f t="shared" ref="D70:AH70" si="26">SUM(D58:D68)</f>
        <v>1079.8205142704492</v>
      </c>
      <c r="E70" s="334">
        <f t="shared" si="26"/>
        <v>1037.1203259692272</v>
      </c>
      <c r="F70" s="334">
        <f t="shared" si="26"/>
        <v>1052.8267573043365</v>
      </c>
      <c r="G70" s="334">
        <f t="shared" si="26"/>
        <v>1071.5806968897241</v>
      </c>
      <c r="H70" s="19">
        <f t="shared" si="26"/>
        <v>1110.1293089187971</v>
      </c>
      <c r="I70" s="19">
        <f t="shared" si="26"/>
        <v>1090.3051361365542</v>
      </c>
      <c r="J70" s="19">
        <f t="shared" si="26"/>
        <v>1161.9769030319042</v>
      </c>
      <c r="K70" s="19">
        <f t="shared" si="26"/>
        <v>1213.6305104809396</v>
      </c>
      <c r="L70" s="19">
        <f t="shared" si="26"/>
        <v>1223.3854044979489</v>
      </c>
      <c r="M70" s="19">
        <f t="shared" si="26"/>
        <v>1227.8087661904981</v>
      </c>
      <c r="N70" s="183">
        <f t="shared" si="26"/>
        <v>1225.9407414690043</v>
      </c>
      <c r="O70" s="19">
        <f t="shared" si="26"/>
        <v>1226.7472394921463</v>
      </c>
      <c r="P70" s="19">
        <f t="shared" si="26"/>
        <v>1222.1217472074654</v>
      </c>
      <c r="Q70" s="19">
        <f t="shared" si="26"/>
        <v>1225.7406245012901</v>
      </c>
      <c r="R70" s="19">
        <f t="shared" si="26"/>
        <v>1224.7352120599235</v>
      </c>
      <c r="S70" s="19">
        <f t="shared" si="26"/>
        <v>1224.9033805929471</v>
      </c>
      <c r="T70" s="19">
        <f t="shared" si="26"/>
        <v>1220.4060851229972</v>
      </c>
      <c r="U70" s="19">
        <f t="shared" si="26"/>
        <v>1225.4515913202088</v>
      </c>
      <c r="V70" s="19">
        <f t="shared" si="26"/>
        <v>1232.4437540445954</v>
      </c>
      <c r="W70" s="19">
        <f t="shared" si="26"/>
        <v>1227.0663911920042</v>
      </c>
      <c r="X70" s="183">
        <f t="shared" si="26"/>
        <v>1229.8502794683291</v>
      </c>
      <c r="Y70" s="19">
        <f t="shared" si="26"/>
        <v>1232.9320870047575</v>
      </c>
      <c r="Z70" s="19">
        <f t="shared" si="26"/>
        <v>1234.0525700894991</v>
      </c>
      <c r="AA70" s="19">
        <f t="shared" si="26"/>
        <v>1238.9082861746833</v>
      </c>
      <c r="AB70" s="19">
        <f t="shared" si="26"/>
        <v>1240.9103916140275</v>
      </c>
      <c r="AC70" s="19">
        <f t="shared" si="26"/>
        <v>1238.9011398996554</v>
      </c>
      <c r="AD70" s="19">
        <f t="shared" si="26"/>
        <v>1243.7711320259843</v>
      </c>
      <c r="AE70" s="19">
        <f t="shared" si="26"/>
        <v>1244.4298081548045</v>
      </c>
      <c r="AF70" s="19">
        <f t="shared" si="26"/>
        <v>1243.7574879671588</v>
      </c>
      <c r="AG70" s="19">
        <f t="shared" si="26"/>
        <v>1241.8628778887839</v>
      </c>
      <c r="AH70" s="19">
        <f t="shared" si="26"/>
        <v>1237.567247331559</v>
      </c>
    </row>
    <row r="71" spans="1:34" s="20" customFormat="1" ht="15">
      <c r="A71" s="27" t="s">
        <v>142</v>
      </c>
      <c r="B71" s="39"/>
      <c r="C71" s="334">
        <f>C53*Inputs!$H$60</f>
        <v>893.77200000000005</v>
      </c>
      <c r="D71" s="334">
        <f>D53*Inputs!$H$60</f>
        <v>822.29399999999998</v>
      </c>
      <c r="E71" s="334">
        <f>E53*Inputs!$H$60</f>
        <v>393.97596427840944</v>
      </c>
      <c r="F71" s="334">
        <f>F53*Inputs!$H$60</f>
        <v>204.46272684696243</v>
      </c>
      <c r="G71" s="334">
        <f>G53*Inputs!$H$60</f>
        <v>222.23417473898576</v>
      </c>
      <c r="H71" s="19">
        <f>H53*Inputs!$H$60</f>
        <v>221.08420055055205</v>
      </c>
      <c r="I71" s="19">
        <f>I53*Inputs!$H$60</f>
        <v>223.25170644097892</v>
      </c>
      <c r="J71" s="19">
        <f>J53*Inputs!$H$60</f>
        <v>30.277110881524791</v>
      </c>
      <c r="K71" s="19">
        <f>K53*Inputs!$H$60</f>
        <v>115.35618045091553</v>
      </c>
      <c r="L71" s="19">
        <f>L53*Inputs!$H$60</f>
        <v>219.25783616594825</v>
      </c>
      <c r="M71" s="19">
        <f>M53*Inputs!$H$60</f>
        <v>262.33280033305135</v>
      </c>
      <c r="N71" s="191">
        <f>N53*Inputs!$H$60</f>
        <v>271.20463823863446</v>
      </c>
      <c r="O71" s="19">
        <f>O53*Inputs!$H$60</f>
        <v>277.64385190207884</v>
      </c>
      <c r="P71" s="19">
        <f>P53*Inputs!$H$60</f>
        <v>282.0321907457548</v>
      </c>
      <c r="Q71" s="19">
        <f>Q53*Inputs!$H$60</f>
        <v>285.32399915323481</v>
      </c>
      <c r="R71" s="19">
        <f>R53*Inputs!$H$60</f>
        <v>286.87742699529713</v>
      </c>
      <c r="S71" s="19">
        <f>S53*Inputs!$H$60</f>
        <v>288.41481004274652</v>
      </c>
      <c r="T71" s="19">
        <f>T53*Inputs!$H$60</f>
        <v>288.53307476522019</v>
      </c>
      <c r="U71" s="19">
        <f>U53*Inputs!$H$60</f>
        <v>446.66275227864026</v>
      </c>
      <c r="V71" s="19">
        <f>V53*Inputs!$H$60</f>
        <v>488.56358754832883</v>
      </c>
      <c r="W71" s="19">
        <f>W53*Inputs!$H$60</f>
        <v>495.88824049557178</v>
      </c>
      <c r="X71" s="183">
        <f>X53*Inputs!$H$60</f>
        <v>498.74683944850489</v>
      </c>
      <c r="Y71" s="19">
        <f>Y53*Inputs!$H$60</f>
        <v>496.07774410612654</v>
      </c>
      <c r="Z71" s="19">
        <f>Z53*Inputs!$H$60</f>
        <v>440.15492523896063</v>
      </c>
      <c r="AA71" s="19">
        <f>AA53*Inputs!$H$60</f>
        <v>432.54158267810186</v>
      </c>
      <c r="AB71" s="19">
        <f>AB53*Inputs!$H$60</f>
        <v>416.06812949790412</v>
      </c>
      <c r="AC71" s="19">
        <f>AC53*Inputs!$H$60</f>
        <v>406.12543282750551</v>
      </c>
      <c r="AD71" s="19">
        <f>AD53*Inputs!$H$60</f>
        <v>462.1445204623484</v>
      </c>
      <c r="AE71" s="19">
        <f>AE53*Inputs!$H$60</f>
        <v>454.78725282351064</v>
      </c>
      <c r="AF71" s="19">
        <f>AF53*Inputs!$H$60</f>
        <v>464.4066614686372</v>
      </c>
      <c r="AG71" s="19">
        <f>AG53*Inputs!$H$60</f>
        <v>464.59033060842364</v>
      </c>
      <c r="AH71" s="19">
        <f>AH53*Inputs!$H$60</f>
        <v>464.43484196244816</v>
      </c>
    </row>
    <row r="72" spans="1:34" s="20" customFormat="1" ht="15">
      <c r="A72" s="27" t="s">
        <v>222</v>
      </c>
      <c r="B72" s="39"/>
      <c r="C72" s="334">
        <f>C54*Inputs!$H$61</f>
        <v>2077.8119999999999</v>
      </c>
      <c r="D72" s="334">
        <f>D54*Inputs!$H$61</f>
        <v>2532.6179999999999</v>
      </c>
      <c r="E72" s="334">
        <f>E54*Inputs!$H$61</f>
        <v>2581.5715800267822</v>
      </c>
      <c r="F72" s="334">
        <f>F54*Inputs!$H$61</f>
        <v>2539.331867077447</v>
      </c>
      <c r="G72" s="334">
        <f>G54*Inputs!$H$61</f>
        <v>2471.4894068784879</v>
      </c>
      <c r="H72" s="19">
        <f>H54*Inputs!$H$61</f>
        <v>2568.0249186718625</v>
      </c>
      <c r="I72" s="19">
        <f>I54*Inputs!$H$61</f>
        <v>2625.3905394911358</v>
      </c>
      <c r="J72" s="19">
        <f>J54*Inputs!$H$61</f>
        <v>2694.0367931403798</v>
      </c>
      <c r="K72" s="19">
        <f>K54*Inputs!$H$61</f>
        <v>2766.6155758651139</v>
      </c>
      <c r="L72" s="19">
        <f>L54*Inputs!$H$61</f>
        <v>2778.9440729809635</v>
      </c>
      <c r="M72" s="19">
        <f>M54*Inputs!$H$61</f>
        <v>2765.2416253854517</v>
      </c>
      <c r="N72" s="191">
        <f>N54*Inputs!$H$61</f>
        <v>2707.0160456245226</v>
      </c>
      <c r="O72" s="19">
        <f>O54*Inputs!$H$61</f>
        <v>2671.7928109787076</v>
      </c>
      <c r="P72" s="19">
        <f>P54*Inputs!$H$61</f>
        <v>2594.766734720874</v>
      </c>
      <c r="Q72" s="19">
        <f>Q54*Inputs!$H$61</f>
        <v>2537.2004553838819</v>
      </c>
      <c r="R72" s="19">
        <f>R54*Inputs!$H$61</f>
        <v>2514.617934434772</v>
      </c>
      <c r="S72" s="19">
        <f>S54*Inputs!$H$61</f>
        <v>2505.2672389210616</v>
      </c>
      <c r="T72" s="19">
        <f>T54*Inputs!$H$61</f>
        <v>2428.503225349647</v>
      </c>
      <c r="U72" s="19">
        <f>U54*Inputs!$H$61</f>
        <v>2315.4730938840025</v>
      </c>
      <c r="V72" s="19">
        <f>V54*Inputs!$H$61</f>
        <v>2316.1071885407887</v>
      </c>
      <c r="W72" s="19">
        <f>W54*Inputs!$H$61</f>
        <v>2232.9640547609752</v>
      </c>
      <c r="X72" s="183">
        <f>X54*Inputs!$H$61</f>
        <v>2269.8801551038923</v>
      </c>
      <c r="Y72" s="19">
        <f>Y54*Inputs!$H$61</f>
        <v>2303.2799435791644</v>
      </c>
      <c r="Z72" s="19">
        <f>Z54*Inputs!$H$61</f>
        <v>2376.2192933001074</v>
      </c>
      <c r="AA72" s="19">
        <f>AA54*Inputs!$H$61</f>
        <v>2445.4755093384388</v>
      </c>
      <c r="AB72" s="19">
        <f>AB54*Inputs!$H$61</f>
        <v>2487.547198153421</v>
      </c>
      <c r="AC72" s="19">
        <f>AC54*Inputs!$H$61</f>
        <v>2460.2161597247514</v>
      </c>
      <c r="AD72" s="19">
        <f>AD54*Inputs!$H$61</f>
        <v>2436.235899548105</v>
      </c>
      <c r="AE72" s="19">
        <f>AE54*Inputs!$H$61</f>
        <v>2419.3135547538577</v>
      </c>
      <c r="AF72" s="19">
        <f>AF54*Inputs!$H$61</f>
        <v>2397.1094208918739</v>
      </c>
      <c r="AG72" s="19">
        <f>AG54*Inputs!$H$61</f>
        <v>2365.3188510363425</v>
      </c>
      <c r="AH72" s="19">
        <f>AH54*Inputs!$H$61</f>
        <v>2286.5300886769946</v>
      </c>
    </row>
    <row r="73" spans="1:34" ht="15">
      <c r="A73" s="27" t="s">
        <v>58</v>
      </c>
      <c r="C73" s="331">
        <f>SUM(C70:C72)</f>
        <v>3985.30908</v>
      </c>
      <c r="D73" s="331">
        <f t="shared" ref="D73:AH73" si="27">SUM(D70:D72)</f>
        <v>4434.7325142704485</v>
      </c>
      <c r="E73" s="331">
        <f t="shared" si="27"/>
        <v>4012.6678702744189</v>
      </c>
      <c r="F73" s="331">
        <f t="shared" si="27"/>
        <v>3796.6213512287459</v>
      </c>
      <c r="G73" s="331">
        <f t="shared" si="27"/>
        <v>3765.3042785071975</v>
      </c>
      <c r="H73" s="14">
        <f t="shared" si="27"/>
        <v>3899.2384281412114</v>
      </c>
      <c r="I73" s="14">
        <f t="shared" si="27"/>
        <v>3938.947382068669</v>
      </c>
      <c r="J73" s="14">
        <f t="shared" si="27"/>
        <v>3886.2908070538087</v>
      </c>
      <c r="K73" s="14">
        <f t="shared" si="27"/>
        <v>4095.6022667969692</v>
      </c>
      <c r="L73" s="14">
        <f t="shared" si="27"/>
        <v>4221.5873136448608</v>
      </c>
      <c r="M73" s="14">
        <f t="shared" si="27"/>
        <v>4255.3831919090007</v>
      </c>
      <c r="N73" s="191">
        <f t="shared" si="27"/>
        <v>4204.1614253321613</v>
      </c>
      <c r="O73" s="14">
        <f t="shared" si="27"/>
        <v>4176.1839023729326</v>
      </c>
      <c r="P73" s="14">
        <f t="shared" si="27"/>
        <v>4098.920672674094</v>
      </c>
      <c r="Q73" s="14">
        <f t="shared" si="27"/>
        <v>4048.2650790384068</v>
      </c>
      <c r="R73" s="14">
        <f t="shared" si="27"/>
        <v>4026.2305734899928</v>
      </c>
      <c r="S73" s="14">
        <f t="shared" si="27"/>
        <v>4018.5854295567551</v>
      </c>
      <c r="T73" s="14">
        <f t="shared" si="27"/>
        <v>3937.4423852378641</v>
      </c>
      <c r="U73" s="14">
        <f t="shared" si="27"/>
        <v>3987.5874374828518</v>
      </c>
      <c r="V73" s="14">
        <f t="shared" si="27"/>
        <v>4037.1145301337128</v>
      </c>
      <c r="W73" s="14">
        <f t="shared" si="27"/>
        <v>3955.9186864485509</v>
      </c>
      <c r="X73" s="188">
        <f t="shared" si="27"/>
        <v>3998.4772740207263</v>
      </c>
      <c r="Y73" s="14">
        <f t="shared" si="27"/>
        <v>4032.2897746900485</v>
      </c>
      <c r="Z73" s="14">
        <f t="shared" si="27"/>
        <v>4050.426788628567</v>
      </c>
      <c r="AA73" s="14">
        <f t="shared" si="27"/>
        <v>4116.9253781912239</v>
      </c>
      <c r="AB73" s="14">
        <f t="shared" si="27"/>
        <v>4144.5257192653526</v>
      </c>
      <c r="AC73" s="14">
        <f t="shared" si="27"/>
        <v>4105.2427324519122</v>
      </c>
      <c r="AD73" s="14">
        <f t="shared" si="27"/>
        <v>4142.1515520364374</v>
      </c>
      <c r="AE73" s="14">
        <f t="shared" si="27"/>
        <v>4118.5306157321729</v>
      </c>
      <c r="AF73" s="14">
        <f t="shared" si="27"/>
        <v>4105.2735703276703</v>
      </c>
      <c r="AG73" s="14">
        <f t="shared" si="27"/>
        <v>4071.77205953355</v>
      </c>
      <c r="AH73" s="14">
        <f t="shared" si="27"/>
        <v>3988.5321779710021</v>
      </c>
    </row>
    <row r="75" spans="1:34">
      <c r="B75" s="89"/>
      <c r="H75" s="89"/>
      <c r="I75" s="89"/>
      <c r="J75" s="89"/>
      <c r="K75" s="89"/>
      <c r="L75" s="89"/>
      <c r="M75" s="89"/>
      <c r="N75" s="191"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5">
        <f>'backup - EIA liq_fuelS_aeo2014'!E46</f>
        <v>273.77869168296451</v>
      </c>
      <c r="D78" s="335">
        <f>'backup - EIA liq_fuelS_aeo2014'!F46</f>
        <v>330.59007454663532</v>
      </c>
      <c r="E78" s="335">
        <f>'backup - EIA liq_fuelS_aeo2014'!G46</f>
        <v>346.41273999999999</v>
      </c>
      <c r="F78" s="335">
        <f>'backup - EIA liq_fuelS_aeo2014'!H46</f>
        <v>332.23648773503913</v>
      </c>
      <c r="G78" s="335">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0">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1">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0" t="e">
        <f>C78*Inputs!$C58</f>
        <v>#REF!</v>
      </c>
      <c r="D83" s="330" t="e">
        <f>D78*Inputs!$C58</f>
        <v>#REF!</v>
      </c>
      <c r="E83" s="330" t="e">
        <f>E78*Inputs!$C58</f>
        <v>#REF!</v>
      </c>
      <c r="F83" s="330" t="e">
        <f>F78*Inputs!$C58</f>
        <v>#REF!</v>
      </c>
      <c r="G83" s="330" t="e">
        <f>G78*Inputs!$C58</f>
        <v>#REF!</v>
      </c>
      <c r="H83" s="50" t="e">
        <f>H78*Inputs!$C58</f>
        <v>#REF!</v>
      </c>
      <c r="I83" s="50" t="e">
        <f>I78*Inputs!$C58</f>
        <v>#REF!</v>
      </c>
      <c r="J83" s="50" t="e">
        <f>J78*Inputs!$C58</f>
        <v>#REF!</v>
      </c>
      <c r="K83" s="50" t="e">
        <f>K78*Inputs!$C58</f>
        <v>#REF!</v>
      </c>
      <c r="L83" s="50" t="e">
        <f>L78*Inputs!$C58</f>
        <v>#REF!</v>
      </c>
      <c r="M83" s="50" t="e">
        <f>M78*Inputs!$C58</f>
        <v>#REF!</v>
      </c>
      <c r="N83" s="388"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5"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7" customWidth="1"/>
    <col min="6" max="6" width="9" style="417" customWidth="1"/>
    <col min="7" max="7" width="9.6640625" style="81" customWidth="1"/>
    <col min="8" max="8" width="10.83203125" style="417" customWidth="1"/>
    <col min="9" max="9" width="5.6640625" style="417" bestFit="1" customWidth="1"/>
    <col min="10" max="10" width="9.33203125" style="417" customWidth="1"/>
    <col min="11" max="11" width="6.5" style="417" customWidth="1"/>
    <col min="12" max="12" width="9.6640625" style="417" customWidth="1"/>
    <col min="13" max="13" width="5.6640625" style="417"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35"/>
      <c r="B1" s="535"/>
      <c r="C1" s="535"/>
      <c r="D1" s="535"/>
      <c r="E1" s="535"/>
      <c r="F1" s="535"/>
      <c r="G1" s="535"/>
      <c r="H1" s="535"/>
      <c r="I1" s="535"/>
      <c r="J1" s="535"/>
      <c r="K1" s="535"/>
      <c r="L1" s="535"/>
      <c r="M1" s="535"/>
      <c r="N1" s="535"/>
      <c r="O1" s="535"/>
      <c r="P1" s="535"/>
    </row>
    <row r="2" spans="1:16">
      <c r="A2" s="535"/>
      <c r="B2" s="535"/>
      <c r="C2" s="535"/>
      <c r="D2" s="535"/>
      <c r="E2" s="535"/>
      <c r="F2" s="535"/>
      <c r="G2" s="535"/>
      <c r="H2" s="535"/>
      <c r="I2" s="535"/>
      <c r="J2" s="535"/>
      <c r="K2" s="535"/>
      <c r="L2" s="535"/>
      <c r="M2" s="535"/>
      <c r="N2" s="535"/>
      <c r="O2" s="535"/>
      <c r="P2" s="535"/>
    </row>
    <row r="3" spans="1:16">
      <c r="A3" s="535"/>
      <c r="B3" s="535"/>
      <c r="C3" s="535"/>
      <c r="D3" s="535"/>
      <c r="E3" s="535"/>
      <c r="F3" s="535"/>
      <c r="G3" s="535"/>
      <c r="H3" s="535"/>
      <c r="I3" s="535"/>
      <c r="J3" s="535"/>
      <c r="K3" s="535"/>
      <c r="L3" s="535"/>
      <c r="M3" s="535"/>
      <c r="N3" s="535"/>
      <c r="O3" s="535"/>
      <c r="P3" s="535"/>
    </row>
    <row r="4" spans="1:16">
      <c r="A4" s="535"/>
      <c r="B4" s="535"/>
      <c r="C4" s="535"/>
      <c r="D4" s="535"/>
      <c r="E4" s="535"/>
      <c r="F4" s="535"/>
      <c r="G4" s="535"/>
      <c r="H4" s="535"/>
      <c r="I4" s="535"/>
      <c r="J4" s="535"/>
      <c r="K4" s="535"/>
      <c r="L4" s="535"/>
      <c r="M4" s="535"/>
      <c r="N4" s="535"/>
      <c r="O4" s="535"/>
      <c r="P4" s="535"/>
    </row>
    <row r="5" spans="1:16">
      <c r="A5" s="535"/>
      <c r="B5" s="535"/>
      <c r="C5" s="535"/>
      <c r="D5" s="535"/>
      <c r="E5" s="535"/>
      <c r="F5" s="535"/>
      <c r="G5" s="535"/>
      <c r="H5" s="535"/>
      <c r="I5" s="535"/>
      <c r="J5" s="535"/>
      <c r="K5" s="535"/>
      <c r="L5" s="535"/>
      <c r="M5" s="535"/>
      <c r="N5" s="535"/>
      <c r="O5" s="535"/>
      <c r="P5" s="535"/>
    </row>
    <row r="6" spans="1:16">
      <c r="A6" s="535"/>
      <c r="B6" s="535"/>
      <c r="C6" s="535"/>
      <c r="D6" s="535"/>
      <c r="E6" s="535"/>
      <c r="F6" s="535"/>
      <c r="G6" s="535"/>
      <c r="H6" s="535"/>
      <c r="I6" s="535"/>
      <c r="J6" s="535"/>
      <c r="K6" s="535"/>
      <c r="L6" s="535"/>
      <c r="M6" s="535"/>
      <c r="N6" s="535"/>
      <c r="O6" s="535"/>
      <c r="P6" s="535"/>
    </row>
    <row r="7" spans="1:16">
      <c r="A7" s="535"/>
      <c r="B7" s="535"/>
      <c r="C7" s="535"/>
      <c r="D7" s="535"/>
      <c r="E7" s="535"/>
      <c r="F7" s="535"/>
      <c r="G7" s="535"/>
      <c r="H7" s="535"/>
      <c r="I7" s="535"/>
      <c r="J7" s="535"/>
      <c r="K7" s="535"/>
      <c r="L7" s="535"/>
      <c r="M7" s="535"/>
      <c r="N7" s="535"/>
      <c r="O7" s="535"/>
      <c r="P7" s="535"/>
    </row>
    <row r="8" spans="1:16">
      <c r="A8" s="535"/>
      <c r="B8" s="535"/>
      <c r="C8" s="535"/>
      <c r="D8" s="535"/>
      <c r="E8" s="535"/>
      <c r="F8" s="535"/>
      <c r="G8" s="535"/>
      <c r="H8" s="535"/>
      <c r="I8" s="535"/>
      <c r="J8" s="535"/>
      <c r="K8" s="535"/>
      <c r="L8" s="535"/>
      <c r="M8" s="535"/>
      <c r="N8" s="535"/>
      <c r="O8" s="535"/>
      <c r="P8" s="535"/>
    </row>
    <row r="9" spans="1:16" ht="2.25" customHeight="1">
      <c r="A9" s="535"/>
      <c r="B9" s="535"/>
      <c r="C9" s="535"/>
      <c r="D9" s="535"/>
      <c r="E9" s="535"/>
      <c r="F9" s="535"/>
      <c r="G9" s="535"/>
      <c r="H9" s="535"/>
      <c r="I9" s="535"/>
      <c r="J9" s="535"/>
      <c r="K9" s="535"/>
      <c r="L9" s="535"/>
      <c r="M9" s="535"/>
      <c r="N9" s="535"/>
      <c r="O9" s="535"/>
      <c r="P9" s="535"/>
    </row>
    <row r="10" spans="1:16" hidden="1">
      <c r="A10" s="535"/>
      <c r="B10" s="535"/>
      <c r="C10" s="535"/>
      <c r="D10" s="535"/>
      <c r="E10" s="535"/>
      <c r="F10" s="535"/>
      <c r="G10" s="535"/>
      <c r="H10" s="535"/>
      <c r="I10" s="535"/>
      <c r="J10" s="535"/>
      <c r="K10" s="535"/>
      <c r="L10" s="535"/>
      <c r="M10" s="535"/>
      <c r="N10" s="535"/>
      <c r="O10" s="535"/>
      <c r="P10" s="535"/>
    </row>
    <row r="11" spans="1:16">
      <c r="A11" s="536" t="s">
        <v>212</v>
      </c>
      <c r="B11" s="538">
        <v>2000</v>
      </c>
      <c r="C11" s="540" t="s">
        <v>219</v>
      </c>
      <c r="D11" s="540" t="s">
        <v>555</v>
      </c>
      <c r="E11" s="543" t="s">
        <v>213</v>
      </c>
      <c r="F11" s="544"/>
      <c r="G11" s="538"/>
      <c r="H11" s="547" t="s">
        <v>556</v>
      </c>
      <c r="I11" s="548"/>
      <c r="J11" s="548"/>
      <c r="K11" s="548"/>
      <c r="L11" s="548"/>
      <c r="M11" s="548"/>
      <c r="N11" s="548"/>
      <c r="O11" s="549"/>
    </row>
    <row r="12" spans="1:16">
      <c r="A12" s="537"/>
      <c r="B12" s="539"/>
      <c r="C12" s="541"/>
      <c r="D12" s="541"/>
      <c r="E12" s="545"/>
      <c r="F12" s="546"/>
      <c r="G12" s="539"/>
      <c r="H12" s="546" t="s">
        <v>214</v>
      </c>
      <c r="I12" s="539"/>
      <c r="J12" s="545" t="s">
        <v>215</v>
      </c>
      <c r="K12" s="539"/>
      <c r="L12" s="545" t="s">
        <v>216</v>
      </c>
      <c r="M12" s="546"/>
      <c r="N12" s="546"/>
      <c r="O12" s="539"/>
    </row>
    <row r="13" spans="1:16" ht="67" thickBot="1">
      <c r="A13" s="211" t="s">
        <v>217</v>
      </c>
      <c r="B13" s="211" t="s">
        <v>218</v>
      </c>
      <c r="C13" s="542"/>
      <c r="D13" s="542"/>
      <c r="E13" s="411" t="s">
        <v>557</v>
      </c>
      <c r="F13" s="435" t="s">
        <v>558</v>
      </c>
      <c r="G13" s="212" t="s">
        <v>308</v>
      </c>
      <c r="H13" s="423" t="s">
        <v>359</v>
      </c>
      <c r="I13" s="435" t="s">
        <v>559</v>
      </c>
      <c r="J13" s="411" t="s">
        <v>359</v>
      </c>
      <c r="K13" s="435" t="s">
        <v>559</v>
      </c>
      <c r="L13" s="411" t="s">
        <v>359</v>
      </c>
      <c r="M13" s="435" t="s">
        <v>559</v>
      </c>
      <c r="N13" s="212" t="s">
        <v>58</v>
      </c>
      <c r="O13" s="212" t="s">
        <v>560</v>
      </c>
    </row>
    <row r="14" spans="1:16" ht="13" thickTop="1">
      <c r="A14" s="443" t="s">
        <v>561</v>
      </c>
      <c r="B14" s="443" t="s">
        <v>562</v>
      </c>
      <c r="C14" s="444">
        <v>0.85</v>
      </c>
      <c r="D14" s="445">
        <v>40</v>
      </c>
      <c r="E14" s="433">
        <v>4.29</v>
      </c>
      <c r="F14" s="446">
        <v>1.53</v>
      </c>
      <c r="G14" s="434">
        <v>0</v>
      </c>
      <c r="H14" s="447">
        <f t="shared" ref="H14:H32" si="0">E14/D14</f>
        <v>0.10725</v>
      </c>
      <c r="I14" s="434">
        <f t="shared" ref="I14:I32" si="1">F14+G14*8760/1000*C14</f>
        <v>1.53</v>
      </c>
      <c r="J14" s="448">
        <f t="shared" ref="J14:J32" si="2">H14/C14</f>
        <v>0.12617647058823531</v>
      </c>
      <c r="K14" s="434">
        <f t="shared" ref="K14:K32" si="3">I14/C14</f>
        <v>1.8</v>
      </c>
      <c r="L14" s="448">
        <f t="shared" ref="L14:M31" si="4">J14/8760*1000</f>
        <v>1.4403706688154716E-2</v>
      </c>
      <c r="M14" s="434">
        <f t="shared" si="4"/>
        <v>0.20547945205479454</v>
      </c>
      <c r="N14" s="449">
        <f t="shared" ref="N14:N32" si="5">SUM(L14:M14)</f>
        <v>0.21988315874294925</v>
      </c>
      <c r="O14" s="558">
        <f>AVERAGE(N14:N15)</f>
        <v>0.20532702121944668</v>
      </c>
    </row>
    <row r="15" spans="1:16" ht="13" thickBot="1">
      <c r="A15" s="223" t="s">
        <v>563</v>
      </c>
      <c r="B15" s="223" t="s">
        <v>564</v>
      </c>
      <c r="C15" s="224">
        <v>0.85</v>
      </c>
      <c r="D15" s="225">
        <v>40</v>
      </c>
      <c r="E15" s="226">
        <v>8.5</v>
      </c>
      <c r="F15" s="432">
        <v>0.24</v>
      </c>
      <c r="G15" s="529">
        <v>0.13</v>
      </c>
      <c r="H15" s="414">
        <f t="shared" si="0"/>
        <v>0.21249999999999999</v>
      </c>
      <c r="I15" s="529">
        <f t="shared" si="1"/>
        <v>1.2079800000000001</v>
      </c>
      <c r="J15" s="427">
        <f t="shared" si="2"/>
        <v>0.25</v>
      </c>
      <c r="K15" s="529">
        <f t="shared" si="3"/>
        <v>1.4211529411764707</v>
      </c>
      <c r="L15" s="427">
        <f t="shared" si="4"/>
        <v>2.8538812785388126E-2</v>
      </c>
      <c r="M15" s="529">
        <f t="shared" si="4"/>
        <v>0.16223207091055603</v>
      </c>
      <c r="N15" s="419">
        <f t="shared" si="5"/>
        <v>0.19077088369594414</v>
      </c>
      <c r="O15" s="559"/>
    </row>
    <row r="16" spans="1:16">
      <c r="A16" s="227" t="s">
        <v>565</v>
      </c>
      <c r="B16" s="227" t="s">
        <v>566</v>
      </c>
      <c r="C16" s="228">
        <v>0.9</v>
      </c>
      <c r="D16" s="229">
        <v>40</v>
      </c>
      <c r="E16" s="230">
        <f>36000/5600</f>
        <v>6.4285714285714288</v>
      </c>
      <c r="F16" s="464">
        <f>10000/5600</f>
        <v>1.7857142857142858</v>
      </c>
      <c r="G16" s="230">
        <v>0</v>
      </c>
      <c r="H16" s="412">
        <f t="shared" si="0"/>
        <v>0.16071428571428573</v>
      </c>
      <c r="I16" s="530">
        <f t="shared" si="1"/>
        <v>1.7857142857142858</v>
      </c>
      <c r="J16" s="428">
        <f t="shared" si="2"/>
        <v>0.17857142857142858</v>
      </c>
      <c r="K16" s="530">
        <f t="shared" si="3"/>
        <v>1.9841269841269842</v>
      </c>
      <c r="L16" s="428">
        <f t="shared" si="4"/>
        <v>2.0384866275277233E-2</v>
      </c>
      <c r="M16" s="530">
        <f t="shared" si="4"/>
        <v>0.22649851416974706</v>
      </c>
      <c r="N16" s="421">
        <f t="shared" si="5"/>
        <v>0.24688338044502428</v>
      </c>
      <c r="O16" s="560">
        <f>AVERAGE(N16:N18)</f>
        <v>0.24750247638375492</v>
      </c>
    </row>
    <row r="17" spans="1:15">
      <c r="A17" s="217" t="s">
        <v>567</v>
      </c>
      <c r="B17" s="217" t="s">
        <v>312</v>
      </c>
      <c r="C17" s="218">
        <v>0.9</v>
      </c>
      <c r="D17" s="219">
        <v>40</v>
      </c>
      <c r="E17" s="216">
        <v>17.5</v>
      </c>
      <c r="F17" s="528">
        <v>1.7</v>
      </c>
      <c r="G17" s="216">
        <v>0</v>
      </c>
      <c r="H17" s="527">
        <f>E17/D17</f>
        <v>0.4375</v>
      </c>
      <c r="I17" s="531">
        <f>F17+G17*8760/1000*C17</f>
        <v>1.7</v>
      </c>
      <c r="J17" s="429">
        <f>H17/C17</f>
        <v>0.4861111111111111</v>
      </c>
      <c r="K17" s="531">
        <f>I17/C17</f>
        <v>1.8888888888888888</v>
      </c>
      <c r="L17" s="429">
        <f t="shared" si="4"/>
        <v>5.5492135971588023E-2</v>
      </c>
      <c r="M17" s="531">
        <f t="shared" si="4"/>
        <v>0.21562658548959918</v>
      </c>
      <c r="N17" s="420">
        <f>SUM(L17:M17)</f>
        <v>0.27111872146118721</v>
      </c>
      <c r="O17" s="561"/>
    </row>
    <row r="18" spans="1:15" ht="13" thickBot="1">
      <c r="A18" s="451" t="s">
        <v>568</v>
      </c>
      <c r="B18" s="451" t="s">
        <v>562</v>
      </c>
      <c r="C18" s="452">
        <v>0.9</v>
      </c>
      <c r="D18" s="453">
        <v>40</v>
      </c>
      <c r="E18" s="438">
        <v>4</v>
      </c>
      <c r="F18" s="450">
        <v>1.67</v>
      </c>
      <c r="G18" s="438">
        <v>0</v>
      </c>
      <c r="H18" s="454">
        <f>E18/D18</f>
        <v>0.1</v>
      </c>
      <c r="I18" s="439">
        <f>F18+G18*8760/1000*C18</f>
        <v>1.67</v>
      </c>
      <c r="J18" s="441">
        <f>H18/C18</f>
        <v>0.11111111111111112</v>
      </c>
      <c r="K18" s="439">
        <f>I18/C18</f>
        <v>1.8555555555555554</v>
      </c>
      <c r="L18" s="441">
        <f t="shared" si="4"/>
        <v>1.2683916793505836E-2</v>
      </c>
      <c r="M18" s="439">
        <f t="shared" si="4"/>
        <v>0.21182141045154743</v>
      </c>
      <c r="N18" s="442">
        <f>SUM(L18:M18)</f>
        <v>0.22450532724505326</v>
      </c>
      <c r="O18" s="559"/>
    </row>
    <row r="19" spans="1:15">
      <c r="A19" s="227" t="s">
        <v>569</v>
      </c>
      <c r="B19" s="227" t="s">
        <v>312</v>
      </c>
      <c r="C19" s="228">
        <v>0.85</v>
      </c>
      <c r="D19" s="229">
        <v>40</v>
      </c>
      <c r="E19" s="230">
        <v>21.3</v>
      </c>
      <c r="F19" s="464">
        <v>7.8</v>
      </c>
      <c r="G19" s="230">
        <v>0</v>
      </c>
      <c r="H19" s="412">
        <f>E19/D19</f>
        <v>0.53249999999999997</v>
      </c>
      <c r="I19" s="530">
        <f>F19+G19*8760/1000*C19</f>
        <v>7.8</v>
      </c>
      <c r="J19" s="428">
        <f>H19/C19</f>
        <v>0.62647058823529411</v>
      </c>
      <c r="K19" s="530">
        <f>I19/C19</f>
        <v>9.1764705882352935</v>
      </c>
      <c r="L19" s="428">
        <f t="shared" si="4"/>
        <v>7.1514907332796127E-2</v>
      </c>
      <c r="M19" s="530">
        <f t="shared" si="4"/>
        <v>1.0475423045930701</v>
      </c>
      <c r="N19" s="421">
        <f>SUM(L19:M19)</f>
        <v>1.1190572119258662</v>
      </c>
      <c r="O19" s="560">
        <f>AVERAGE(N19:N20)</f>
        <v>0.71885911899006172</v>
      </c>
    </row>
    <row r="20" spans="1:15" ht="13" thickBot="1">
      <c r="A20" s="451" t="s">
        <v>570</v>
      </c>
      <c r="B20" s="451" t="s">
        <v>562</v>
      </c>
      <c r="C20" s="452">
        <v>0.85</v>
      </c>
      <c r="D20" s="453">
        <v>40</v>
      </c>
      <c r="E20" s="438">
        <v>3.71</v>
      </c>
      <c r="F20" s="450">
        <v>2.2799999999999998</v>
      </c>
      <c r="G20" s="438">
        <v>0</v>
      </c>
      <c r="H20" s="454">
        <f t="shared" si="0"/>
        <v>9.2749999999999999E-2</v>
      </c>
      <c r="I20" s="439">
        <f t="shared" si="1"/>
        <v>2.2799999999999998</v>
      </c>
      <c r="J20" s="441">
        <f t="shared" si="2"/>
        <v>0.10911764705882353</v>
      </c>
      <c r="K20" s="439">
        <f t="shared" si="3"/>
        <v>2.6823529411764704</v>
      </c>
      <c r="L20" s="441">
        <f t="shared" si="4"/>
        <v>1.2456352403975288E-2</v>
      </c>
      <c r="M20" s="439">
        <f t="shared" si="4"/>
        <v>0.30620467365028203</v>
      </c>
      <c r="N20" s="442">
        <f t="shared" si="5"/>
        <v>0.31866102605425733</v>
      </c>
      <c r="O20" s="559"/>
    </row>
    <row r="21" spans="1:15" ht="13" thickBot="1">
      <c r="A21" s="231" t="s">
        <v>571</v>
      </c>
      <c r="B21" s="231" t="s">
        <v>562</v>
      </c>
      <c r="C21" s="232">
        <v>0.55000000000000004</v>
      </c>
      <c r="D21" s="233">
        <v>40</v>
      </c>
      <c r="E21" s="234">
        <v>5.71</v>
      </c>
      <c r="F21" s="462">
        <v>1.1399999999999999</v>
      </c>
      <c r="G21" s="234">
        <v>0</v>
      </c>
      <c r="H21" s="413">
        <f t="shared" si="0"/>
        <v>0.14274999999999999</v>
      </c>
      <c r="I21" s="235">
        <f t="shared" si="1"/>
        <v>1.1399999999999999</v>
      </c>
      <c r="J21" s="430">
        <f t="shared" si="2"/>
        <v>0.25954545454545452</v>
      </c>
      <c r="K21" s="235">
        <f t="shared" si="3"/>
        <v>2.0727272727272723</v>
      </c>
      <c r="L21" s="430">
        <f t="shared" si="4"/>
        <v>2.9628476546284761E-2</v>
      </c>
      <c r="M21" s="235">
        <f t="shared" si="4"/>
        <v>0.236612702366127</v>
      </c>
      <c r="N21" s="422">
        <f t="shared" si="5"/>
        <v>0.26624117891241178</v>
      </c>
      <c r="O21" s="235">
        <f>N21</f>
        <v>0.26624117891241178</v>
      </c>
    </row>
    <row r="22" spans="1:15">
      <c r="A22" s="236" t="s">
        <v>309</v>
      </c>
      <c r="B22" s="236" t="s">
        <v>572</v>
      </c>
      <c r="C22" s="237">
        <v>0.2</v>
      </c>
      <c r="D22" s="238">
        <v>25</v>
      </c>
      <c r="E22" s="239">
        <v>37</v>
      </c>
      <c r="F22" s="468">
        <v>1</v>
      </c>
      <c r="G22" s="239">
        <v>0</v>
      </c>
      <c r="H22" s="424">
        <f>E22/D22</f>
        <v>1.48</v>
      </c>
      <c r="I22" s="532">
        <f>F22+G22*8760/1000*C22</f>
        <v>1</v>
      </c>
      <c r="J22" s="431">
        <f>H22/C22</f>
        <v>7.3999999999999995</v>
      </c>
      <c r="K22" s="532">
        <f>I22/C22</f>
        <v>5</v>
      </c>
      <c r="L22" s="431">
        <f>J22/8760*1000</f>
        <v>0.84474885844748848</v>
      </c>
      <c r="M22" s="532">
        <f>K22/8760*1000</f>
        <v>0.57077625570776247</v>
      </c>
      <c r="N22" s="426">
        <f>SUM(L22:M22)</f>
        <v>1.415525114155251</v>
      </c>
      <c r="O22" s="565">
        <f>N39</f>
        <v>0.79313246811604099</v>
      </c>
    </row>
    <row r="23" spans="1:15">
      <c r="A23" s="455" t="s">
        <v>310</v>
      </c>
      <c r="B23" s="455" t="s">
        <v>221</v>
      </c>
      <c r="C23" s="456">
        <v>0.2</v>
      </c>
      <c r="D23" s="457">
        <v>25</v>
      </c>
      <c r="E23" s="458">
        <v>32.340000000000003</v>
      </c>
      <c r="F23" s="467">
        <v>0.37</v>
      </c>
      <c r="G23" s="458">
        <v>0</v>
      </c>
      <c r="H23" s="459">
        <f t="shared" si="0"/>
        <v>1.2936000000000001</v>
      </c>
      <c r="I23" s="526">
        <f t="shared" si="1"/>
        <v>0.37</v>
      </c>
      <c r="J23" s="460">
        <f t="shared" si="2"/>
        <v>6.468</v>
      </c>
      <c r="K23" s="526">
        <f t="shared" si="3"/>
        <v>1.8499999999999999</v>
      </c>
      <c r="L23" s="460">
        <f t="shared" si="4"/>
        <v>0.73835616438356166</v>
      </c>
      <c r="M23" s="526">
        <f t="shared" si="4"/>
        <v>0.21118721461187212</v>
      </c>
      <c r="N23" s="461">
        <f t="shared" si="5"/>
        <v>0.94954337899543373</v>
      </c>
      <c r="O23" s="566"/>
    </row>
    <row r="24" spans="1:15" ht="13" thickBot="1">
      <c r="A24" s="451" t="s">
        <v>311</v>
      </c>
      <c r="B24" s="451" t="s">
        <v>562</v>
      </c>
      <c r="C24" s="452">
        <v>0.2</v>
      </c>
      <c r="D24" s="451">
        <v>25</v>
      </c>
      <c r="E24" s="438">
        <v>7.14</v>
      </c>
      <c r="F24" s="450">
        <v>0.12</v>
      </c>
      <c r="G24" s="465">
        <v>0</v>
      </c>
      <c r="H24" s="454">
        <f t="shared" si="0"/>
        <v>0.28559999999999997</v>
      </c>
      <c r="I24" s="438">
        <f t="shared" si="1"/>
        <v>0.12</v>
      </c>
      <c r="J24" s="450">
        <f t="shared" si="2"/>
        <v>1.4279999999999997</v>
      </c>
      <c r="K24" s="438">
        <f t="shared" si="3"/>
        <v>0.6</v>
      </c>
      <c r="L24" s="450">
        <f t="shared" si="4"/>
        <v>0.16301369863013696</v>
      </c>
      <c r="M24" s="438">
        <f t="shared" si="4"/>
        <v>6.8493150684931503E-2</v>
      </c>
      <c r="N24" s="466">
        <f t="shared" si="5"/>
        <v>0.23150684931506846</v>
      </c>
      <c r="O24" s="567"/>
    </row>
    <row r="25" spans="1:15">
      <c r="A25" s="227" t="s">
        <v>433</v>
      </c>
      <c r="B25" s="227" t="s">
        <v>437</v>
      </c>
      <c r="C25" s="240">
        <v>0.4</v>
      </c>
      <c r="D25" s="229">
        <v>25</v>
      </c>
      <c r="E25" s="230">
        <f>10310/1000</f>
        <v>10.31</v>
      </c>
      <c r="F25" s="464">
        <v>1</v>
      </c>
      <c r="G25" s="230">
        <v>0</v>
      </c>
      <c r="H25" s="424">
        <f t="shared" si="0"/>
        <v>0.41240000000000004</v>
      </c>
      <c r="I25" s="532">
        <f t="shared" si="1"/>
        <v>1</v>
      </c>
      <c r="J25" s="431">
        <f t="shared" si="2"/>
        <v>1.0310000000000001</v>
      </c>
      <c r="K25" s="532">
        <f t="shared" si="3"/>
        <v>2.5</v>
      </c>
      <c r="L25" s="431">
        <f t="shared" si="4"/>
        <v>0.11769406392694066</v>
      </c>
      <c r="M25" s="532">
        <f t="shared" si="4"/>
        <v>0.28538812785388123</v>
      </c>
      <c r="N25" s="426">
        <f t="shared" si="5"/>
        <v>0.40308219178082189</v>
      </c>
      <c r="O25" s="560">
        <f>AVERAGE(N25:N26,N27)</f>
        <v>0.23028919330289191</v>
      </c>
    </row>
    <row r="26" spans="1:15">
      <c r="A26" s="214" t="s">
        <v>434</v>
      </c>
      <c r="B26" s="214" t="s">
        <v>436</v>
      </c>
      <c r="C26" s="220">
        <v>0.4</v>
      </c>
      <c r="D26" s="215">
        <v>25</v>
      </c>
      <c r="E26" s="216">
        <v>4.5</v>
      </c>
      <c r="F26" s="528">
        <v>0.38</v>
      </c>
      <c r="G26" s="531">
        <v>0</v>
      </c>
      <c r="H26" s="415">
        <f t="shared" si="0"/>
        <v>0.18</v>
      </c>
      <c r="I26" s="531">
        <f t="shared" si="1"/>
        <v>0.38</v>
      </c>
      <c r="J26" s="429">
        <f t="shared" si="2"/>
        <v>0.44999999999999996</v>
      </c>
      <c r="K26" s="531">
        <f t="shared" si="3"/>
        <v>0.95</v>
      </c>
      <c r="L26" s="429">
        <f t="shared" si="4"/>
        <v>5.1369863013698627E-2</v>
      </c>
      <c r="M26" s="531">
        <f t="shared" si="4"/>
        <v>0.10844748858447488</v>
      </c>
      <c r="N26" s="420">
        <f t="shared" si="5"/>
        <v>0.15981735159817351</v>
      </c>
      <c r="O26" s="561"/>
    </row>
    <row r="27" spans="1:15" ht="13" thickBot="1">
      <c r="A27" s="436" t="s">
        <v>435</v>
      </c>
      <c r="B27" s="436" t="s">
        <v>562</v>
      </c>
      <c r="C27" s="463">
        <v>0.4</v>
      </c>
      <c r="D27" s="436">
        <v>25</v>
      </c>
      <c r="E27" s="439">
        <v>5.71</v>
      </c>
      <c r="F27" s="441">
        <v>0.22</v>
      </c>
      <c r="G27" s="465">
        <v>0</v>
      </c>
      <c r="H27" s="440">
        <f t="shared" si="0"/>
        <v>0.22839999999999999</v>
      </c>
      <c r="I27" s="439">
        <f t="shared" si="1"/>
        <v>0.22</v>
      </c>
      <c r="J27" s="441">
        <f t="shared" si="2"/>
        <v>0.57099999999999995</v>
      </c>
      <c r="K27" s="439">
        <f t="shared" si="3"/>
        <v>0.54999999999999993</v>
      </c>
      <c r="L27" s="441">
        <f t="shared" si="4"/>
        <v>6.5182648401826485E-2</v>
      </c>
      <c r="M27" s="439">
        <f t="shared" si="4"/>
        <v>6.2785388127853878E-2</v>
      </c>
      <c r="N27" s="442">
        <f t="shared" si="5"/>
        <v>0.12796803652968036</v>
      </c>
      <c r="O27" s="559"/>
    </row>
    <row r="28" spans="1:15">
      <c r="A28" s="241" t="s">
        <v>573</v>
      </c>
      <c r="B28" s="241" t="s">
        <v>361</v>
      </c>
      <c r="C28" s="240">
        <v>0.35</v>
      </c>
      <c r="D28" s="229">
        <v>25</v>
      </c>
      <c r="E28" s="230">
        <v>10.1</v>
      </c>
      <c r="F28" s="464">
        <v>0.4</v>
      </c>
      <c r="G28" s="530">
        <v>0</v>
      </c>
      <c r="H28" s="425">
        <f t="shared" si="0"/>
        <v>0.40399999999999997</v>
      </c>
      <c r="I28" s="530">
        <f t="shared" si="1"/>
        <v>0.4</v>
      </c>
      <c r="J28" s="428">
        <f t="shared" si="2"/>
        <v>1.1542857142857144</v>
      </c>
      <c r="K28" s="530">
        <f t="shared" si="3"/>
        <v>1.142857142857143</v>
      </c>
      <c r="L28" s="428">
        <f t="shared" si="4"/>
        <v>0.13176777560339206</v>
      </c>
      <c r="M28" s="530">
        <f t="shared" si="4"/>
        <v>0.13046314416177432</v>
      </c>
      <c r="N28" s="421">
        <f t="shared" si="5"/>
        <v>0.26223091976516638</v>
      </c>
      <c r="O28" s="560">
        <f>AVERAGE(N28,N29,N30:N32)</f>
        <v>0.16974559686888452</v>
      </c>
    </row>
    <row r="29" spans="1:15">
      <c r="A29" s="214" t="s">
        <v>220</v>
      </c>
      <c r="B29" s="214" t="s">
        <v>221</v>
      </c>
      <c r="C29" s="220">
        <v>0.35</v>
      </c>
      <c r="D29" s="219">
        <v>25</v>
      </c>
      <c r="E29" s="216">
        <v>3.8</v>
      </c>
      <c r="F29" s="528">
        <v>0.14399999999999999</v>
      </c>
      <c r="G29" s="531">
        <v>0</v>
      </c>
      <c r="H29" s="415">
        <f t="shared" si="0"/>
        <v>0.152</v>
      </c>
      <c r="I29" s="531">
        <f t="shared" si="1"/>
        <v>0.14399999999999999</v>
      </c>
      <c r="J29" s="429">
        <f t="shared" si="2"/>
        <v>0.43428571428571427</v>
      </c>
      <c r="K29" s="531">
        <f t="shared" si="3"/>
        <v>0.41142857142857142</v>
      </c>
      <c r="L29" s="429">
        <f t="shared" si="4"/>
        <v>4.9575994781474238E-2</v>
      </c>
      <c r="M29" s="531">
        <f t="shared" si="4"/>
        <v>4.6966731898238752E-2</v>
      </c>
      <c r="N29" s="420">
        <f t="shared" si="5"/>
        <v>9.654272667971299E-2</v>
      </c>
      <c r="O29" s="561"/>
    </row>
    <row r="30" spans="1:15">
      <c r="A30" s="214" t="s">
        <v>360</v>
      </c>
      <c r="B30" s="214" t="s">
        <v>574</v>
      </c>
      <c r="C30" s="220">
        <v>0.35</v>
      </c>
      <c r="D30" s="215">
        <v>25</v>
      </c>
      <c r="E30" s="531">
        <v>10.96</v>
      </c>
      <c r="F30" s="429">
        <v>0.17499999999999999</v>
      </c>
      <c r="G30" s="531">
        <v>0</v>
      </c>
      <c r="H30" s="415">
        <f t="shared" si="0"/>
        <v>0.43840000000000001</v>
      </c>
      <c r="I30" s="531">
        <f t="shared" si="1"/>
        <v>0.17499999999999999</v>
      </c>
      <c r="J30" s="429">
        <f t="shared" si="2"/>
        <v>1.2525714285714287</v>
      </c>
      <c r="K30" s="531">
        <f t="shared" si="3"/>
        <v>0.5</v>
      </c>
      <c r="L30" s="429">
        <f t="shared" si="4"/>
        <v>0.14298760600130464</v>
      </c>
      <c r="M30" s="531">
        <f t="shared" si="4"/>
        <v>5.7077625570776253E-2</v>
      </c>
      <c r="N30" s="420">
        <f t="shared" si="5"/>
        <v>0.20006523157208089</v>
      </c>
      <c r="O30" s="561"/>
    </row>
    <row r="31" spans="1:15">
      <c r="A31" s="214" t="s">
        <v>575</v>
      </c>
      <c r="B31" s="214" t="s">
        <v>312</v>
      </c>
      <c r="C31" s="220">
        <v>0.35</v>
      </c>
      <c r="D31" s="215">
        <v>25</v>
      </c>
      <c r="E31" s="531">
        <v>7.4</v>
      </c>
      <c r="F31" s="429">
        <v>0.2</v>
      </c>
      <c r="G31" s="531">
        <v>0</v>
      </c>
      <c r="H31" s="415">
        <f t="shared" si="0"/>
        <v>0.29600000000000004</v>
      </c>
      <c r="I31" s="531">
        <f t="shared" si="1"/>
        <v>0.2</v>
      </c>
      <c r="J31" s="429">
        <f t="shared" si="2"/>
        <v>0.84571428571428586</v>
      </c>
      <c r="K31" s="531">
        <f t="shared" si="3"/>
        <v>0.57142857142857151</v>
      </c>
      <c r="L31" s="429">
        <f t="shared" si="4"/>
        <v>9.6542726679713003E-2</v>
      </c>
      <c r="M31" s="531">
        <f t="shared" si="4"/>
        <v>6.523157208088716E-2</v>
      </c>
      <c r="N31" s="420">
        <f t="shared" si="5"/>
        <v>0.16177429876060018</v>
      </c>
      <c r="O31" s="561"/>
    </row>
    <row r="32" spans="1:15" ht="13" thickBot="1">
      <c r="A32" s="436" t="s">
        <v>576</v>
      </c>
      <c r="B32" s="436" t="s">
        <v>562</v>
      </c>
      <c r="C32" s="463">
        <v>0.35</v>
      </c>
      <c r="D32" s="437">
        <v>25</v>
      </c>
      <c r="E32" s="439">
        <v>2.57</v>
      </c>
      <c r="F32" s="441">
        <v>0.28999999999999998</v>
      </c>
      <c r="G32" s="439">
        <v>0</v>
      </c>
      <c r="H32" s="440">
        <f t="shared" si="0"/>
        <v>0.10279999999999999</v>
      </c>
      <c r="I32" s="439">
        <f t="shared" si="1"/>
        <v>0.28999999999999998</v>
      </c>
      <c r="J32" s="441">
        <f t="shared" si="2"/>
        <v>0.29371428571428571</v>
      </c>
      <c r="K32" s="439">
        <f t="shared" si="3"/>
        <v>0.82857142857142851</v>
      </c>
      <c r="L32" s="441">
        <f>J32/8760*1000</f>
        <v>3.3529028049575992E-2</v>
      </c>
      <c r="M32" s="439">
        <f>K32/8760*1000</f>
        <v>9.4585779517286361E-2</v>
      </c>
      <c r="N32" s="442">
        <f t="shared" si="5"/>
        <v>0.12811480756686236</v>
      </c>
      <c r="O32" s="559"/>
    </row>
    <row r="33" spans="1:15" ht="23" thickBot="1">
      <c r="A33" s="231" t="s">
        <v>430</v>
      </c>
      <c r="B33" s="231" t="s">
        <v>431</v>
      </c>
      <c r="C33" s="232">
        <v>0.8</v>
      </c>
      <c r="D33" s="233">
        <v>40</v>
      </c>
      <c r="E33" s="234">
        <v>20.48</v>
      </c>
      <c r="F33" s="462">
        <v>0.31</v>
      </c>
      <c r="G33" s="234">
        <v>0.06</v>
      </c>
      <c r="H33" s="413">
        <v>0.51200000000000001</v>
      </c>
      <c r="I33" s="235">
        <v>0.73048000000000002</v>
      </c>
      <c r="J33" s="430">
        <v>0.64</v>
      </c>
      <c r="K33" s="235">
        <v>0.91310000000000002</v>
      </c>
      <c r="L33" s="430">
        <v>7.3059360730593603E-2</v>
      </c>
      <c r="M33" s="235">
        <v>0.10423515981735161</v>
      </c>
      <c r="N33" s="422">
        <v>0.1772945205479452</v>
      </c>
      <c r="O33" s="235">
        <f>N33</f>
        <v>0.1772945205479452</v>
      </c>
    </row>
    <row r="34" spans="1:15" ht="13" thickBot="1">
      <c r="A34" s="231" t="s">
        <v>225</v>
      </c>
      <c r="B34" s="231" t="s">
        <v>432</v>
      </c>
      <c r="C34" s="232">
        <v>0.9</v>
      </c>
      <c r="D34" s="233">
        <v>40</v>
      </c>
      <c r="E34" s="234">
        <v>15.2</v>
      </c>
      <c r="F34" s="462">
        <v>0.7</v>
      </c>
      <c r="G34" s="234">
        <v>0</v>
      </c>
      <c r="H34" s="416">
        <f>E34/D34</f>
        <v>0.38</v>
      </c>
      <c r="I34" s="235">
        <f>F34+G34*8760/1000*C34</f>
        <v>0.7</v>
      </c>
      <c r="J34" s="430">
        <f>H34/C34</f>
        <v>0.42222222222222222</v>
      </c>
      <c r="K34" s="235">
        <f>I34/C34</f>
        <v>0.77777777777777768</v>
      </c>
      <c r="L34" s="430">
        <f t="shared" ref="L34:M36" si="6">J34/8760*1000</f>
        <v>4.8198883815322169E-2</v>
      </c>
      <c r="M34" s="235">
        <f t="shared" si="6"/>
        <v>8.8787417554540837E-2</v>
      </c>
      <c r="N34" s="422">
        <f>SUM(L34:M34)</f>
        <v>0.13698630136986301</v>
      </c>
      <c r="O34" s="235">
        <f>N34</f>
        <v>0.13698630136986301</v>
      </c>
    </row>
    <row r="35" spans="1:15" ht="13" thickBot="1">
      <c r="A35" s="242" t="s">
        <v>142</v>
      </c>
      <c r="B35" s="242" t="s">
        <v>223</v>
      </c>
      <c r="C35" s="243">
        <v>0.8</v>
      </c>
      <c r="D35" s="244">
        <v>40</v>
      </c>
      <c r="E35" s="235">
        <v>8.5</v>
      </c>
      <c r="F35" s="430">
        <v>0.18</v>
      </c>
      <c r="G35" s="235">
        <v>5.8999999999999997E-2</v>
      </c>
      <c r="H35" s="416">
        <f>E35/D35</f>
        <v>0.21249999999999999</v>
      </c>
      <c r="I35" s="235">
        <v>0.59</v>
      </c>
      <c r="J35" s="430">
        <f>H35/C35</f>
        <v>0.265625</v>
      </c>
      <c r="K35" s="235">
        <f>I35/C35</f>
        <v>0.73749999999999993</v>
      </c>
      <c r="L35" s="430">
        <f t="shared" si="6"/>
        <v>3.0322488584474887E-2</v>
      </c>
      <c r="M35" s="235">
        <f t="shared" si="6"/>
        <v>8.4189497716894962E-2</v>
      </c>
      <c r="N35" s="422">
        <f>SUM(L35:M35)</f>
        <v>0.11451198630136986</v>
      </c>
      <c r="O35" s="235">
        <f>N35</f>
        <v>0.11451198630136986</v>
      </c>
    </row>
    <row r="36" spans="1:15" ht="13" thickBot="1">
      <c r="A36" s="242" t="s">
        <v>222</v>
      </c>
      <c r="B36" s="242" t="s">
        <v>312</v>
      </c>
      <c r="C36" s="243">
        <v>0.85</v>
      </c>
      <c r="D36" s="244">
        <v>40</v>
      </c>
      <c r="E36" s="235">
        <v>1.02</v>
      </c>
      <c r="F36" s="430">
        <v>0.1</v>
      </c>
      <c r="G36" s="235">
        <v>0.09</v>
      </c>
      <c r="H36" s="416">
        <f>E36/D36</f>
        <v>2.5500000000000002E-2</v>
      </c>
      <c r="I36" s="235">
        <f>F36+G36*8760/1000*C36</f>
        <v>0.77013999999999994</v>
      </c>
      <c r="J36" s="430">
        <f>H36/C36</f>
        <v>3.0000000000000002E-2</v>
      </c>
      <c r="K36" s="235">
        <f>I36/C36</f>
        <v>0.90604705882352932</v>
      </c>
      <c r="L36" s="430">
        <f t="shared" si="6"/>
        <v>3.4246575342465756E-3</v>
      </c>
      <c r="M36" s="235">
        <f t="shared" si="6"/>
        <v>0.10343002954606499</v>
      </c>
      <c r="N36" s="422">
        <f>SUM(L36:M36)</f>
        <v>0.10685468708031157</v>
      </c>
      <c r="O36" s="235">
        <f>N36</f>
        <v>0.10685468708031157</v>
      </c>
    </row>
    <row r="37" spans="1:15">
      <c r="A37" s="213" t="s">
        <v>426</v>
      </c>
      <c r="B37" s="213" t="s">
        <v>428</v>
      </c>
      <c r="C37" s="245">
        <v>1</v>
      </c>
      <c r="D37" s="222">
        <v>20</v>
      </c>
      <c r="E37" s="550" t="s">
        <v>0</v>
      </c>
      <c r="F37" s="551"/>
      <c r="G37" s="551"/>
      <c r="H37" s="551"/>
      <c r="I37" s="551"/>
      <c r="J37" s="551"/>
      <c r="K37" s="551"/>
      <c r="L37" s="551"/>
      <c r="M37" s="552"/>
      <c r="N37" s="418">
        <v>0.17</v>
      </c>
      <c r="O37" s="553">
        <f>AVERAGE(N37,N38)</f>
        <v>0.38</v>
      </c>
    </row>
    <row r="38" spans="1:15">
      <c r="A38" s="214" t="s">
        <v>427</v>
      </c>
      <c r="B38" s="214" t="s">
        <v>429</v>
      </c>
      <c r="C38" s="221">
        <v>1</v>
      </c>
      <c r="D38" s="215">
        <v>20</v>
      </c>
      <c r="E38" s="555" t="s">
        <v>0</v>
      </c>
      <c r="F38" s="556"/>
      <c r="G38" s="556"/>
      <c r="H38" s="556"/>
      <c r="I38" s="556"/>
      <c r="J38" s="556"/>
      <c r="K38" s="556"/>
      <c r="L38" s="556"/>
      <c r="M38" s="557"/>
      <c r="N38" s="420">
        <v>0.59</v>
      </c>
      <c r="O38" s="554"/>
    </row>
    <row r="39" spans="1:15">
      <c r="A39" s="81" t="s">
        <v>752</v>
      </c>
      <c r="B39" s="81" t="s">
        <v>753</v>
      </c>
      <c r="C39" s="568">
        <v>0.2</v>
      </c>
      <c r="D39" s="81">
        <v>25</v>
      </c>
      <c r="E39" s="417">
        <f>(97031+32490+15112+20185)/B40</f>
        <v>14.698366579021558</v>
      </c>
      <c r="F39" s="417">
        <f>(8989)/B40</f>
        <v>0.80163342097844159</v>
      </c>
      <c r="G39" s="81">
        <v>0</v>
      </c>
      <c r="H39" s="417">
        <f>E39/D39</f>
        <v>0.58793466316086229</v>
      </c>
      <c r="I39" s="417">
        <f>F39</f>
        <v>0.80163342097844159</v>
      </c>
      <c r="J39" s="417">
        <f>H39/C39</f>
        <v>2.9396733158043111</v>
      </c>
      <c r="K39" s="417">
        <f>I39/C39</f>
        <v>4.0081671048922081</v>
      </c>
      <c r="L39" s="417">
        <f>J39/8760*1000</f>
        <v>0.33557914563976154</v>
      </c>
      <c r="M39" s="417">
        <f>K39/8760*1000</f>
        <v>0.4575533224762795</v>
      </c>
      <c r="N39" s="81">
        <f>L39+M39</f>
        <v>0.79313246811604099</v>
      </c>
    </row>
    <row r="40" spans="1:15">
      <c r="B40" s="81">
        <f>173807/15.5</f>
        <v>11213.354838709678</v>
      </c>
    </row>
    <row r="41" spans="1:15">
      <c r="N41" s="569"/>
    </row>
  </sheetData>
  <mergeCells count="19">
    <mergeCell ref="E37:M37"/>
    <mergeCell ref="O37:O38"/>
    <mergeCell ref="E38:M38"/>
    <mergeCell ref="O14:O15"/>
    <mergeCell ref="O16:O18"/>
    <mergeCell ref="O19:O20"/>
    <mergeCell ref="O22:O24"/>
    <mergeCell ref="O25:O27"/>
    <mergeCell ref="O28:O32"/>
    <mergeCell ref="A1:P10"/>
    <mergeCell ref="A11:A12"/>
    <mergeCell ref="B11:B12"/>
    <mergeCell ref="C11:C13"/>
    <mergeCell ref="D11:D13"/>
    <mergeCell ref="E11:G12"/>
    <mergeCell ref="H11:O11"/>
    <mergeCell ref="H12:I12"/>
    <mergeCell ref="J12:K12"/>
    <mergeCell ref="L12:O1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7" hidden="1" customWidth="1"/>
    <col min="2" max="2" width="6.83203125" style="158" customWidth="1"/>
    <col min="3" max="3" width="5.1640625" style="155" bestFit="1" customWidth="1"/>
    <col min="4" max="5" width="21.5" style="155" hidden="1" customWidth="1"/>
    <col min="6" max="6" width="28.83203125" style="155" customWidth="1"/>
    <col min="7" max="7" width="31.6640625" style="155" customWidth="1"/>
    <col min="8" max="8" width="40.83203125" style="157" customWidth="1"/>
    <col min="9" max="9" width="60.83203125" style="155" customWidth="1"/>
    <col min="10" max="10" width="86" style="155" customWidth="1"/>
    <col min="11" max="16384" width="8.83203125" style="155"/>
  </cols>
  <sheetData>
    <row r="1" spans="1:12">
      <c r="B1" s="562"/>
      <c r="C1" s="562"/>
      <c r="D1" s="562"/>
      <c r="E1" s="562"/>
      <c r="F1" s="562"/>
      <c r="G1" s="562"/>
      <c r="H1" s="562"/>
      <c r="I1" s="562"/>
      <c r="J1" s="562"/>
      <c r="K1" s="562"/>
      <c r="L1" s="562"/>
    </row>
    <row r="2" spans="1:12">
      <c r="B2" s="562"/>
      <c r="C2" s="562"/>
      <c r="D2" s="562"/>
      <c r="E2" s="562"/>
      <c r="F2" s="562"/>
      <c r="G2" s="562"/>
      <c r="H2" s="562"/>
      <c r="I2" s="562"/>
      <c r="J2" s="562"/>
      <c r="K2" s="562"/>
      <c r="L2" s="562"/>
    </row>
    <row r="3" spans="1:12">
      <c r="B3" s="562"/>
      <c r="C3" s="562"/>
      <c r="D3" s="562"/>
      <c r="E3" s="562"/>
      <c r="F3" s="562"/>
      <c r="G3" s="562"/>
      <c r="H3" s="562"/>
      <c r="I3" s="562"/>
      <c r="J3" s="562"/>
      <c r="K3" s="562"/>
      <c r="L3" s="562"/>
    </row>
    <row r="4" spans="1:12">
      <c r="B4" s="562"/>
      <c r="C4" s="562"/>
      <c r="D4" s="562"/>
      <c r="E4" s="562"/>
      <c r="F4" s="562"/>
      <c r="G4" s="562"/>
      <c r="H4" s="562"/>
      <c r="I4" s="562"/>
      <c r="J4" s="562"/>
      <c r="K4" s="562"/>
      <c r="L4" s="562"/>
    </row>
    <row r="5" spans="1:12">
      <c r="B5" s="562"/>
      <c r="C5" s="562"/>
      <c r="D5" s="562"/>
      <c r="E5" s="562"/>
      <c r="F5" s="562"/>
      <c r="G5" s="562"/>
      <c r="H5" s="562"/>
      <c r="I5" s="562"/>
      <c r="J5" s="562"/>
      <c r="K5" s="562"/>
      <c r="L5" s="562"/>
    </row>
    <row r="6" spans="1:12">
      <c r="B6" s="562"/>
      <c r="C6" s="562"/>
      <c r="D6" s="562"/>
      <c r="E6" s="562"/>
      <c r="F6" s="562"/>
      <c r="G6" s="562"/>
      <c r="H6" s="562"/>
      <c r="I6" s="562"/>
      <c r="J6" s="562"/>
      <c r="K6" s="562"/>
      <c r="L6" s="562"/>
    </row>
    <row r="7" spans="1:12">
      <c r="B7" s="562"/>
      <c r="C7" s="562"/>
      <c r="D7" s="562"/>
      <c r="E7" s="562"/>
      <c r="F7" s="562"/>
      <c r="G7" s="562"/>
      <c r="H7" s="562"/>
      <c r="I7" s="562"/>
      <c r="J7" s="562"/>
      <c r="K7" s="562"/>
      <c r="L7" s="562"/>
    </row>
    <row r="8" spans="1:12">
      <c r="B8" s="562"/>
      <c r="C8" s="562"/>
      <c r="D8" s="562"/>
      <c r="E8" s="562"/>
      <c r="F8" s="562"/>
      <c r="G8" s="562"/>
      <c r="H8" s="562"/>
      <c r="I8" s="562"/>
      <c r="J8" s="562"/>
      <c r="K8" s="562"/>
      <c r="L8" s="562"/>
    </row>
    <row r="9" spans="1:12" ht="48" customHeight="1">
      <c r="B9" s="562"/>
      <c r="C9" s="562"/>
      <c r="D9" s="562"/>
      <c r="E9" s="562"/>
      <c r="F9" s="562"/>
      <c r="G9" s="562"/>
      <c r="H9" s="562"/>
      <c r="I9" s="562"/>
      <c r="J9" s="562"/>
      <c r="K9" s="562"/>
      <c r="L9" s="562"/>
    </row>
    <row r="10" spans="1:12" s="145" customFormat="1" ht="15" thickBot="1">
      <c r="A10" s="140" t="s">
        <v>149</v>
      </c>
      <c r="B10" s="141" t="s">
        <v>459</v>
      </c>
      <c r="C10" s="142" t="s">
        <v>144</v>
      </c>
      <c r="D10" s="142" t="s">
        <v>460</v>
      </c>
      <c r="E10" s="142" t="s">
        <v>265</v>
      </c>
      <c r="F10" s="142" t="s">
        <v>460</v>
      </c>
      <c r="G10" s="142" t="s">
        <v>145</v>
      </c>
      <c r="H10" s="143" t="s">
        <v>146</v>
      </c>
      <c r="I10" s="142" t="s">
        <v>147</v>
      </c>
      <c r="J10" s="144" t="s">
        <v>263</v>
      </c>
    </row>
    <row r="11" spans="1:12" s="146" customFormat="1" ht="84">
      <c r="A11" s="146" t="s">
        <v>143</v>
      </c>
      <c r="B11" s="147">
        <v>1</v>
      </c>
      <c r="C11" s="148">
        <v>2009</v>
      </c>
      <c r="D11" s="148" t="s">
        <v>277</v>
      </c>
      <c r="E11" s="148" t="s">
        <v>275</v>
      </c>
      <c r="F11" s="148" t="str">
        <f>D11 &amp; " - " &amp; E11</f>
        <v>Isabel Blanco and Christian Kjaer - European Wind Energy Association</v>
      </c>
      <c r="G11" s="148" t="s">
        <v>276</v>
      </c>
      <c r="H11" s="148" t="s">
        <v>552</v>
      </c>
      <c r="I11" s="148" t="s">
        <v>461</v>
      </c>
      <c r="J11" s="146" t="s">
        <v>462</v>
      </c>
    </row>
    <row r="12" spans="1:12" s="146" customFormat="1" ht="28">
      <c r="B12" s="149">
        <f>B11+1</f>
        <v>2</v>
      </c>
      <c r="C12" s="150">
        <v>2009</v>
      </c>
      <c r="D12" s="150" t="s">
        <v>463</v>
      </c>
      <c r="E12" s="150" t="s">
        <v>464</v>
      </c>
      <c r="F12" s="148" t="str">
        <f t="shared" ref="F12:F26" si="0">D12 &amp; " - " &amp; E12</f>
        <v>Julio Friedmann - Lawrence Livermore National Laboratory</v>
      </c>
      <c r="G12" s="150" t="s">
        <v>465</v>
      </c>
      <c r="H12" s="150" t="s">
        <v>466</v>
      </c>
      <c r="I12" s="150" t="s">
        <v>467</v>
      </c>
    </row>
    <row r="13" spans="1:12" s="146" customFormat="1" ht="28">
      <c r="B13" s="149">
        <f>B12+1</f>
        <v>3</v>
      </c>
      <c r="C13" s="150">
        <v>2009</v>
      </c>
      <c r="D13" s="150" t="s">
        <v>468</v>
      </c>
      <c r="E13" s="150" t="s">
        <v>469</v>
      </c>
      <c r="F13" s="148" t="str">
        <f t="shared" si="0"/>
        <v>José Goldemberg  - State of São Paulo, Brazil</v>
      </c>
      <c r="G13" s="150" t="s">
        <v>470</v>
      </c>
      <c r="H13" s="150"/>
      <c r="I13" s="150"/>
    </row>
    <row r="14" spans="1:12" s="146" customFormat="1" ht="42">
      <c r="B14" s="151">
        <f>B13+1</f>
        <v>4</v>
      </c>
      <c r="C14" s="152">
        <v>2009</v>
      </c>
      <c r="D14" s="152" t="s">
        <v>471</v>
      </c>
      <c r="E14" s="152" t="s">
        <v>472</v>
      </c>
      <c r="F14" s="148" t="str">
        <f t="shared" si="0"/>
        <v xml:space="preserve">SkyFuels - National Renewable Energy Laboratory </v>
      </c>
      <c r="G14" s="152" t="s">
        <v>473</v>
      </c>
      <c r="H14" s="152" t="s">
        <v>474</v>
      </c>
      <c r="I14" s="152" t="s">
        <v>475</v>
      </c>
    </row>
    <row r="15" spans="1:12" s="153" customFormat="1" ht="93.75" customHeight="1">
      <c r="A15" s="150" t="s">
        <v>224</v>
      </c>
      <c r="B15" s="149">
        <f>B14+1</f>
        <v>5</v>
      </c>
      <c r="C15" s="150">
        <v>2008</v>
      </c>
      <c r="D15" s="150" t="s">
        <v>274</v>
      </c>
      <c r="E15" s="150" t="s">
        <v>272</v>
      </c>
      <c r="F15" s="148" t="str">
        <f t="shared" si="0"/>
        <v>John A. "Skip" Laitner and Vanessa McKinney - American Council for an Energy Efficient Economy</v>
      </c>
      <c r="G15" s="150" t="s">
        <v>273</v>
      </c>
      <c r="H15" s="150" t="s">
        <v>148</v>
      </c>
      <c r="I15" s="150" t="s">
        <v>476</v>
      </c>
      <c r="J15" s="146" t="s">
        <v>477</v>
      </c>
    </row>
    <row r="16" spans="1:12" s="153" customFormat="1" ht="42">
      <c r="A16" s="150"/>
      <c r="B16" s="149">
        <f>B15+1</f>
        <v>6</v>
      </c>
      <c r="C16" s="150">
        <v>2008</v>
      </c>
      <c r="D16" s="150" t="s">
        <v>478</v>
      </c>
      <c r="E16" s="150" t="s">
        <v>479</v>
      </c>
      <c r="F16" s="148" t="str">
        <f t="shared" si="0"/>
        <v>David Roland-Holst - University of California, Berkeley</v>
      </c>
      <c r="G16" s="150" t="s">
        <v>480</v>
      </c>
      <c r="H16" s="150" t="s">
        <v>481</v>
      </c>
      <c r="I16" s="150" t="s">
        <v>482</v>
      </c>
      <c r="J16" s="146"/>
    </row>
    <row r="17" spans="1:10" s="153" customFormat="1" ht="28">
      <c r="A17" s="150"/>
      <c r="B17" s="149">
        <v>7</v>
      </c>
      <c r="C17" s="150">
        <v>2007</v>
      </c>
      <c r="D17" s="150" t="s">
        <v>496</v>
      </c>
      <c r="E17" s="150" t="s">
        <v>0</v>
      </c>
      <c r="F17" s="148" t="str">
        <f>D17</f>
        <v>Vestas</v>
      </c>
      <c r="G17" s="150" t="s">
        <v>497</v>
      </c>
      <c r="H17" s="150" t="s">
        <v>498</v>
      </c>
      <c r="I17" s="150" t="s">
        <v>499</v>
      </c>
      <c r="J17" s="146"/>
    </row>
    <row r="18" spans="1:10" s="153" customFormat="1" ht="42">
      <c r="A18" s="150"/>
      <c r="B18" s="149">
        <v>8</v>
      </c>
      <c r="C18" s="150">
        <v>2006</v>
      </c>
      <c r="D18" s="150" t="s">
        <v>483</v>
      </c>
      <c r="E18" s="150" t="s">
        <v>484</v>
      </c>
      <c r="F18" s="148" t="str">
        <f t="shared" si="0"/>
        <v>Winfried Hoffman, Sven Teske - European Photovoltaic Industry Association (EPIA) and Greenpeace</v>
      </c>
      <c r="G18" s="150" t="s">
        <v>485</v>
      </c>
      <c r="H18" s="150" t="s">
        <v>486</v>
      </c>
      <c r="I18" s="150" t="s">
        <v>487</v>
      </c>
      <c r="J18" s="146"/>
    </row>
    <row r="19" spans="1:10" s="153" customFormat="1" ht="84" customHeight="1">
      <c r="A19" s="150" t="s">
        <v>262</v>
      </c>
      <c r="B19" s="149">
        <v>9</v>
      </c>
      <c r="C19" s="150">
        <v>2006</v>
      </c>
      <c r="D19" s="150" t="s">
        <v>278</v>
      </c>
      <c r="E19" s="150" t="s">
        <v>279</v>
      </c>
      <c r="F19" s="148" t="str">
        <f t="shared" si="0"/>
        <v>Frithjof Staiss, et al. - Forschungsvorhaben im Auftrag des Bundesministeriums für Umwelt, Naturschutz und Reaktorsicherheit, Federal Republic of Germany.</v>
      </c>
      <c r="G19" s="150" t="s">
        <v>532</v>
      </c>
      <c r="H19" s="150" t="s">
        <v>533</v>
      </c>
      <c r="I19" s="150"/>
      <c r="J19" s="146" t="s">
        <v>488</v>
      </c>
    </row>
    <row r="20" spans="1:10" s="153" customFormat="1" ht="42">
      <c r="A20" s="150" t="s">
        <v>314</v>
      </c>
      <c r="B20" s="149">
        <v>10</v>
      </c>
      <c r="C20" s="150">
        <v>2006</v>
      </c>
      <c r="D20" s="150" t="s">
        <v>323</v>
      </c>
      <c r="E20" s="150" t="s">
        <v>320</v>
      </c>
      <c r="F20" s="148" t="str">
        <f t="shared" si="0"/>
        <v>George Sterzinger - Renewable Energy Policy Project (REPP)</v>
      </c>
      <c r="G20" s="150" t="s">
        <v>324</v>
      </c>
      <c r="H20" s="150" t="s">
        <v>489</v>
      </c>
      <c r="I20" s="150" t="s">
        <v>0</v>
      </c>
      <c r="J20" s="146" t="s">
        <v>325</v>
      </c>
    </row>
    <row r="21" spans="1:10" s="153" customFormat="1" ht="70">
      <c r="A21" s="150" t="s">
        <v>490</v>
      </c>
      <c r="B21" s="149">
        <v>11</v>
      </c>
      <c r="C21" s="150">
        <v>2006</v>
      </c>
      <c r="D21" s="150" t="s">
        <v>491</v>
      </c>
      <c r="E21" s="150" t="s">
        <v>492</v>
      </c>
      <c r="F21" s="148" t="str">
        <f t="shared" si="0"/>
        <v>L. Stoddard, J. Abiecunas, R. O'Connell - National Renewable Energy Laboratory</v>
      </c>
      <c r="G21" s="150" t="s">
        <v>493</v>
      </c>
      <c r="H21" s="150" t="s">
        <v>553</v>
      </c>
      <c r="I21" s="150" t="s">
        <v>494</v>
      </c>
      <c r="J21" s="146" t="s">
        <v>495</v>
      </c>
    </row>
    <row r="22" spans="1:10" s="153" customFormat="1" ht="42">
      <c r="A22" s="150" t="s">
        <v>500</v>
      </c>
      <c r="B22" s="149">
        <v>12</v>
      </c>
      <c r="C22" s="150">
        <v>2005</v>
      </c>
      <c r="D22" s="150" t="s">
        <v>501</v>
      </c>
      <c r="E22" s="150" t="s">
        <v>502</v>
      </c>
      <c r="F22" s="148" t="str">
        <f t="shared" si="0"/>
        <v>Doug Arent, John Tschirhart, Dick Watsson - Western Governors' Association: Geothermal Task Force</v>
      </c>
      <c r="G22" s="150" t="s">
        <v>503</v>
      </c>
      <c r="H22" s="150" t="s">
        <v>504</v>
      </c>
      <c r="I22" s="150"/>
      <c r="J22" s="146" t="s">
        <v>505</v>
      </c>
    </row>
    <row r="23" spans="1:10" s="153" customFormat="1" ht="70">
      <c r="A23" s="154"/>
      <c r="B23" s="149">
        <v>13</v>
      </c>
      <c r="C23" s="150">
        <v>2005</v>
      </c>
      <c r="D23" s="150" t="s">
        <v>506</v>
      </c>
      <c r="E23" s="150" t="s">
        <v>507</v>
      </c>
      <c r="F23" s="148" t="str">
        <f t="shared" si="0"/>
        <v>Jose Gil and Hugo Lucas - Institute for Diversification and Saving of Energy (Instituto para la Diversificacion y Ahorro de la Energia, IDAE)</v>
      </c>
      <c r="G23" s="150" t="s">
        <v>508</v>
      </c>
      <c r="H23" s="150" t="s">
        <v>531</v>
      </c>
      <c r="I23" s="150" t="s">
        <v>529</v>
      </c>
      <c r="J23" s="146" t="s">
        <v>530</v>
      </c>
    </row>
    <row r="24" spans="1:10" s="153" customFormat="1" ht="56">
      <c r="A24" s="150" t="s">
        <v>269</v>
      </c>
      <c r="B24" s="149">
        <v>14</v>
      </c>
      <c r="C24" s="150">
        <v>2004</v>
      </c>
      <c r="D24" s="150" t="s">
        <v>266</v>
      </c>
      <c r="E24" s="150" t="s">
        <v>267</v>
      </c>
      <c r="F24" s="148" t="str">
        <f t="shared" si="0"/>
        <v xml:space="preserve">Daniel M. Kammen, Kamal Kapadia, and Matthias Fripp - Energy and Resources Group, Universtiy of California, Berkeley.  </v>
      </c>
      <c r="G24" s="150" t="s">
        <v>264</v>
      </c>
      <c r="H24" s="150" t="s">
        <v>270</v>
      </c>
      <c r="I24" s="150" t="s">
        <v>271</v>
      </c>
      <c r="J24" s="146" t="s">
        <v>509</v>
      </c>
    </row>
    <row r="25" spans="1:10" s="153" customFormat="1" ht="70.5" customHeight="1">
      <c r="A25" s="150" t="s">
        <v>225</v>
      </c>
      <c r="B25" s="149">
        <v>15</v>
      </c>
      <c r="C25" s="150">
        <v>2004</v>
      </c>
      <c r="D25" s="150" t="s">
        <v>268</v>
      </c>
      <c r="E25" s="150" t="s">
        <v>313</v>
      </c>
      <c r="F25" s="148" t="str">
        <f t="shared" si="0"/>
        <v>C.R. Kenley, et al.  - Idaho National Engineering and Environmental Laboratory (INEEL) and Bechtel BWXT Idaho, LLC</v>
      </c>
      <c r="G25" s="150" t="s">
        <v>510</v>
      </c>
      <c r="H25" s="150" t="s">
        <v>511</v>
      </c>
      <c r="I25" s="150" t="s">
        <v>512</v>
      </c>
      <c r="J25" s="146" t="s">
        <v>513</v>
      </c>
    </row>
    <row r="26" spans="1:10" s="153" customFormat="1" ht="70">
      <c r="A26" s="150" t="s">
        <v>314</v>
      </c>
      <c r="B26" s="149">
        <v>16</v>
      </c>
      <c r="C26" s="150">
        <v>2002</v>
      </c>
      <c r="D26" s="150" t="s">
        <v>315</v>
      </c>
      <c r="E26" s="150" t="s">
        <v>316</v>
      </c>
      <c r="F26" s="148" t="str">
        <f t="shared" si="0"/>
        <v>Heavner and Churchill - CALPIRG (California Public Interest Research Group) Charitable Trust</v>
      </c>
      <c r="G26" s="150" t="s">
        <v>317</v>
      </c>
      <c r="H26" s="150" t="s">
        <v>514</v>
      </c>
      <c r="I26" s="150" t="s">
        <v>515</v>
      </c>
      <c r="J26" s="146" t="s">
        <v>318</v>
      </c>
    </row>
    <row r="27" spans="1:10" s="153" customFormat="1" ht="112">
      <c r="A27" s="150" t="s">
        <v>314</v>
      </c>
      <c r="B27" s="149">
        <f>B26+1</f>
        <v>17</v>
      </c>
      <c r="C27" s="150">
        <v>2001</v>
      </c>
      <c r="D27" s="150" t="s">
        <v>319</v>
      </c>
      <c r="E27" s="150" t="s">
        <v>320</v>
      </c>
      <c r="F27" s="150" t="s">
        <v>535</v>
      </c>
      <c r="G27" s="150" t="s">
        <v>321</v>
      </c>
      <c r="H27" s="150" t="s">
        <v>516</v>
      </c>
      <c r="I27" s="150" t="s">
        <v>517</v>
      </c>
      <c r="J27" s="146" t="s">
        <v>322</v>
      </c>
    </row>
    <row r="28" spans="1:10">
      <c r="A28" s="150"/>
      <c r="B28" s="149"/>
      <c r="C28" s="150"/>
      <c r="D28" s="150"/>
      <c r="E28" s="150"/>
      <c r="F28" s="150"/>
      <c r="G28" s="150"/>
      <c r="H28" s="150"/>
      <c r="I28" s="150"/>
      <c r="J28" s="146"/>
    </row>
    <row r="29" spans="1:10">
      <c r="A29" s="150"/>
      <c r="B29" s="149"/>
      <c r="C29" s="150"/>
      <c r="D29" s="150"/>
      <c r="E29" s="150"/>
      <c r="F29" s="150"/>
      <c r="G29" s="150"/>
      <c r="H29" s="150"/>
      <c r="I29" s="150"/>
      <c r="J29" s="146"/>
    </row>
    <row r="30" spans="1:10">
      <c r="A30" s="150"/>
      <c r="B30" s="149"/>
      <c r="C30" s="150"/>
      <c r="D30" s="150"/>
      <c r="E30" s="150"/>
      <c r="F30" s="150"/>
      <c r="G30" s="150"/>
      <c r="H30" s="150"/>
      <c r="I30" s="150"/>
      <c r="J30" s="146"/>
    </row>
    <row r="31" spans="1:10" s="153" customFormat="1">
      <c r="A31" s="146"/>
      <c r="B31" s="156"/>
      <c r="C31" s="146"/>
      <c r="D31" s="146"/>
      <c r="E31" s="146"/>
      <c r="F31" s="146"/>
      <c r="G31" s="146"/>
      <c r="H31" s="146"/>
      <c r="I31" s="146"/>
      <c r="J31" s="146"/>
    </row>
    <row r="32" spans="1:10">
      <c r="A32" s="155"/>
      <c r="B32" s="156"/>
      <c r="C32" s="146"/>
      <c r="D32" s="146"/>
      <c r="E32" s="146"/>
      <c r="F32" s="146"/>
      <c r="G32" s="146"/>
      <c r="H32" s="146"/>
      <c r="I32" s="146"/>
      <c r="J32" s="146"/>
    </row>
    <row r="33" spans="1:10">
      <c r="A33" s="155"/>
      <c r="B33" s="156"/>
      <c r="C33" s="146"/>
      <c r="D33" s="146"/>
      <c r="E33" s="146"/>
      <c r="F33" s="146"/>
      <c r="G33" s="146"/>
      <c r="H33" s="146"/>
      <c r="I33" s="146"/>
      <c r="J33" s="146"/>
    </row>
    <row r="34" spans="1:10">
      <c r="A34" s="155"/>
      <c r="B34" s="156"/>
      <c r="C34" s="146"/>
      <c r="D34" s="146"/>
      <c r="E34" s="146"/>
      <c r="F34" s="146"/>
      <c r="G34" s="146"/>
      <c r="H34" s="146"/>
      <c r="I34" s="146"/>
      <c r="J34" s="146"/>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4" zoomScale="125" zoomScaleNormal="125" zoomScalePageLayoutView="125" workbookViewId="0">
      <pane xSplit="1" topLeftCell="B1" activePane="topRight" state="frozen"/>
      <selection activeCell="A33" sqref="A33"/>
      <selection pane="topRight" activeCell="G49" sqref="G49"/>
    </sheetView>
  </sheetViews>
  <sheetFormatPr baseColWidth="10" defaultColWidth="12.5" defaultRowHeight="16" x14ac:dyDescent="0"/>
  <cols>
    <col min="1" max="1" width="47.33203125" style="5" customWidth="1"/>
    <col min="2" max="2" width="13.6640625" style="344" bestFit="1" customWidth="1"/>
    <col min="3" max="6" width="13.1640625" style="344" bestFit="1" customWidth="1"/>
    <col min="7" max="7" width="13.1640625" style="299" bestFit="1" customWidth="1"/>
    <col min="8" max="19" width="14.5" style="299" bestFit="1" customWidth="1"/>
    <col min="20" max="21" width="16.5" style="299" bestFit="1" customWidth="1"/>
    <col min="22" max="37" width="12.5" style="299"/>
    <col min="38" max="16384" width="12.5" style="5"/>
  </cols>
  <sheetData>
    <row r="1" spans="1:37">
      <c r="A1" s="268" t="s">
        <v>63</v>
      </c>
    </row>
    <row r="2" spans="1:37">
      <c r="A2" s="272" t="s">
        <v>704</v>
      </c>
    </row>
    <row r="3" spans="1:37">
      <c r="A3" s="272" t="s">
        <v>656</v>
      </c>
    </row>
    <row r="4" spans="1:37">
      <c r="A4" s="272" t="s">
        <v>591</v>
      </c>
    </row>
    <row r="6" spans="1:37">
      <c r="A6" s="6" t="s">
        <v>64</v>
      </c>
    </row>
    <row r="7" spans="1:37">
      <c r="A7" s="6" t="s">
        <v>65</v>
      </c>
    </row>
    <row r="8" spans="1:37">
      <c r="A8" s="78" t="s">
        <v>280</v>
      </c>
    </row>
    <row r="10" spans="1:37">
      <c r="AK10" s="300"/>
    </row>
    <row r="11" spans="1:37">
      <c r="B11" s="364" t="s">
        <v>7</v>
      </c>
      <c r="C11" s="364" t="s">
        <v>8</v>
      </c>
      <c r="D11" s="364" t="s">
        <v>9</v>
      </c>
      <c r="E11" s="364" t="s">
        <v>10</v>
      </c>
      <c r="F11" s="364" t="s">
        <v>11</v>
      </c>
      <c r="G11" s="319" t="s">
        <v>12</v>
      </c>
      <c r="H11" s="319" t="s">
        <v>13</v>
      </c>
      <c r="I11" s="319" t="s">
        <v>14</v>
      </c>
      <c r="J11" s="319" t="s">
        <v>15</v>
      </c>
      <c r="K11" s="319" t="s">
        <v>16</v>
      </c>
      <c r="L11" s="319" t="s">
        <v>17</v>
      </c>
      <c r="M11" s="319" t="s">
        <v>18</v>
      </c>
      <c r="N11" s="319" t="s">
        <v>19</v>
      </c>
      <c r="O11" s="319" t="s">
        <v>20</v>
      </c>
      <c r="P11" s="319" t="s">
        <v>21</v>
      </c>
      <c r="Q11" s="319" t="s">
        <v>22</v>
      </c>
      <c r="R11" s="319" t="s">
        <v>23</v>
      </c>
      <c r="S11" s="319" t="s">
        <v>24</v>
      </c>
      <c r="T11" s="319" t="s">
        <v>25</v>
      </c>
      <c r="U11" s="319" t="s">
        <v>26</v>
      </c>
      <c r="V11" s="319" t="s">
        <v>27</v>
      </c>
      <c r="W11" s="319" t="s">
        <v>28</v>
      </c>
      <c r="X11" s="319" t="s">
        <v>29</v>
      </c>
      <c r="Y11" s="319" t="s">
        <v>30</v>
      </c>
      <c r="Z11" s="319" t="s">
        <v>31</v>
      </c>
      <c r="AA11" s="319" t="s">
        <v>581</v>
      </c>
      <c r="AB11" s="319" t="s">
        <v>582</v>
      </c>
      <c r="AC11" s="319" t="s">
        <v>583</v>
      </c>
      <c r="AD11" s="319" t="s">
        <v>584</v>
      </c>
      <c r="AE11" s="319" t="s">
        <v>585</v>
      </c>
      <c r="AF11" s="319" t="s">
        <v>586</v>
      </c>
      <c r="AG11" s="319" t="s">
        <v>587</v>
      </c>
      <c r="AH11" s="319" t="s">
        <v>588</v>
      </c>
      <c r="AI11" s="319" t="s">
        <v>589</v>
      </c>
      <c r="AJ11" s="319" t="s">
        <v>590</v>
      </c>
      <c r="AK11" s="319" t="s">
        <v>593</v>
      </c>
    </row>
    <row r="14" spans="1:37">
      <c r="A14" s="6" t="s">
        <v>66</v>
      </c>
    </row>
    <row r="16" spans="1:37">
      <c r="A16" s="6" t="s">
        <v>32</v>
      </c>
    </row>
    <row r="17" spans="1:38" s="251" customFormat="1">
      <c r="A17" s="250" t="s">
        <v>67</v>
      </c>
      <c r="B17" s="344"/>
      <c r="C17" s="344"/>
      <c r="D17" s="344"/>
      <c r="E17" s="344"/>
      <c r="F17" s="344"/>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38" s="251" customFormat="1">
      <c r="A18" s="250"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1" customFormat="1">
      <c r="A19" s="250"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1" customFormat="1">
      <c r="A20" s="250"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1" customFormat="1">
      <c r="A21" s="250"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1" customFormat="1">
      <c r="A22" s="250"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1" customFormat="1">
      <c r="A23" s="250"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1" customFormat="1">
      <c r="A24" s="250"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1" customFormat="1">
      <c r="A25" s="250"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1" customFormat="1">
      <c r="A26" s="250"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1" customFormat="1">
      <c r="A27" s="250"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1" customFormat="1">
      <c r="A28" s="250"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1" customFormat="1">
      <c r="A29" s="250"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1" customFormat="1">
      <c r="A30" s="250"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1" customFormat="1">
      <c r="A31" s="250"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1" customFormat="1">
      <c r="A32" s="250"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1" customFormat="1">
      <c r="A33" s="250"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1"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3" t="s">
        <v>748</v>
      </c>
    </row>
    <row r="35" spans="1:44" s="251" customFormat="1">
      <c r="A35" s="250" t="s">
        <v>741</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5"/>
    </row>
    <row r="36" spans="1:44" s="251" customFormat="1">
      <c r="A36" s="501" t="s">
        <v>719</v>
      </c>
      <c r="G36" s="499">
        <v>6.7525570000000004</v>
      </c>
      <c r="H36" s="499">
        <v>3.5043920000000002</v>
      </c>
      <c r="I36" s="499">
        <v>3.808986</v>
      </c>
      <c r="J36" s="499">
        <v>3.7892760000000001</v>
      </c>
      <c r="K36" s="499">
        <v>3.8264260000000001</v>
      </c>
      <c r="L36" s="499">
        <v>0.51893500000000004</v>
      </c>
      <c r="M36" s="499">
        <v>1.977149</v>
      </c>
      <c r="N36" s="499">
        <v>3.7579729999999998</v>
      </c>
      <c r="O36" s="499">
        <v>4.4962569999999999</v>
      </c>
      <c r="P36" s="499">
        <v>4.6483160000000003</v>
      </c>
      <c r="Q36" s="499">
        <v>4.7586810000000002</v>
      </c>
      <c r="R36" s="499">
        <v>4.8338950000000001</v>
      </c>
      <c r="S36" s="499">
        <v>4.8903150000000002</v>
      </c>
      <c r="T36" s="499">
        <v>4.9169400000000003</v>
      </c>
      <c r="U36" s="499">
        <v>4.9432900000000002</v>
      </c>
      <c r="V36" s="499">
        <v>4.9453170000000002</v>
      </c>
      <c r="W36" s="499">
        <v>7.655583</v>
      </c>
      <c r="X36" s="499">
        <v>8.3737429999999993</v>
      </c>
      <c r="Y36" s="499">
        <v>8.4992839999999994</v>
      </c>
      <c r="Z36" s="499">
        <v>8.5482790000000008</v>
      </c>
      <c r="AA36" s="499">
        <v>8.5025320000000004</v>
      </c>
      <c r="AB36" s="499">
        <v>7.5440420000000001</v>
      </c>
      <c r="AC36" s="499">
        <v>7.4135530000000003</v>
      </c>
      <c r="AD36" s="499">
        <v>7.1312059999999997</v>
      </c>
      <c r="AE36" s="499">
        <v>6.9607929999999998</v>
      </c>
      <c r="AF36" s="499">
        <v>7.9209329999999998</v>
      </c>
      <c r="AG36" s="499">
        <v>7.7948329999999997</v>
      </c>
      <c r="AH36" s="499">
        <v>7.9597049999999996</v>
      </c>
      <c r="AI36" s="499">
        <v>7.962853</v>
      </c>
      <c r="AJ36" s="499">
        <v>7.9601879999999996</v>
      </c>
      <c r="AK36" s="503">
        <v>0.03</v>
      </c>
      <c r="AL36" s="515" t="s">
        <v>68</v>
      </c>
      <c r="AM36" s="518">
        <v>0.58934048164738306</v>
      </c>
    </row>
    <row r="37" spans="1:44" s="251" customFormat="1">
      <c r="A37" s="501" t="s">
        <v>720</v>
      </c>
      <c r="G37" s="499">
        <v>0.49390099999999998</v>
      </c>
      <c r="H37" s="499">
        <v>0.31614900000000001</v>
      </c>
      <c r="I37" s="499">
        <v>0.31676500000000002</v>
      </c>
      <c r="J37" s="499">
        <v>0.316133</v>
      </c>
      <c r="K37" s="499">
        <v>0.32009199999999999</v>
      </c>
      <c r="L37" s="499">
        <v>0.30642799999999998</v>
      </c>
      <c r="M37" s="499">
        <v>0.12645100000000001</v>
      </c>
      <c r="N37" s="499">
        <v>0.135523</v>
      </c>
      <c r="O37" s="499">
        <v>0.15127199999999999</v>
      </c>
      <c r="P37" s="499">
        <v>0.15249099999999999</v>
      </c>
      <c r="Q37" s="499">
        <v>0.14000399999999999</v>
      </c>
      <c r="R37" s="499">
        <v>0.126309</v>
      </c>
      <c r="S37" s="499">
        <v>0.12589600000000001</v>
      </c>
      <c r="T37" s="499">
        <v>0.111445</v>
      </c>
      <c r="U37" s="499">
        <v>0.11146300000000001</v>
      </c>
      <c r="V37" s="499">
        <v>0.107456</v>
      </c>
      <c r="W37" s="499">
        <v>0.116605</v>
      </c>
      <c r="X37" s="499">
        <v>0.11634700000000001</v>
      </c>
      <c r="Y37" s="499">
        <v>0.11666799999999999</v>
      </c>
      <c r="Z37" s="499">
        <v>0.116315</v>
      </c>
      <c r="AA37" s="499">
        <v>0.11608499999999999</v>
      </c>
      <c r="AB37" s="499">
        <v>0.111232</v>
      </c>
      <c r="AC37" s="499">
        <v>0.109651</v>
      </c>
      <c r="AD37" s="499">
        <v>0.108601</v>
      </c>
      <c r="AE37" s="499">
        <v>0.10445500000000001</v>
      </c>
      <c r="AF37" s="499">
        <v>0.108044</v>
      </c>
      <c r="AG37" s="499">
        <v>0.106026</v>
      </c>
      <c r="AH37" s="499">
        <v>0.10667500000000001</v>
      </c>
      <c r="AI37" s="499">
        <v>0.106752</v>
      </c>
      <c r="AJ37" s="499">
        <v>0.10688499999999999</v>
      </c>
      <c r="AK37" s="503">
        <v>-3.7999999999999999E-2</v>
      </c>
      <c r="AL37" s="516" t="s">
        <v>69</v>
      </c>
      <c r="AM37" s="518">
        <v>0.48877410337842397</v>
      </c>
    </row>
    <row r="38" spans="1:44" s="251" customFormat="1">
      <c r="A38" s="501" t="s">
        <v>721</v>
      </c>
      <c r="G38" s="499">
        <v>60.120468000000002</v>
      </c>
      <c r="H38" s="499">
        <v>59.136775999999998</v>
      </c>
      <c r="I38" s="499">
        <v>57.556838999999997</v>
      </c>
      <c r="J38" s="499">
        <v>59.804988999999999</v>
      </c>
      <c r="K38" s="499">
        <v>61.140937999999998</v>
      </c>
      <c r="L38" s="499">
        <v>62.739593999999997</v>
      </c>
      <c r="M38" s="499">
        <v>64.429832000000005</v>
      </c>
      <c r="N38" s="499">
        <v>64.716942000000003</v>
      </c>
      <c r="O38" s="499">
        <v>64.397835000000001</v>
      </c>
      <c r="P38" s="499">
        <v>63.041859000000002</v>
      </c>
      <c r="Q38" s="499">
        <v>62.221569000000002</v>
      </c>
      <c r="R38" s="499">
        <v>60.427760999999997</v>
      </c>
      <c r="S38" s="499">
        <v>59.087139000000001</v>
      </c>
      <c r="T38" s="499">
        <v>58.561230000000002</v>
      </c>
      <c r="U38" s="499">
        <v>58.343468000000001</v>
      </c>
      <c r="V38" s="499">
        <v>56.555762999999999</v>
      </c>
      <c r="W38" s="499">
        <v>53.923481000000002</v>
      </c>
      <c r="X38" s="499">
        <v>53.938248000000002</v>
      </c>
      <c r="Y38" s="499">
        <v>52.001984</v>
      </c>
      <c r="Z38" s="499">
        <v>52.861697999999997</v>
      </c>
      <c r="AA38" s="499">
        <v>53.639522999999997</v>
      </c>
      <c r="AB38" s="499">
        <v>55.338158</v>
      </c>
      <c r="AC38" s="499">
        <v>56.951019000000002</v>
      </c>
      <c r="AD38" s="499">
        <v>57.930798000000003</v>
      </c>
      <c r="AE38" s="499">
        <v>57.294303999999997</v>
      </c>
      <c r="AF38" s="499">
        <v>56.735844</v>
      </c>
      <c r="AG38" s="499">
        <v>56.341751000000002</v>
      </c>
      <c r="AH38" s="499">
        <v>55.824654000000002</v>
      </c>
      <c r="AI38" s="499">
        <v>55.084305000000001</v>
      </c>
      <c r="AJ38" s="499">
        <v>53.249447000000004</v>
      </c>
      <c r="AK38" s="503">
        <v>-4.0000000000000001E-3</v>
      </c>
      <c r="AL38" s="516" t="s">
        <v>76</v>
      </c>
      <c r="AM38" s="518">
        <v>0.43373715265042739</v>
      </c>
    </row>
    <row r="39" spans="1:44" s="251" customFormat="1">
      <c r="A39" s="501" t="s">
        <v>722</v>
      </c>
      <c r="G39" s="499">
        <v>34.283000999999999</v>
      </c>
      <c r="H39" s="499">
        <v>36.116000999999997</v>
      </c>
      <c r="I39" s="499">
        <v>34.966087000000002</v>
      </c>
      <c r="J39" s="499">
        <v>35.118301000000002</v>
      </c>
      <c r="K39" s="499">
        <v>31.215707999999999</v>
      </c>
      <c r="L39" s="499">
        <v>31.559362</v>
      </c>
      <c r="M39" s="499">
        <v>31.635732999999998</v>
      </c>
      <c r="N39" s="499">
        <v>31.712149</v>
      </c>
      <c r="O39" s="499">
        <v>31.788599000000001</v>
      </c>
      <c r="P39" s="499">
        <v>31.810466999999999</v>
      </c>
      <c r="Q39" s="499">
        <v>31.810469000000001</v>
      </c>
      <c r="R39" s="499">
        <v>31.810469000000001</v>
      </c>
      <c r="S39" s="499">
        <v>31.810466999999999</v>
      </c>
      <c r="T39" s="499">
        <v>31.810466999999999</v>
      </c>
      <c r="U39" s="499">
        <v>31.810466999999999</v>
      </c>
      <c r="V39" s="499">
        <v>31.810466999999999</v>
      </c>
      <c r="W39" s="499">
        <v>31.810469000000001</v>
      </c>
      <c r="X39" s="499">
        <v>31.810466999999999</v>
      </c>
      <c r="Y39" s="499">
        <v>31.810466999999999</v>
      </c>
      <c r="Z39" s="499">
        <v>31.810466999999999</v>
      </c>
      <c r="AA39" s="499">
        <v>31.810466999999999</v>
      </c>
      <c r="AB39" s="499">
        <v>31.810466999999999</v>
      </c>
      <c r="AC39" s="499">
        <v>31.810466999999999</v>
      </c>
      <c r="AD39" s="499">
        <v>31.810466999999999</v>
      </c>
      <c r="AE39" s="499">
        <v>31.810466999999999</v>
      </c>
      <c r="AF39" s="499">
        <v>31.810466999999999</v>
      </c>
      <c r="AG39" s="499">
        <v>31.810469000000001</v>
      </c>
      <c r="AH39" s="499">
        <v>31.810469000000001</v>
      </c>
      <c r="AI39" s="499">
        <v>31.810466999999999</v>
      </c>
      <c r="AJ39" s="499">
        <v>31.810466999999999</v>
      </c>
      <c r="AK39" s="503">
        <v>-5.0000000000000001E-3</v>
      </c>
      <c r="AL39" s="516" t="s">
        <v>742</v>
      </c>
      <c r="AM39" s="518">
        <v>0</v>
      </c>
    </row>
    <row r="40" spans="1:44" s="251" customFormat="1">
      <c r="A40" s="501" t="s">
        <v>723</v>
      </c>
      <c r="G40" s="499">
        <v>1.3623000000000001</v>
      </c>
      <c r="H40" s="499">
        <v>1.4923</v>
      </c>
      <c r="I40" s="499">
        <v>1.5477749999999999</v>
      </c>
      <c r="J40" s="499">
        <v>1.5477749999999999</v>
      </c>
      <c r="K40" s="499">
        <v>1.5477749999999999</v>
      </c>
      <c r="L40" s="499">
        <v>1.547776</v>
      </c>
      <c r="M40" s="499">
        <v>1.547776</v>
      </c>
      <c r="N40" s="499">
        <v>1.547776</v>
      </c>
      <c r="O40" s="499">
        <v>1.547776</v>
      </c>
      <c r="P40" s="499">
        <v>1.547776</v>
      </c>
      <c r="Q40" s="499">
        <v>1.547776</v>
      </c>
      <c r="R40" s="499">
        <v>1.5477749999999999</v>
      </c>
      <c r="S40" s="499">
        <v>1.547776</v>
      </c>
      <c r="T40" s="499">
        <v>1.547776</v>
      </c>
      <c r="U40" s="499">
        <v>1.5483530000000001</v>
      </c>
      <c r="V40" s="499">
        <v>1.548573</v>
      </c>
      <c r="W40" s="499">
        <v>1.548573</v>
      </c>
      <c r="X40" s="499">
        <v>1.54914</v>
      </c>
      <c r="Y40" s="499">
        <v>1.549266</v>
      </c>
      <c r="Z40" s="499">
        <v>1.549266</v>
      </c>
      <c r="AA40" s="499">
        <v>1.549266</v>
      </c>
      <c r="AB40" s="499">
        <v>1.549266</v>
      </c>
      <c r="AC40" s="499">
        <v>1.5496559999999999</v>
      </c>
      <c r="AD40" s="499">
        <v>1.5499160000000001</v>
      </c>
      <c r="AE40" s="499">
        <v>1.5502659999999999</v>
      </c>
      <c r="AF40" s="499">
        <v>1.550602</v>
      </c>
      <c r="AG40" s="499">
        <v>1.5508949999999999</v>
      </c>
      <c r="AH40" s="499">
        <v>1.551134</v>
      </c>
      <c r="AI40" s="499">
        <v>1.5512170000000001</v>
      </c>
      <c r="AJ40" s="499">
        <v>1.551247</v>
      </c>
      <c r="AK40" s="503">
        <v>1E-3</v>
      </c>
      <c r="AL40" s="517" t="s">
        <v>225</v>
      </c>
      <c r="AM40" s="518">
        <v>0.152936289171346</v>
      </c>
    </row>
    <row r="41" spans="1:44" s="251" customFormat="1">
      <c r="A41" s="501" t="s">
        <v>724</v>
      </c>
      <c r="G41" s="499">
        <v>14.253413</v>
      </c>
      <c r="H41" s="499">
        <v>13.395419</v>
      </c>
      <c r="I41" s="499">
        <v>13.504559</v>
      </c>
      <c r="J41" s="499">
        <v>13.761609999999999</v>
      </c>
      <c r="K41" s="499">
        <v>17.261755000000001</v>
      </c>
      <c r="L41" s="499">
        <v>20.711266999999999</v>
      </c>
      <c r="M41" s="499">
        <v>20.864622000000001</v>
      </c>
      <c r="N41" s="499">
        <v>20.936495000000001</v>
      </c>
      <c r="O41" s="499">
        <v>21.051438999999998</v>
      </c>
      <c r="P41" s="499">
        <v>21.151378999999999</v>
      </c>
      <c r="Q41" s="499">
        <v>21.574871000000002</v>
      </c>
      <c r="R41" s="499">
        <v>21.533821</v>
      </c>
      <c r="S41" s="499">
        <v>21.861111000000001</v>
      </c>
      <c r="T41" s="499">
        <v>21.878026999999999</v>
      </c>
      <c r="U41" s="499">
        <v>21.853370999999999</v>
      </c>
      <c r="V41" s="499">
        <v>21.884357000000001</v>
      </c>
      <c r="W41" s="499">
        <v>22.159044000000002</v>
      </c>
      <c r="X41" s="499">
        <v>22.700935000000001</v>
      </c>
      <c r="Y41" s="499">
        <v>22.697831999999998</v>
      </c>
      <c r="Z41" s="499">
        <v>22.681452</v>
      </c>
      <c r="AA41" s="499">
        <v>22.725404999999999</v>
      </c>
      <c r="AB41" s="499">
        <v>22.671658000000001</v>
      </c>
      <c r="AC41" s="499">
        <v>22.804096000000001</v>
      </c>
      <c r="AD41" s="499">
        <v>22.934550999999999</v>
      </c>
      <c r="AE41" s="499">
        <v>22.962858000000001</v>
      </c>
      <c r="AF41" s="499">
        <v>23.487137000000001</v>
      </c>
      <c r="AG41" s="499">
        <v>23.953323000000001</v>
      </c>
      <c r="AH41" s="499">
        <v>23.816199999999998</v>
      </c>
      <c r="AI41" s="499">
        <v>23.864515000000001</v>
      </c>
      <c r="AJ41" s="499">
        <v>23.964524999999998</v>
      </c>
      <c r="AK41" s="503">
        <v>2.1000000000000001E-2</v>
      </c>
      <c r="AL41" s="517" t="s">
        <v>378</v>
      </c>
      <c r="AM41" s="518">
        <v>0.14643325694849418</v>
      </c>
    </row>
    <row r="42" spans="1:44" s="251" customFormat="1">
      <c r="A42" s="501" t="s">
        <v>725</v>
      </c>
      <c r="G42" s="499">
        <v>0</v>
      </c>
      <c r="H42" s="499">
        <v>0</v>
      </c>
      <c r="I42" s="499">
        <v>0</v>
      </c>
      <c r="J42" s="499">
        <v>0</v>
      </c>
      <c r="K42" s="499">
        <v>0</v>
      </c>
      <c r="L42" s="499">
        <v>0</v>
      </c>
      <c r="M42" s="499">
        <v>0</v>
      </c>
      <c r="N42" s="499">
        <v>0</v>
      </c>
      <c r="O42" s="499">
        <v>0</v>
      </c>
      <c r="P42" s="499">
        <v>0</v>
      </c>
      <c r="Q42" s="499">
        <v>0</v>
      </c>
      <c r="R42" s="499">
        <v>0</v>
      </c>
      <c r="S42" s="499">
        <v>0</v>
      </c>
      <c r="T42" s="499">
        <v>0</v>
      </c>
      <c r="U42" s="499">
        <v>0</v>
      </c>
      <c r="V42" s="499">
        <v>0</v>
      </c>
      <c r="W42" s="499">
        <v>0</v>
      </c>
      <c r="X42" s="499">
        <v>0</v>
      </c>
      <c r="Y42" s="499">
        <v>0</v>
      </c>
      <c r="Z42" s="499">
        <v>0</v>
      </c>
      <c r="AA42" s="499">
        <v>0</v>
      </c>
      <c r="AB42" s="499">
        <v>0</v>
      </c>
      <c r="AC42" s="499">
        <v>0</v>
      </c>
      <c r="AD42" s="499">
        <v>0</v>
      </c>
      <c r="AE42" s="499">
        <v>0</v>
      </c>
      <c r="AF42" s="499">
        <v>0</v>
      </c>
      <c r="AG42" s="499">
        <v>0</v>
      </c>
      <c r="AH42" s="499">
        <v>0</v>
      </c>
      <c r="AI42" s="499">
        <v>0</v>
      </c>
      <c r="AJ42" s="499">
        <v>0</v>
      </c>
      <c r="AK42" s="499" t="s">
        <v>41</v>
      </c>
      <c r="AL42" s="517" t="s">
        <v>743</v>
      </c>
      <c r="AM42" s="518">
        <v>0.98765717056613567</v>
      </c>
    </row>
    <row r="43" spans="1:44" s="251" customFormat="1">
      <c r="A43" s="502" t="s">
        <v>726</v>
      </c>
      <c r="G43" s="500">
        <v>117.26564</v>
      </c>
      <c r="H43" s="500">
        <v>113.961037</v>
      </c>
      <c r="I43" s="500">
        <v>111.701019</v>
      </c>
      <c r="J43" s="500">
        <v>114.338089</v>
      </c>
      <c r="K43" s="500">
        <v>115.312698</v>
      </c>
      <c r="L43" s="500">
        <v>117.38336200000001</v>
      </c>
      <c r="M43" s="500">
        <v>120.581566</v>
      </c>
      <c r="N43" s="500">
        <v>122.806854</v>
      </c>
      <c r="O43" s="500">
        <v>123.43317399999999</v>
      </c>
      <c r="P43" s="500">
        <v>122.352295</v>
      </c>
      <c r="Q43" s="500">
        <v>122.053375</v>
      </c>
      <c r="R43" s="500">
        <v>120.280029</v>
      </c>
      <c r="S43" s="500">
        <v>119.32270800000001</v>
      </c>
      <c r="T43" s="500">
        <v>118.82589</v>
      </c>
      <c r="U43" s="500">
        <v>118.61041299999999</v>
      </c>
      <c r="V43" s="500">
        <v>116.851944</v>
      </c>
      <c r="W43" s="500">
        <v>117.21375999999999</v>
      </c>
      <c r="X43" s="500">
        <v>118.488876</v>
      </c>
      <c r="Y43" s="500">
        <v>116.675499</v>
      </c>
      <c r="Z43" s="500">
        <v>117.567474</v>
      </c>
      <c r="AA43" s="500">
        <v>118.34326900000001</v>
      </c>
      <c r="AB43" s="500">
        <v>119.024811</v>
      </c>
      <c r="AC43" s="500">
        <v>120.638428</v>
      </c>
      <c r="AD43" s="500">
        <v>121.46553</v>
      </c>
      <c r="AE43" s="500">
        <v>120.683136</v>
      </c>
      <c r="AF43" s="500">
        <v>121.613022</v>
      </c>
      <c r="AG43" s="500">
        <v>121.55729700000001</v>
      </c>
      <c r="AH43" s="500">
        <v>121.068832</v>
      </c>
      <c r="AI43" s="500">
        <v>120.380112</v>
      </c>
      <c r="AJ43" s="500">
        <v>118.642754</v>
      </c>
      <c r="AK43" s="504">
        <v>1E-3</v>
      </c>
      <c r="AL43" s="517" t="s">
        <v>744</v>
      </c>
      <c r="AM43" s="518">
        <v>0.40892997191371705</v>
      </c>
    </row>
    <row r="44" spans="1:44" s="251" customFormat="1">
      <c r="A44" s="250"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9" t="s">
        <v>58</v>
      </c>
      <c r="AM44" s="518">
        <v>0.33695586698229096</v>
      </c>
    </row>
    <row r="45" spans="1:44" s="251" customFormat="1">
      <c r="A45" s="250"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1" customFormat="1">
      <c r="A46" s="250"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3" customFormat="1">
      <c r="B47" s="364" t="s">
        <v>7</v>
      </c>
      <c r="C47" s="364" t="s">
        <v>8</v>
      </c>
      <c r="D47" s="364" t="s">
        <v>9</v>
      </c>
      <c r="E47" s="364" t="s">
        <v>10</v>
      </c>
      <c r="F47" s="364" t="s">
        <v>11</v>
      </c>
      <c r="G47" s="323" t="s">
        <v>12</v>
      </c>
      <c r="H47" s="323" t="s">
        <v>13</v>
      </c>
      <c r="I47" s="323" t="s">
        <v>14</v>
      </c>
      <c r="J47" s="323" t="s">
        <v>15</v>
      </c>
      <c r="K47" s="323" t="s">
        <v>16</v>
      </c>
      <c r="L47" s="323" t="s">
        <v>17</v>
      </c>
      <c r="M47" s="323" t="s">
        <v>18</v>
      </c>
      <c r="N47" s="323" t="s">
        <v>19</v>
      </c>
      <c r="O47" s="323" t="s">
        <v>20</v>
      </c>
      <c r="P47" s="323" t="s">
        <v>21</v>
      </c>
      <c r="Q47" s="323" t="s">
        <v>22</v>
      </c>
      <c r="R47" s="323" t="s">
        <v>23</v>
      </c>
      <c r="S47" s="323" t="s">
        <v>24</v>
      </c>
      <c r="T47" s="323" t="s">
        <v>25</v>
      </c>
      <c r="U47" s="323" t="s">
        <v>26</v>
      </c>
      <c r="V47" s="323" t="s">
        <v>27</v>
      </c>
      <c r="W47" s="323" t="s">
        <v>28</v>
      </c>
      <c r="X47" s="323" t="s">
        <v>29</v>
      </c>
      <c r="Y47" s="323" t="s">
        <v>30</v>
      </c>
      <c r="Z47" s="323" t="s">
        <v>31</v>
      </c>
      <c r="AA47" s="323" t="s">
        <v>581</v>
      </c>
      <c r="AB47" s="323" t="s">
        <v>582</v>
      </c>
      <c r="AC47" s="323" t="s">
        <v>583</v>
      </c>
      <c r="AD47" s="323" t="s">
        <v>584</v>
      </c>
      <c r="AE47" s="323" t="s">
        <v>585</v>
      </c>
      <c r="AF47" s="323" t="s">
        <v>586</v>
      </c>
      <c r="AG47" s="323" t="s">
        <v>587</v>
      </c>
      <c r="AH47" s="323" t="s">
        <v>588</v>
      </c>
      <c r="AI47" s="323" t="s">
        <v>589</v>
      </c>
      <c r="AJ47" s="323" t="s">
        <v>590</v>
      </c>
      <c r="AK47" s="323" t="s">
        <v>593</v>
      </c>
    </row>
    <row r="48" spans="1:44" s="255" customFormat="1">
      <c r="A48" s="254" t="s">
        <v>749</v>
      </c>
      <c r="B48" s="365"/>
      <c r="C48" s="365"/>
      <c r="D48" s="365"/>
      <c r="E48" s="365"/>
      <c r="F48" s="365"/>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M48" s="255" t="s">
        <v>746</v>
      </c>
      <c r="AN48" s="255">
        <v>2006</v>
      </c>
      <c r="AO48" s="255">
        <v>2007</v>
      </c>
      <c r="AP48" s="255">
        <v>2008</v>
      </c>
      <c r="AQ48" s="255">
        <v>2009</v>
      </c>
      <c r="AR48" s="255">
        <v>2010</v>
      </c>
    </row>
    <row r="49" spans="1:44" s="255" customFormat="1">
      <c r="A49" s="254" t="s">
        <v>68</v>
      </c>
      <c r="B49" s="505">
        <f>AN51</f>
        <v>11.138</v>
      </c>
      <c r="C49" s="505">
        <f t="shared" ref="C49:F49" si="0">AO51</f>
        <v>12.023999999999999</v>
      </c>
      <c r="D49" s="505">
        <f t="shared" si="0"/>
        <v>10.629</v>
      </c>
      <c r="E49" s="505">
        <f t="shared" si="0"/>
        <v>9.0280000000000005</v>
      </c>
      <c r="F49" s="505">
        <f t="shared" si="0"/>
        <v>8.3059999999999992</v>
      </c>
      <c r="G49" s="533">
        <f t="shared" ref="G49:AJ49" si="1">G36*$AM36</f>
        <v>3.9795551947314083</v>
      </c>
      <c r="H49" s="484">
        <f t="shared" si="1"/>
        <v>2.0652800691612363</v>
      </c>
      <c r="I49" s="484">
        <f t="shared" si="1"/>
        <v>2.2447896438281392</v>
      </c>
      <c r="J49" s="484">
        <f t="shared" si="1"/>
        <v>2.233173742934869</v>
      </c>
      <c r="K49" s="484">
        <f t="shared" si="1"/>
        <v>2.2550677418280696</v>
      </c>
      <c r="L49" s="484">
        <f t="shared" si="1"/>
        <v>0.30582940284368476</v>
      </c>
      <c r="M49" s="484">
        <f t="shared" si="1"/>
        <v>1.1652139439486418</v>
      </c>
      <c r="N49" s="484">
        <f t="shared" si="1"/>
        <v>2.2147256178378609</v>
      </c>
      <c r="O49" s="484">
        <f t="shared" si="1"/>
        <v>2.6498262659904177</v>
      </c>
      <c r="P49" s="484">
        <f t="shared" si="1"/>
        <v>2.7394407902892373</v>
      </c>
      <c r="Q49" s="484">
        <f t="shared" si="1"/>
        <v>2.8044833525462507</v>
      </c>
      <c r="R49" s="484">
        <f t="shared" si="1"/>
        <v>2.8488100075328768</v>
      </c>
      <c r="S49" s="484">
        <f t="shared" si="1"/>
        <v>2.8820605975074223</v>
      </c>
      <c r="T49" s="484">
        <f t="shared" si="1"/>
        <v>2.8977517878312837</v>
      </c>
      <c r="U49" s="484">
        <f t="shared" si="1"/>
        <v>2.9132809095226921</v>
      </c>
      <c r="V49" s="484">
        <f t="shared" si="1"/>
        <v>2.9144755026789917</v>
      </c>
      <c r="W49" s="484">
        <f t="shared" si="1"/>
        <v>4.5117449725115177</v>
      </c>
      <c r="X49" s="484">
        <f t="shared" si="1"/>
        <v>4.934985732811402</v>
      </c>
      <c r="Y49" s="484">
        <f t="shared" si="1"/>
        <v>5.0089721262178966</v>
      </c>
      <c r="Z49" s="484">
        <f t="shared" si="1"/>
        <v>5.0378468631162105</v>
      </c>
      <c r="AA49" s="484">
        <f t="shared" si="1"/>
        <v>5.0108863041022875</v>
      </c>
      <c r="AB49" s="484">
        <f t="shared" si="1"/>
        <v>4.4460093458480872</v>
      </c>
      <c r="AC49" s="484">
        <f t="shared" si="1"/>
        <v>4.3691068957384021</v>
      </c>
      <c r="AD49" s="484">
        <f t="shared" si="1"/>
        <v>4.2027083787667081</v>
      </c>
      <c r="AE49" s="484">
        <f t="shared" si="1"/>
        <v>4.1022770992677327</v>
      </c>
      <c r="AF49" s="484">
        <f t="shared" si="1"/>
        <v>4.6681264693166504</v>
      </c>
      <c r="AG49" s="484">
        <f t="shared" si="1"/>
        <v>4.5938106345809153</v>
      </c>
      <c r="AH49" s="484">
        <f t="shared" si="1"/>
        <v>4.690976378471083</v>
      </c>
      <c r="AI49" s="484">
        <f t="shared" si="1"/>
        <v>4.6928316223073088</v>
      </c>
      <c r="AJ49" s="484">
        <f t="shared" si="1"/>
        <v>4.6912610299237185</v>
      </c>
      <c r="AK49"/>
    </row>
    <row r="50" spans="1:44" s="255" customFormat="1">
      <c r="A50" s="254" t="s">
        <v>69</v>
      </c>
      <c r="B50" s="505">
        <f t="shared" ref="B50:B51" si="2">AN52</f>
        <v>2.3279999999999998</v>
      </c>
      <c r="C50" s="505">
        <f t="shared" ref="C50:C51" si="3">AO52</f>
        <v>3.052</v>
      </c>
      <c r="D50" s="505">
        <f t="shared" ref="D50:D51" si="4">AP52</f>
        <v>2.1080000000000001</v>
      </c>
      <c r="E50" s="505">
        <f t="shared" ref="E50:E51" si="5">AQ52</f>
        <v>0.89700000000000002</v>
      </c>
      <c r="F50" s="505">
        <f t="shared" ref="F50:F51" si="6">AR52</f>
        <v>0.29599999999999999</v>
      </c>
      <c r="G50" s="484">
        <f t="shared" ref="G50:AJ50" si="7">G37*$AM37</f>
        <v>0.24140601843270698</v>
      </c>
      <c r="H50" s="484">
        <f t="shared" si="7"/>
        <v>0.15452544400898538</v>
      </c>
      <c r="I50" s="484">
        <f t="shared" si="7"/>
        <v>0.15482652885666648</v>
      </c>
      <c r="J50" s="484">
        <f t="shared" si="7"/>
        <v>0.1545176236233313</v>
      </c>
      <c r="K50" s="484">
        <f t="shared" si="7"/>
        <v>0.15645268029860648</v>
      </c>
      <c r="L50" s="484">
        <f t="shared" si="7"/>
        <v>0.14977407095004369</v>
      </c>
      <c r="M50" s="484">
        <f t="shared" si="7"/>
        <v>6.1805974146305093E-2</v>
      </c>
      <c r="N50" s="484">
        <f t="shared" si="7"/>
        <v>6.6240132812154157E-2</v>
      </c>
      <c r="O50" s="484">
        <f t="shared" si="7"/>
        <v>7.3937836166260942E-2</v>
      </c>
      <c r="P50" s="484">
        <f t="shared" si="7"/>
        <v>7.4533651798279241E-2</v>
      </c>
      <c r="Q50" s="484">
        <f t="shared" si="7"/>
        <v>6.8430329569392864E-2</v>
      </c>
      <c r="R50" s="484">
        <f t="shared" si="7"/>
        <v>6.1736568223625353E-2</v>
      </c>
      <c r="S50" s="484">
        <f t="shared" si="7"/>
        <v>6.1534704518930068E-2</v>
      </c>
      <c r="T50" s="484">
        <f t="shared" si="7"/>
        <v>5.4471429951008461E-2</v>
      </c>
      <c r="U50" s="484">
        <f t="shared" si="7"/>
        <v>5.4480227884869274E-2</v>
      </c>
      <c r="V50" s="484">
        <f t="shared" si="7"/>
        <v>5.2521710052631926E-2</v>
      </c>
      <c r="W50" s="484">
        <f t="shared" si="7"/>
        <v>5.6993504324441127E-2</v>
      </c>
      <c r="X50" s="484">
        <f t="shared" si="7"/>
        <v>5.6867400605769496E-2</v>
      </c>
      <c r="Y50" s="484">
        <f t="shared" si="7"/>
        <v>5.7024297092953966E-2</v>
      </c>
      <c r="Z50" s="484">
        <f t="shared" si="7"/>
        <v>5.6851759834461384E-2</v>
      </c>
      <c r="AA50" s="484">
        <f t="shared" si="7"/>
        <v>5.6739341790684343E-2</v>
      </c>
      <c r="AB50" s="484">
        <f t="shared" si="7"/>
        <v>5.4367321066988855E-2</v>
      </c>
      <c r="AC50" s="484">
        <f t="shared" si="7"/>
        <v>5.3594569209547568E-2</v>
      </c>
      <c r="AD50" s="484">
        <f t="shared" si="7"/>
        <v>5.3081356401000222E-2</v>
      </c>
      <c r="AE50" s="484">
        <f t="shared" si="7"/>
        <v>5.1054898968393277E-2</v>
      </c>
      <c r="AF50" s="484">
        <f t="shared" si="7"/>
        <v>5.2809109225418441E-2</v>
      </c>
      <c r="AG50" s="484">
        <f t="shared" si="7"/>
        <v>5.1822763084800778E-2</v>
      </c>
      <c r="AH50" s="484">
        <f t="shared" si="7"/>
        <v>5.2139977477893382E-2</v>
      </c>
      <c r="AI50" s="484">
        <f t="shared" si="7"/>
        <v>5.2177613083853519E-2</v>
      </c>
      <c r="AJ50" s="484">
        <f t="shared" si="7"/>
        <v>5.2242620039602845E-2</v>
      </c>
      <c r="AK50"/>
      <c r="AM50" s="255" t="s">
        <v>747</v>
      </c>
      <c r="AN50" s="255">
        <v>36.773000000000003</v>
      </c>
      <c r="AO50" s="255">
        <v>40.000999999999998</v>
      </c>
      <c r="AP50" s="255">
        <v>34.250999999999998</v>
      </c>
      <c r="AQ50" s="255">
        <v>30.913</v>
      </c>
      <c r="AR50" s="255">
        <v>34.183</v>
      </c>
    </row>
    <row r="51" spans="1:44" s="255" customFormat="1">
      <c r="A51" s="254" t="s">
        <v>76</v>
      </c>
      <c r="B51" s="505">
        <f t="shared" si="2"/>
        <v>23.306999999999999</v>
      </c>
      <c r="C51" s="505">
        <f t="shared" si="3"/>
        <v>24.925000000000001</v>
      </c>
      <c r="D51" s="505">
        <f t="shared" si="4"/>
        <v>21.513999999999999</v>
      </c>
      <c r="E51" s="505">
        <f t="shared" si="5"/>
        <v>20.988</v>
      </c>
      <c r="F51" s="505">
        <f t="shared" si="6"/>
        <v>25.582000000000001</v>
      </c>
      <c r="G51" s="484">
        <f t="shared" ref="G51:AJ51" si="8">G38*$AM38</f>
        <v>26.076480606331135</v>
      </c>
      <c r="H51" s="484">
        <f t="shared" si="8"/>
        <v>25.649816839166132</v>
      </c>
      <c r="I51" s="484">
        <f t="shared" si="8"/>
        <v>24.964539463419072</v>
      </c>
      <c r="J51" s="484">
        <f t="shared" si="8"/>
        <v>25.939645643150129</v>
      </c>
      <c r="K51" s="484">
        <f t="shared" si="8"/>
        <v>26.519096358496316</v>
      </c>
      <c r="L51" s="484">
        <f t="shared" si="8"/>
        <v>27.212492860003838</v>
      </c>
      <c r="M51" s="484">
        <f t="shared" si="8"/>
        <v>27.945611877425392</v>
      </c>
      <c r="N51" s="484">
        <f t="shared" si="8"/>
        <v>28.070142151322859</v>
      </c>
      <c r="O51" s="484">
        <f t="shared" si="8"/>
        <v>27.931733589752035</v>
      </c>
      <c r="P51" s="484">
        <f t="shared" si="8"/>
        <v>27.343596420449721</v>
      </c>
      <c r="Q51" s="484">
        <f t="shared" si="8"/>
        <v>26.9878061715021</v>
      </c>
      <c r="R51" s="484">
        <f t="shared" si="8"/>
        <v>26.209764997180542</v>
      </c>
      <c r="S51" s="484">
        <f t="shared" si="8"/>
        <v>25.628287428120021</v>
      </c>
      <c r="T51" s="484">
        <f t="shared" si="8"/>
        <v>25.40018115590679</v>
      </c>
      <c r="U51" s="484">
        <f t="shared" si="8"/>
        <v>25.305729686071327</v>
      </c>
      <c r="V51" s="484">
        <f t="shared" si="8"/>
        <v>24.530335609592392</v>
      </c>
      <c r="W51" s="484">
        <f t="shared" si="8"/>
        <v>23.388617109939421</v>
      </c>
      <c r="X51" s="484">
        <f t="shared" si="8"/>
        <v>23.395022106472609</v>
      </c>
      <c r="Y51" s="484">
        <f t="shared" si="8"/>
        <v>22.555192472333083</v>
      </c>
      <c r="Z51" s="484">
        <f t="shared" si="8"/>
        <v>22.92808237478679</v>
      </c>
      <c r="AA51" s="484">
        <f t="shared" si="8"/>
        <v>23.265453975547111</v>
      </c>
      <c r="AB51" s="484">
        <f t="shared" si="8"/>
        <v>24.00221508383947</v>
      </c>
      <c r="AC51" s="484">
        <f t="shared" si="8"/>
        <v>24.701772821600393</v>
      </c>
      <c r="AD51" s="484">
        <f t="shared" si="8"/>
        <v>25.126739375287077</v>
      </c>
      <c r="AE51" s="484">
        <f t="shared" si="8"/>
        <v>24.850668280047991</v>
      </c>
      <c r="AF51" s="484">
        <f t="shared" si="8"/>
        <v>24.608443429778834</v>
      </c>
      <c r="AG51" s="484">
        <f t="shared" si="8"/>
        <v>24.437510654079372</v>
      </c>
      <c r="AH51" s="484">
        <f t="shared" si="8"/>
        <v>24.213226473655293</v>
      </c>
      <c r="AI51" s="484">
        <f t="shared" si="8"/>
        <v>23.892109606427702</v>
      </c>
      <c r="AJ51" s="484">
        <f t="shared" si="8"/>
        <v>23.096263521989844</v>
      </c>
      <c r="AK51"/>
      <c r="AM51" s="255" t="s">
        <v>68</v>
      </c>
      <c r="AN51" s="255">
        <v>11.138</v>
      </c>
      <c r="AO51" s="255">
        <v>12.023999999999999</v>
      </c>
      <c r="AP51" s="255">
        <v>10.629</v>
      </c>
      <c r="AQ51" s="255">
        <v>9.0280000000000005</v>
      </c>
      <c r="AR51" s="255">
        <v>8.3059999999999992</v>
      </c>
    </row>
    <row r="52" spans="1:44" s="255" customFormat="1">
      <c r="A52" s="254" t="s">
        <v>71</v>
      </c>
      <c r="B52" s="506">
        <f>AN55</f>
        <v>5.83</v>
      </c>
      <c r="C52" s="506">
        <f t="shared" ref="C52:F52" si="9">AO55</f>
        <v>5.12</v>
      </c>
      <c r="D52" s="506">
        <f t="shared" si="9"/>
        <v>5.8689999999999998</v>
      </c>
      <c r="E52" s="506">
        <f t="shared" si="9"/>
        <v>5.3959999999999999</v>
      </c>
      <c r="F52" s="506">
        <f t="shared" si="9"/>
        <v>5.9180000000000001</v>
      </c>
      <c r="G52" s="484">
        <f>G39*$AM40</f>
        <v>5.2431149545975435</v>
      </c>
      <c r="H52" s="484">
        <f t="shared" ref="H52:AJ52" si="10">H39*$AM40</f>
        <v>5.5234471726486207</v>
      </c>
      <c r="I52" s="484">
        <f t="shared" si="10"/>
        <v>5.347583592622442</v>
      </c>
      <c r="J52" s="484">
        <f t="shared" si="10"/>
        <v>5.3708626369423698</v>
      </c>
      <c r="K52" s="484">
        <f t="shared" si="10"/>
        <v>4.7740145453762981</v>
      </c>
      <c r="L52" s="484">
        <f t="shared" si="10"/>
        <v>4.8265717128951886</v>
      </c>
      <c r="M52" s="484">
        <f t="shared" si="10"/>
        <v>4.8382516102354929</v>
      </c>
      <c r="N52" s="484">
        <f t="shared" si="10"/>
        <v>4.8499383897088109</v>
      </c>
      <c r="O52" s="484">
        <f t="shared" si="10"/>
        <v>4.8616303690159608</v>
      </c>
      <c r="P52" s="484">
        <f t="shared" si="10"/>
        <v>4.8649747797875591</v>
      </c>
      <c r="Q52" s="484">
        <f t="shared" si="10"/>
        <v>4.8649750856601379</v>
      </c>
      <c r="R52" s="484">
        <f t="shared" si="10"/>
        <v>4.8649750856601379</v>
      </c>
      <c r="S52" s="484">
        <f t="shared" si="10"/>
        <v>4.8649747797875591</v>
      </c>
      <c r="T52" s="484">
        <f t="shared" si="10"/>
        <v>4.8649747797875591</v>
      </c>
      <c r="U52" s="484">
        <f t="shared" si="10"/>
        <v>4.8649747797875591</v>
      </c>
      <c r="V52" s="484">
        <f t="shared" si="10"/>
        <v>4.8649747797875591</v>
      </c>
      <c r="W52" s="484">
        <f t="shared" si="10"/>
        <v>4.8649750856601379</v>
      </c>
      <c r="X52" s="484">
        <f t="shared" si="10"/>
        <v>4.8649747797875591</v>
      </c>
      <c r="Y52" s="484">
        <f t="shared" si="10"/>
        <v>4.8649747797875591</v>
      </c>
      <c r="Z52" s="484">
        <f t="shared" si="10"/>
        <v>4.8649747797875591</v>
      </c>
      <c r="AA52" s="484">
        <f t="shared" si="10"/>
        <v>4.8649747797875591</v>
      </c>
      <c r="AB52" s="484">
        <f t="shared" si="10"/>
        <v>4.8649747797875591</v>
      </c>
      <c r="AC52" s="484">
        <f t="shared" si="10"/>
        <v>4.8649747797875591</v>
      </c>
      <c r="AD52" s="484">
        <f t="shared" si="10"/>
        <v>4.8649747797875591</v>
      </c>
      <c r="AE52" s="484">
        <f t="shared" si="10"/>
        <v>4.8649747797875591</v>
      </c>
      <c r="AF52" s="484">
        <f t="shared" si="10"/>
        <v>4.8649747797875591</v>
      </c>
      <c r="AG52" s="484">
        <f t="shared" si="10"/>
        <v>4.8649750856601379</v>
      </c>
      <c r="AH52" s="484">
        <f t="shared" si="10"/>
        <v>4.8649750856601379</v>
      </c>
      <c r="AI52" s="484">
        <f t="shared" si="10"/>
        <v>4.8649747797875591</v>
      </c>
      <c r="AJ52" s="484">
        <f t="shared" si="10"/>
        <v>4.8649747797875591</v>
      </c>
      <c r="AK52"/>
      <c r="AM52" s="255" t="s">
        <v>69</v>
      </c>
      <c r="AN52" s="255">
        <v>2.3279999999999998</v>
      </c>
      <c r="AO52" s="255">
        <v>3.052</v>
      </c>
      <c r="AP52" s="255">
        <v>2.1080000000000001</v>
      </c>
      <c r="AQ52" s="255">
        <v>0.89700000000000002</v>
      </c>
      <c r="AR52" s="255">
        <v>0.29599999999999999</v>
      </c>
    </row>
    <row r="53" spans="1:44" s="255" customFormat="1">
      <c r="A53" s="254" t="s">
        <v>326</v>
      </c>
      <c r="B53" s="507"/>
      <c r="C53" s="507"/>
      <c r="D53" s="507"/>
      <c r="E53" s="507"/>
      <c r="F53" s="507"/>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c r="AM53" s="255" t="s">
        <v>76</v>
      </c>
      <c r="AN53" s="255">
        <v>23.306999999999999</v>
      </c>
      <c r="AO53" s="255">
        <v>24.925000000000001</v>
      </c>
      <c r="AP53" s="255">
        <v>21.513999999999999</v>
      </c>
      <c r="AQ53" s="255">
        <v>20.988</v>
      </c>
      <c r="AR53" s="255">
        <v>25.582000000000001</v>
      </c>
    </row>
    <row r="54" spans="1:44" s="255" customFormat="1">
      <c r="A54" s="254" t="s">
        <v>627</v>
      </c>
      <c r="B54" s="506">
        <f>AN56</f>
        <v>2.7909999999999999</v>
      </c>
      <c r="C54" s="506">
        <f t="shared" ref="C54:F54" si="11">AO56</f>
        <v>2.0379999999999998</v>
      </c>
      <c r="D54" s="506">
        <f t="shared" si="11"/>
        <v>2.411</v>
      </c>
      <c r="E54" s="506">
        <f t="shared" si="11"/>
        <v>2.4300000000000002</v>
      </c>
      <c r="F54" s="506">
        <f t="shared" si="11"/>
        <v>2.27</v>
      </c>
      <c r="G54" s="484">
        <f>EIA_RE_aeo2014!G79</f>
        <v>2.5008990371746922</v>
      </c>
      <c r="H54" s="484">
        <f>EIA_RE_aeo2014!H79</f>
        <v>2.4120519764205062</v>
      </c>
      <c r="I54" s="484">
        <f>EIA_RE_aeo2014!I79</f>
        <v>2.4502444056312984</v>
      </c>
      <c r="J54" s="484">
        <f>EIA_RE_aeo2014!J79</f>
        <v>2.5148435833673832</v>
      </c>
      <c r="K54" s="484">
        <f>EIA_RE_aeo2014!K79</f>
        <v>3.0681275871546019</v>
      </c>
      <c r="L54" s="484">
        <f>EIA_RE_aeo2014!L79</f>
        <v>3.6126026055035689</v>
      </c>
      <c r="M54" s="484">
        <f>EIA_RE_aeo2014!M79</f>
        <v>3.64408458428144</v>
      </c>
      <c r="N54" s="484">
        <f>EIA_RE_aeo2014!N79</f>
        <v>3.6611730525008155</v>
      </c>
      <c r="O54" s="484">
        <f>EIA_RE_aeo2014!O79</f>
        <v>3.6864056991718952</v>
      </c>
      <c r="P54" s="484">
        <f>EIA_RE_aeo2014!P79</f>
        <v>3.7116859366514832</v>
      </c>
      <c r="Q54" s="484">
        <f>EIA_RE_aeo2014!Q79</f>
        <v>3.7858882073782509</v>
      </c>
      <c r="R54" s="484">
        <f>EIA_RE_aeo2014!R79</f>
        <v>3.7918364727087552</v>
      </c>
      <c r="S54" s="484">
        <f>EIA_RE_aeo2014!S79</f>
        <v>3.8522564452915309</v>
      </c>
      <c r="T54" s="484">
        <f>EIA_RE_aeo2014!T79</f>
        <v>3.8689559867804504</v>
      </c>
      <c r="U54" s="484">
        <f>EIA_RE_aeo2014!U79</f>
        <v>3.8807580679907283</v>
      </c>
      <c r="V54" s="484">
        <f>EIA_RE_aeo2014!V79</f>
        <v>3.9029763860675235</v>
      </c>
      <c r="W54" s="484">
        <f>EIA_RE_aeo2014!W79</f>
        <v>3.9601243075237846</v>
      </c>
      <c r="X54" s="484">
        <f>EIA_RE_aeo2014!X79</f>
        <v>4.0565320102007361</v>
      </c>
      <c r="Y54" s="484">
        <f>EIA_RE_aeo2014!Y79</f>
        <v>4.0735642480494425</v>
      </c>
      <c r="Z54" s="484">
        <f>EIA_RE_aeo2014!Z79</f>
        <v>4.0904859287891542</v>
      </c>
      <c r="AA54" s="484">
        <f>EIA_RE_aeo2014!AA79</f>
        <v>4.1169134708369333</v>
      </c>
      <c r="AB54" s="484">
        <f>EIA_RE_aeo2014!AB79</f>
        <v>4.1273818379429237</v>
      </c>
      <c r="AC54" s="484">
        <f>EIA_RE_aeo2014!AC79</f>
        <v>4.1663178552325011</v>
      </c>
      <c r="AD54" s="484">
        <f>EIA_RE_aeo2014!AD79</f>
        <v>4.206379358534984</v>
      </c>
      <c r="AE54" s="484">
        <f>EIA_RE_aeo2014!AE79</f>
        <v>4.2306547710053914</v>
      </c>
      <c r="AF54" s="484">
        <f>EIA_RE_aeo2014!AF79</f>
        <v>4.3281002461743361</v>
      </c>
      <c r="AG54" s="484">
        <f>EIA_RE_aeo2014!AG79</f>
        <v>4.4187460930568783</v>
      </c>
      <c r="AH54" s="484">
        <f>EIA_RE_aeo2014!AH79</f>
        <v>4.4224637405842868</v>
      </c>
      <c r="AI54" s="484">
        <f>EIA_RE_aeo2014!AI79</f>
        <v>4.4554456352130805</v>
      </c>
      <c r="AJ54" s="484">
        <f>EIA_RE_aeo2014!AJ79</f>
        <v>4.4966841690349151</v>
      </c>
      <c r="AK54"/>
      <c r="AM54" s="255" t="s">
        <v>742</v>
      </c>
      <c r="AN54" s="255">
        <v>0</v>
      </c>
      <c r="AO54" s="255">
        <v>0</v>
      </c>
      <c r="AP54" s="255">
        <v>0</v>
      </c>
      <c r="AQ54" s="255">
        <v>0</v>
      </c>
      <c r="AR54" s="255">
        <v>0</v>
      </c>
    </row>
    <row r="55" spans="1:44" s="255" customFormat="1">
      <c r="A55" s="254" t="s">
        <v>628</v>
      </c>
      <c r="B55" s="506">
        <f>AN58</f>
        <v>0.78200000000000003</v>
      </c>
      <c r="C55" s="506">
        <f t="shared" ref="C55:F55" si="12">AO58</f>
        <v>0.748</v>
      </c>
      <c r="D55" s="506">
        <f t="shared" si="12"/>
        <v>0.77300000000000002</v>
      </c>
      <c r="E55" s="506">
        <f t="shared" si="12"/>
        <v>0.76100000000000001</v>
      </c>
      <c r="F55" s="506">
        <f t="shared" si="12"/>
        <v>0.77100000000000002</v>
      </c>
      <c r="G55" s="484">
        <f>G40*$AM43</f>
        <v>0.55708530073805673</v>
      </c>
      <c r="H55" s="484">
        <f t="shared" ref="H55:AJ55" si="13">H40*$AM43</f>
        <v>0.61024619708683991</v>
      </c>
      <c r="I55" s="484">
        <f t="shared" si="13"/>
        <v>0.63293158727875332</v>
      </c>
      <c r="J55" s="484">
        <f t="shared" si="13"/>
        <v>0.63293158727875332</v>
      </c>
      <c r="K55" s="484">
        <f t="shared" si="13"/>
        <v>0.63293158727875332</v>
      </c>
      <c r="L55" s="484">
        <f t="shared" si="13"/>
        <v>0.63293199620872531</v>
      </c>
      <c r="M55" s="484">
        <f t="shared" si="13"/>
        <v>0.63293199620872531</v>
      </c>
      <c r="N55" s="484">
        <f t="shared" si="13"/>
        <v>0.63293199620872531</v>
      </c>
      <c r="O55" s="484">
        <f t="shared" si="13"/>
        <v>0.63293199620872531</v>
      </c>
      <c r="P55" s="484">
        <f t="shared" si="13"/>
        <v>0.63293199620872531</v>
      </c>
      <c r="Q55" s="484">
        <f t="shared" si="13"/>
        <v>0.63293199620872531</v>
      </c>
      <c r="R55" s="484">
        <f t="shared" si="13"/>
        <v>0.63293158727875332</v>
      </c>
      <c r="S55" s="484">
        <f t="shared" si="13"/>
        <v>0.63293199620872531</v>
      </c>
      <c r="T55" s="484">
        <f t="shared" si="13"/>
        <v>0.63293199620872531</v>
      </c>
      <c r="U55" s="484">
        <f t="shared" si="13"/>
        <v>0.63316794880251959</v>
      </c>
      <c r="V55" s="484">
        <f t="shared" si="13"/>
        <v>0.63325791339634052</v>
      </c>
      <c r="W55" s="484">
        <f t="shared" si="13"/>
        <v>0.63325791339634052</v>
      </c>
      <c r="X55" s="484">
        <f t="shared" si="13"/>
        <v>0.63348977669041562</v>
      </c>
      <c r="Y55" s="484">
        <f t="shared" si="13"/>
        <v>0.63354130186687674</v>
      </c>
      <c r="Z55" s="484">
        <f t="shared" si="13"/>
        <v>0.63354130186687674</v>
      </c>
      <c r="AA55" s="484">
        <f t="shared" si="13"/>
        <v>0.63354130186687674</v>
      </c>
      <c r="AB55" s="484">
        <f t="shared" si="13"/>
        <v>0.63354130186687674</v>
      </c>
      <c r="AC55" s="484">
        <f t="shared" si="13"/>
        <v>0.63370078455592305</v>
      </c>
      <c r="AD55" s="484">
        <f t="shared" si="13"/>
        <v>0.6338071063486207</v>
      </c>
      <c r="AE55" s="484">
        <f t="shared" si="13"/>
        <v>0.6339502318387904</v>
      </c>
      <c r="AF55" s="484">
        <f t="shared" si="13"/>
        <v>0.6340876323093535</v>
      </c>
      <c r="AG55" s="484">
        <f t="shared" si="13"/>
        <v>0.63420744879112412</v>
      </c>
      <c r="AH55" s="484">
        <f t="shared" si="13"/>
        <v>0.63430518305441164</v>
      </c>
      <c r="AI55" s="484">
        <f t="shared" si="13"/>
        <v>0.6343391242420805</v>
      </c>
      <c r="AJ55" s="484">
        <f t="shared" si="13"/>
        <v>0.63435139214123781</v>
      </c>
      <c r="AK55"/>
      <c r="AM55" s="255" t="s">
        <v>225</v>
      </c>
      <c r="AN55" s="255">
        <v>5.83</v>
      </c>
      <c r="AO55" s="255">
        <v>5.12</v>
      </c>
      <c r="AP55" s="255">
        <v>5.8689999999999998</v>
      </c>
      <c r="AQ55" s="255">
        <v>5.3959999999999999</v>
      </c>
      <c r="AR55" s="255">
        <v>5.9180000000000001</v>
      </c>
    </row>
    <row r="56" spans="1:44" s="255" customFormat="1">
      <c r="A56" s="254" t="s">
        <v>82</v>
      </c>
      <c r="B56" s="506">
        <f>AN59</f>
        <v>45.597999999999999</v>
      </c>
      <c r="C56" s="506">
        <f t="shared" ref="C56" si="14">AO59</f>
        <v>47.076000000000001</v>
      </c>
      <c r="D56" s="506">
        <f t="shared" ref="D56" si="15">AP59</f>
        <v>42.505000000000003</v>
      </c>
      <c r="E56" s="506">
        <f t="shared" ref="E56" si="16">AQ59</f>
        <v>38.966999999999999</v>
      </c>
      <c r="F56" s="506">
        <f t="shared" ref="F56" si="17">AR59</f>
        <v>42.805</v>
      </c>
      <c r="G56" s="522">
        <f>G58</f>
        <v>38.598541112005542</v>
      </c>
      <c r="H56" s="522">
        <f t="shared" ref="H56:AJ56" si="18">H58</f>
        <v>36.415367698492318</v>
      </c>
      <c r="I56" s="522">
        <f t="shared" si="18"/>
        <v>35.794915221636366</v>
      </c>
      <c r="J56" s="522">
        <f t="shared" si="18"/>
        <v>36.845974817296835</v>
      </c>
      <c r="K56" s="522">
        <f t="shared" si="18"/>
        <v>37.405690500432641</v>
      </c>
      <c r="L56" s="522">
        <f t="shared" si="18"/>
        <v>36.740202648405052</v>
      </c>
      <c r="M56" s="522">
        <f t="shared" si="18"/>
        <v>38.287899986245996</v>
      </c>
      <c r="N56" s="522">
        <f t="shared" si="18"/>
        <v>39.495151340391224</v>
      </c>
      <c r="O56" s="522">
        <f t="shared" si="18"/>
        <v>39.836465756305294</v>
      </c>
      <c r="P56" s="522">
        <f t="shared" si="18"/>
        <v>39.36716357518501</v>
      </c>
      <c r="Q56" s="522">
        <f t="shared" si="18"/>
        <v>39.144515142864861</v>
      </c>
      <c r="R56" s="522">
        <f t="shared" si="18"/>
        <v>38.410054718584689</v>
      </c>
      <c r="S56" s="522">
        <f t="shared" si="18"/>
        <v>37.922045951434185</v>
      </c>
      <c r="T56" s="522">
        <f t="shared" si="18"/>
        <v>37.719267136465817</v>
      </c>
      <c r="U56" s="522">
        <f t="shared" si="18"/>
        <v>37.652391620059696</v>
      </c>
      <c r="V56" s="522">
        <f t="shared" si="18"/>
        <v>36.898541901575435</v>
      </c>
      <c r="W56" s="522">
        <f t="shared" si="18"/>
        <v>37.415712893355639</v>
      </c>
      <c r="X56" s="522">
        <f t="shared" si="18"/>
        <v>37.941871806568493</v>
      </c>
      <c r="Y56" s="522">
        <f t="shared" si="18"/>
        <v>37.193269225347812</v>
      </c>
      <c r="Z56" s="522">
        <f t="shared" si="18"/>
        <v>37.611783008181057</v>
      </c>
      <c r="AA56" s="522">
        <f t="shared" si="18"/>
        <v>37.948509173931448</v>
      </c>
      <c r="AB56" s="522">
        <f t="shared" si="18"/>
        <v>38.128489670351904</v>
      </c>
      <c r="AC56" s="522">
        <f t="shared" si="18"/>
        <v>38.78946770612432</v>
      </c>
      <c r="AD56" s="522">
        <f t="shared" si="18"/>
        <v>39.087690355125943</v>
      </c>
      <c r="AE56" s="522">
        <f t="shared" si="18"/>
        <v>38.733580060915855</v>
      </c>
      <c r="AF56" s="522">
        <f t="shared" si="18"/>
        <v>39.156541666592148</v>
      </c>
      <c r="AG56" s="522">
        <f t="shared" si="18"/>
        <v>39.001072679253234</v>
      </c>
      <c r="AH56" s="522">
        <f t="shared" si="18"/>
        <v>38.878086838903101</v>
      </c>
      <c r="AI56" s="522">
        <f t="shared" si="18"/>
        <v>38.591878381061584</v>
      </c>
      <c r="AJ56" s="522">
        <f t="shared" si="18"/>
        <v>37.835777512916877</v>
      </c>
      <c r="AK56"/>
      <c r="AM56" s="255" t="s">
        <v>378</v>
      </c>
      <c r="AN56" s="255">
        <v>2.7909999999999999</v>
      </c>
      <c r="AO56" s="255">
        <v>2.0379999999999998</v>
      </c>
      <c r="AP56" s="255">
        <v>2.411</v>
      </c>
      <c r="AQ56" s="255">
        <v>2.4300000000000002</v>
      </c>
      <c r="AR56" s="255">
        <v>2.27</v>
      </c>
    </row>
    <row r="57" spans="1:44" s="255" customFormat="1">
      <c r="B57" s="488"/>
      <c r="C57" s="488"/>
      <c r="D57" s="488"/>
      <c r="E57" s="488"/>
      <c r="F57" s="488"/>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M57" s="255" t="s">
        <v>743</v>
      </c>
      <c r="AN57" s="255">
        <v>0.57899999999999996</v>
      </c>
      <c r="AO57" s="255">
        <v>0.83099999999999996</v>
      </c>
      <c r="AP57" s="255">
        <v>0.79800000000000004</v>
      </c>
      <c r="AQ57" s="255">
        <v>0.53400000000000003</v>
      </c>
      <c r="AR57" s="255">
        <v>0.33700000000000002</v>
      </c>
    </row>
    <row r="58" spans="1:44" s="255" customFormat="1">
      <c r="A58" s="254" t="s">
        <v>83</v>
      </c>
      <c r="B58" s="483">
        <f>SUM(B49:B52,B54,B55)</f>
        <v>46.175999999999988</v>
      </c>
      <c r="C58" s="483">
        <f t="shared" ref="C58:AJ58" si="19">SUM(C49:C52,C54,C55)</f>
        <v>47.906999999999989</v>
      </c>
      <c r="D58" s="483">
        <f t="shared" si="19"/>
        <v>43.304000000000002</v>
      </c>
      <c r="E58" s="483">
        <f t="shared" si="19"/>
        <v>39.5</v>
      </c>
      <c r="F58" s="483">
        <f t="shared" si="19"/>
        <v>43.143000000000001</v>
      </c>
      <c r="G58" s="483">
        <f t="shared" si="19"/>
        <v>38.598541112005542</v>
      </c>
      <c r="H58" s="483">
        <f t="shared" si="19"/>
        <v>36.415367698492318</v>
      </c>
      <c r="I58" s="483">
        <f t="shared" si="19"/>
        <v>35.794915221636366</v>
      </c>
      <c r="J58" s="483">
        <f t="shared" si="19"/>
        <v>36.845974817296835</v>
      </c>
      <c r="K58" s="483">
        <f t="shared" si="19"/>
        <v>37.405690500432641</v>
      </c>
      <c r="L58" s="483">
        <f t="shared" si="19"/>
        <v>36.740202648405052</v>
      </c>
      <c r="M58" s="483">
        <f t="shared" si="19"/>
        <v>38.287899986245996</v>
      </c>
      <c r="N58" s="483">
        <f t="shared" si="19"/>
        <v>39.495151340391224</v>
      </c>
      <c r="O58" s="483">
        <f t="shared" si="19"/>
        <v>39.836465756305294</v>
      </c>
      <c r="P58" s="483">
        <f t="shared" si="19"/>
        <v>39.36716357518501</v>
      </c>
      <c r="Q58" s="483">
        <f t="shared" si="19"/>
        <v>39.144515142864861</v>
      </c>
      <c r="R58" s="483">
        <f t="shared" si="19"/>
        <v>38.410054718584689</v>
      </c>
      <c r="S58" s="483">
        <f t="shared" si="19"/>
        <v>37.922045951434185</v>
      </c>
      <c r="T58" s="483">
        <f t="shared" si="19"/>
        <v>37.719267136465817</v>
      </c>
      <c r="U58" s="483">
        <f t="shared" si="19"/>
        <v>37.652391620059696</v>
      </c>
      <c r="V58" s="483">
        <f t="shared" si="19"/>
        <v>36.898541901575435</v>
      </c>
      <c r="W58" s="483">
        <f t="shared" si="19"/>
        <v>37.415712893355639</v>
      </c>
      <c r="X58" s="483">
        <f t="shared" si="19"/>
        <v>37.941871806568493</v>
      </c>
      <c r="Y58" s="483">
        <f t="shared" si="19"/>
        <v>37.193269225347812</v>
      </c>
      <c r="Z58" s="483">
        <f t="shared" si="19"/>
        <v>37.611783008181057</v>
      </c>
      <c r="AA58" s="483">
        <f t="shared" si="19"/>
        <v>37.948509173931448</v>
      </c>
      <c r="AB58" s="483">
        <f t="shared" si="19"/>
        <v>38.128489670351904</v>
      </c>
      <c r="AC58" s="483">
        <f t="shared" si="19"/>
        <v>38.78946770612432</v>
      </c>
      <c r="AD58" s="483">
        <f t="shared" si="19"/>
        <v>39.087690355125943</v>
      </c>
      <c r="AE58" s="483">
        <f t="shared" si="19"/>
        <v>38.733580060915855</v>
      </c>
      <c r="AF58" s="483">
        <f t="shared" si="19"/>
        <v>39.156541666592148</v>
      </c>
      <c r="AG58" s="483">
        <f t="shared" si="19"/>
        <v>39.001072679253234</v>
      </c>
      <c r="AH58" s="483">
        <f t="shared" si="19"/>
        <v>38.878086838903101</v>
      </c>
      <c r="AI58" s="483">
        <f t="shared" si="19"/>
        <v>38.591878381061584</v>
      </c>
      <c r="AJ58" s="483">
        <f t="shared" si="19"/>
        <v>37.835777512916877</v>
      </c>
      <c r="AK58" s="490">
        <v>8.9999999999999993E-3</v>
      </c>
      <c r="AM58" s="255" t="s">
        <v>744</v>
      </c>
      <c r="AN58" s="255">
        <v>0.78200000000000003</v>
      </c>
      <c r="AO58" s="255">
        <v>0.748</v>
      </c>
      <c r="AP58" s="255">
        <v>0.77300000000000002</v>
      </c>
      <c r="AQ58" s="255">
        <v>0.76100000000000001</v>
      </c>
      <c r="AR58" s="255">
        <v>0.77100000000000002</v>
      </c>
    </row>
    <row r="59" spans="1:44">
      <c r="A59" s="6" t="s">
        <v>84</v>
      </c>
      <c r="B59" s="366">
        <v>3906.17822265625</v>
      </c>
      <c r="C59" s="366">
        <v>4003.6083984375</v>
      </c>
      <c r="D59" s="366">
        <v>4006.09130859375</v>
      </c>
      <c r="E59" s="366">
        <v>3992.21752929688</v>
      </c>
      <c r="F59" s="366">
        <v>4046.56079101563</v>
      </c>
      <c r="G59" s="248">
        <v>3975.9853520000001</v>
      </c>
      <c r="H59" s="248">
        <v>3914.8715820000002</v>
      </c>
      <c r="I59" s="248">
        <v>3921.3237300000001</v>
      </c>
      <c r="J59" s="248">
        <v>3939.0678710000002</v>
      </c>
      <c r="K59" s="248">
        <v>4009.0505370000001</v>
      </c>
      <c r="L59" s="248">
        <v>4063.0170899999998</v>
      </c>
      <c r="M59" s="248">
        <v>4119.9077150000003</v>
      </c>
      <c r="N59" s="248">
        <v>4166.5869140000004</v>
      </c>
      <c r="O59" s="248">
        <v>4198.9038090000004</v>
      </c>
      <c r="P59" s="248">
        <v>4219.6909180000002</v>
      </c>
      <c r="Q59" s="248">
        <v>4252.6411129999997</v>
      </c>
      <c r="R59" s="248">
        <v>4292.3344729999999</v>
      </c>
      <c r="S59" s="248">
        <v>4339.8535160000001</v>
      </c>
      <c r="T59" s="248">
        <v>4382.0117190000001</v>
      </c>
      <c r="U59" s="248">
        <v>4415.9643550000001</v>
      </c>
      <c r="V59" s="248">
        <v>4450.7382809999999</v>
      </c>
      <c r="W59" s="248">
        <v>4486.6025390000004</v>
      </c>
      <c r="X59" s="248">
        <v>4519.0146480000003</v>
      </c>
      <c r="Y59" s="248">
        <v>4546.845703</v>
      </c>
      <c r="Z59" s="248">
        <v>4573.2431640000004</v>
      </c>
      <c r="AA59" s="248">
        <v>4595.8320309999999</v>
      </c>
      <c r="AB59" s="248">
        <v>4620.3847660000001</v>
      </c>
      <c r="AC59" s="248">
        <v>4650.2163090000004</v>
      </c>
      <c r="AD59" s="248">
        <v>4684.017578</v>
      </c>
      <c r="AE59" s="248">
        <v>4715.7373049999997</v>
      </c>
      <c r="AF59" s="248">
        <v>4746.6293949999999</v>
      </c>
      <c r="AG59" s="248">
        <v>4780.0688479999999</v>
      </c>
      <c r="AH59" s="248">
        <v>4817.2851559999999</v>
      </c>
      <c r="AI59" s="248">
        <v>4853.5073240000002</v>
      </c>
      <c r="AJ59" s="248">
        <v>4888.0634769999997</v>
      </c>
      <c r="AK59" s="249">
        <v>8.0000000000000002E-3</v>
      </c>
      <c r="AM59" s="5" t="s">
        <v>58</v>
      </c>
      <c r="AN59" s="5">
        <v>45.597999999999999</v>
      </c>
      <c r="AO59" s="5">
        <v>47.076000000000001</v>
      </c>
      <c r="AP59" s="5">
        <v>42.505000000000003</v>
      </c>
      <c r="AQ59" s="5">
        <v>38.966999999999999</v>
      </c>
      <c r="AR59" s="5">
        <v>42.805</v>
      </c>
    </row>
    <row r="60" spans="1:44" s="274" customFormat="1">
      <c r="A60" s="273" t="s">
        <v>331</v>
      </c>
      <c r="B60" s="367"/>
      <c r="C60" s="367"/>
      <c r="D60" s="367"/>
      <c r="E60" s="367">
        <f>E49/SUM(E49,E51)</f>
        <v>0.30077292110874204</v>
      </c>
      <c r="F60" s="367">
        <f t="shared" ref="F60:AJ60" si="20">F49/SUM(F49,F51)</f>
        <v>0.24510151085930121</v>
      </c>
      <c r="G60" s="324">
        <f t="shared" si="20"/>
        <v>0.13240452670044806</v>
      </c>
      <c r="H60" s="324">
        <f t="shared" si="20"/>
        <v>7.45182337262799E-2</v>
      </c>
      <c r="I60" s="324">
        <f t="shared" si="20"/>
        <v>8.2500734765644734E-2</v>
      </c>
      <c r="J60" s="324">
        <f t="shared" si="20"/>
        <v>7.9266959842786228E-2</v>
      </c>
      <c r="K60" s="324">
        <f t="shared" si="20"/>
        <v>7.8371268543736675E-2</v>
      </c>
      <c r="L60" s="324">
        <f t="shared" si="20"/>
        <v>1.1113664558561585E-2</v>
      </c>
      <c r="M60" s="324">
        <f t="shared" si="20"/>
        <v>4.0026825453131153E-2</v>
      </c>
      <c r="N60" s="324">
        <f t="shared" si="20"/>
        <v>7.3129776716183342E-2</v>
      </c>
      <c r="O60" s="324">
        <f t="shared" si="20"/>
        <v>8.6647845253480321E-2</v>
      </c>
      <c r="P60" s="324">
        <f t="shared" si="20"/>
        <v>9.1062640088458865E-2</v>
      </c>
      <c r="Q60" s="324">
        <f t="shared" si="20"/>
        <v>9.4134536061166785E-2</v>
      </c>
      <c r="R60" s="324">
        <f t="shared" si="20"/>
        <v>9.803681037596608E-2</v>
      </c>
      <c r="S60" s="324">
        <f t="shared" si="20"/>
        <v>0.10108822926036502</v>
      </c>
      <c r="T60" s="324">
        <f t="shared" si="20"/>
        <v>0.102401535603063</v>
      </c>
      <c r="U60" s="324">
        <f t="shared" si="20"/>
        <v>0.10323823720373661</v>
      </c>
      <c r="V60" s="324">
        <f t="shared" si="20"/>
        <v>0.10619404486904425</v>
      </c>
      <c r="W60" s="324">
        <f t="shared" si="20"/>
        <v>0.16170919069718317</v>
      </c>
      <c r="X60" s="324">
        <f t="shared" si="20"/>
        <v>0.17419641253922521</v>
      </c>
      <c r="Y60" s="324">
        <f t="shared" si="20"/>
        <v>0.18172044025891548</v>
      </c>
      <c r="Z60" s="324">
        <f t="shared" si="20"/>
        <v>0.18014230173651002</v>
      </c>
      <c r="AA60" s="324">
        <f t="shared" si="20"/>
        <v>0.1772112746750556</v>
      </c>
      <c r="AB60" s="324">
        <f t="shared" si="20"/>
        <v>0.15628424743473232</v>
      </c>
      <c r="AC60" s="324">
        <f t="shared" si="20"/>
        <v>0.15029152671745699</v>
      </c>
      <c r="AD60" s="324">
        <f t="shared" si="20"/>
        <v>0.14329313030402452</v>
      </c>
      <c r="AE60" s="324">
        <f t="shared" si="20"/>
        <v>0.14168772971189456</v>
      </c>
      <c r="AF60" s="324">
        <f t="shared" si="20"/>
        <v>0.15944922801427208</v>
      </c>
      <c r="AG60" s="324">
        <f t="shared" si="20"/>
        <v>0.15823636096009416</v>
      </c>
      <c r="AH60" s="324">
        <f t="shared" si="20"/>
        <v>0.16229391976212157</v>
      </c>
      <c r="AI60" s="324">
        <f t="shared" si="20"/>
        <v>0.16417146303557342</v>
      </c>
      <c r="AJ60" s="324">
        <f t="shared" si="20"/>
        <v>0.16882615870151912</v>
      </c>
      <c r="AK60" s="324"/>
      <c r="AL60" s="274" t="s">
        <v>0</v>
      </c>
    </row>
    <row r="61" spans="1:44" s="265" customFormat="1">
      <c r="A61" s="262" t="s">
        <v>107</v>
      </c>
      <c r="B61" s="358">
        <f>B54/B58</f>
        <v>6.044265419265421E-2</v>
      </c>
      <c r="C61" s="358">
        <f t="shared" ref="C61:AJ61" si="21">C54/C58</f>
        <v>4.2540756048176684E-2</v>
      </c>
      <c r="D61" s="358">
        <f t="shared" si="21"/>
        <v>5.5676150009237022E-2</v>
      </c>
      <c r="E61" s="358">
        <f t="shared" si="21"/>
        <v>6.1518987341772156E-2</v>
      </c>
      <c r="F61" s="358">
        <f t="shared" si="21"/>
        <v>5.26157198154973E-2</v>
      </c>
      <c r="G61" s="309">
        <f t="shared" si="21"/>
        <v>6.4792579333958877E-2</v>
      </c>
      <c r="H61" s="309">
        <f t="shared" si="21"/>
        <v>6.6237199535963243E-2</v>
      </c>
      <c r="I61" s="309">
        <f t="shared" si="21"/>
        <v>6.8452303643123019E-2</v>
      </c>
      <c r="J61" s="309">
        <f t="shared" si="21"/>
        <v>6.8252871469336854E-2</v>
      </c>
      <c r="K61" s="309">
        <f t="shared" si="21"/>
        <v>8.2023016982379071E-2</v>
      </c>
      <c r="L61" s="309">
        <f t="shared" si="21"/>
        <v>9.8328325515112461E-2</v>
      </c>
      <c r="M61" s="309">
        <f t="shared" si="21"/>
        <v>9.5175880254349005E-2</v>
      </c>
      <c r="N61" s="309">
        <f t="shared" si="21"/>
        <v>9.2699304300590868E-2</v>
      </c>
      <c r="O61" s="309">
        <f t="shared" si="21"/>
        <v>9.2538472707971414E-2</v>
      </c>
      <c r="P61" s="309">
        <f t="shared" si="21"/>
        <v>9.4283804053161072E-2</v>
      </c>
      <c r="Q61" s="309">
        <f t="shared" si="21"/>
        <v>9.6715675071232313E-2</v>
      </c>
      <c r="R61" s="309">
        <f t="shared" si="21"/>
        <v>9.8719892499243872E-2</v>
      </c>
      <c r="S61" s="309">
        <f t="shared" si="21"/>
        <v>0.10158356039716368</v>
      </c>
      <c r="T61" s="309">
        <f t="shared" si="21"/>
        <v>0.10257240610701218</v>
      </c>
      <c r="U61" s="309">
        <f t="shared" si="21"/>
        <v>0.10306803634548449</v>
      </c>
      <c r="V61" s="309">
        <f t="shared" si="21"/>
        <v>0.10577589749964837</v>
      </c>
      <c r="W61" s="309">
        <f t="shared" si="21"/>
        <v>0.10584120951566933</v>
      </c>
      <c r="X61" s="309">
        <f t="shared" si="21"/>
        <v>0.10691438816939099</v>
      </c>
      <c r="Y61" s="309">
        <f t="shared" si="21"/>
        <v>0.10952423201543258</v>
      </c>
      <c r="Z61" s="309">
        <f t="shared" si="21"/>
        <v>0.10875543783445256</v>
      </c>
      <c r="AA61" s="309">
        <f t="shared" si="21"/>
        <v>0.10848683019318787</v>
      </c>
      <c r="AB61" s="309">
        <f t="shared" si="21"/>
        <v>0.10824928743905397</v>
      </c>
      <c r="AC61" s="309">
        <f t="shared" si="21"/>
        <v>0.10740848229208098</v>
      </c>
      <c r="AD61" s="309">
        <f t="shared" si="21"/>
        <v>0.10761391426094741</v>
      </c>
      <c r="AE61" s="309">
        <f t="shared" si="21"/>
        <v>0.10922447045565861</v>
      </c>
      <c r="AF61" s="309">
        <f t="shared" si="21"/>
        <v>0.11053326116047207</v>
      </c>
      <c r="AG61" s="309">
        <f t="shared" si="21"/>
        <v>0.11329806565570302</v>
      </c>
      <c r="AH61" s="309">
        <f t="shared" si="21"/>
        <v>0.11375209276396228</v>
      </c>
      <c r="AI61" s="309">
        <f t="shared" si="21"/>
        <v>0.11545034401330222</v>
      </c>
      <c r="AJ61" s="309">
        <f t="shared" si="21"/>
        <v>0.11884741016620519</v>
      </c>
      <c r="AK61" s="309"/>
    </row>
    <row r="62" spans="1:44" s="275" customFormat="1">
      <c r="A62" s="264" t="s">
        <v>108</v>
      </c>
      <c r="B62" s="368">
        <f>(B54-EIA_RE_aeo2014!B73)/B56</f>
        <v>2.802754506776613E-2</v>
      </c>
      <c r="C62" s="368">
        <f>(C54-EIA_RE_aeo2014!C73)/C56</f>
        <v>2.6361628005777883E-2</v>
      </c>
      <c r="D62" s="368">
        <f>(D54-EIA_RE_aeo2014!D73)/D56</f>
        <v>2.952593812492648E-2</v>
      </c>
      <c r="E62" s="368">
        <f>(E54-EIA_RE_aeo2014!E73)/E56</f>
        <v>3.1539507788641674E-2</v>
      </c>
      <c r="F62" s="368">
        <f>(F54-EIA_RE_aeo2014!F73)/F56</f>
        <v>2.9762878168438266E-2</v>
      </c>
      <c r="G62" s="325">
        <f>(G54-EIA_RE_aeo2014!G73)/G56</f>
        <v>3.4961583541544147E-2</v>
      </c>
      <c r="H62" s="325">
        <f>(H54-EIA_RE_aeo2014!H73)/H56</f>
        <v>3.9587282110515105E-2</v>
      </c>
      <c r="I62" s="325">
        <f>(I54-EIA_RE_aeo2014!I73)/I56</f>
        <v>4.216625971995009E-2</v>
      </c>
      <c r="J62" s="325">
        <f>(J54-EIA_RE_aeo2014!J73)/J56</f>
        <v>4.2286751625104306E-2</v>
      </c>
      <c r="K62" s="325">
        <f>(K54-EIA_RE_aeo2014!K73)/K56</f>
        <v>5.5940251435166941E-2</v>
      </c>
      <c r="L62" s="325">
        <f>(L54-EIA_RE_aeo2014!L73)/L56</f>
        <v>7.1256338770750327E-2</v>
      </c>
      <c r="M62" s="325">
        <f>(M54-EIA_RE_aeo2014!M73)/M56</f>
        <v>6.8931546800099622E-2</v>
      </c>
      <c r="N62" s="325">
        <f>(N54-EIA_RE_aeo2014!N73)/N56</f>
        <v>6.7257173417584901E-2</v>
      </c>
      <c r="O62" s="325">
        <f>(O54-EIA_RE_aeo2014!O73)/O56</f>
        <v>6.7314323871371692E-2</v>
      </c>
      <c r="P62" s="325">
        <f>(P54-EIA_RE_aeo2014!P73)/P56</f>
        <v>6.875896753343301E-2</v>
      </c>
      <c r="Q62" s="325">
        <f>(Q54-EIA_RE_aeo2014!Q73)/Q56</f>
        <v>7.1045656913269514E-2</v>
      </c>
      <c r="R62" s="325">
        <f>(R54-EIA_RE_aeo2014!R73)/R56</f>
        <v>7.2559016517846742E-2</v>
      </c>
      <c r="S62" s="325">
        <f>(S54-EIA_RE_aeo2014!S73)/S56</f>
        <v>7.3774097623458393E-2</v>
      </c>
      <c r="T62" s="325">
        <f>(T54-EIA_RE_aeo2014!T73)/T56</f>
        <v>7.4613443127723195E-2</v>
      </c>
      <c r="U62" s="325">
        <f>(U54-EIA_RE_aeo2014!U73)/U56</f>
        <v>7.5059383148920217E-2</v>
      </c>
      <c r="V62" s="325">
        <f>(V54-EIA_RE_aeo2014!V73)/V56</f>
        <v>7.7194957340224704E-2</v>
      </c>
      <c r="W62" s="325">
        <f>(W54-EIA_RE_aeo2014!W73)/W56</f>
        <v>7.745857004961175E-2</v>
      </c>
      <c r="X62" s="325">
        <f>(X54-EIA_RE_aeo2014!X73)/X56</f>
        <v>7.873166017488642E-2</v>
      </c>
      <c r="Y62" s="325">
        <f>(Y54-EIA_RE_aeo2014!Y73)/Y56</f>
        <v>8.0774228038066512E-2</v>
      </c>
      <c r="Z62" s="325">
        <f>(Z54-EIA_RE_aeo2014!Z73)/Z56</f>
        <v>8.0325344365801576E-2</v>
      </c>
      <c r="AA62" s="325">
        <f>(AA54-EIA_RE_aeo2014!AK73)/AA56</f>
        <v>0.10848683019318787</v>
      </c>
      <c r="AB62" s="325">
        <f>(AB54-EIA_RE_aeo2014!AL73)/AB56</f>
        <v>0.10824928743905397</v>
      </c>
      <c r="AC62" s="325">
        <f>(AC54-EIA_RE_aeo2014!AM73)/AC56</f>
        <v>0.10740848229208098</v>
      </c>
      <c r="AD62" s="325">
        <f>(AD54-EIA_RE_aeo2014!AN73)/AD56</f>
        <v>6.8906075904323044E-2</v>
      </c>
      <c r="AE62" s="325">
        <f>(AE54-EIA_RE_aeo2014!AO73)/AE56</f>
        <v>8.8648009443106524E-2</v>
      </c>
      <c r="AF62" s="325">
        <f>(AF54-EIA_RE_aeo2014!AP73)/AF56</f>
        <v>8.1010735656482424E-2</v>
      </c>
      <c r="AG62" s="325">
        <f>(AG54-EIA_RE_aeo2014!AQ73)/AG56</f>
        <v>8.2504040838050338E-2</v>
      </c>
      <c r="AH62" s="325">
        <f>(AH54-EIA_RE_aeo2014!AR73)/AH56</f>
        <v>8.8133548206276918E-2</v>
      </c>
      <c r="AI62" s="325">
        <f>(AI54-EIA_RE_aeo2014!AS73)/AI56</f>
        <v>0.11545034401330222</v>
      </c>
      <c r="AJ62" s="325">
        <f>(AJ54-EIA_RE_aeo2014!AT73)/AJ56</f>
        <v>0.11884741016620519</v>
      </c>
      <c r="AK62" s="325"/>
    </row>
    <row r="63" spans="1:44" s="475" customFormat="1">
      <c r="A63" s="475" t="s">
        <v>109</v>
      </c>
      <c r="C63" s="476"/>
      <c r="D63" s="476"/>
      <c r="E63" s="476"/>
      <c r="F63" s="476">
        <v>42094.619140625</v>
      </c>
      <c r="G63" s="477">
        <v>102605.04540000002</v>
      </c>
      <c r="H63" s="477">
        <v>163360.96875</v>
      </c>
      <c r="I63" s="477">
        <v>225974.68357199998</v>
      </c>
      <c r="J63" s="477">
        <v>289591.77345600002</v>
      </c>
      <c r="K63" s="477">
        <v>358569.27243000007</v>
      </c>
      <c r="L63" s="477">
        <v>428005.66654200002</v>
      </c>
      <c r="M63" s="477">
        <v>499509.19281199999</v>
      </c>
      <c r="N63" s="477">
        <v>571413.594774</v>
      </c>
      <c r="O63" s="477">
        <v>642582.21966400009</v>
      </c>
      <c r="P63" s="477">
        <v>712804.27253000019</v>
      </c>
      <c r="Q63" s="477">
        <v>785931.55672200024</v>
      </c>
      <c r="R63" s="477">
        <v>861455.63087200013</v>
      </c>
      <c r="S63" s="477">
        <v>939930.84375000035</v>
      </c>
      <c r="T63" s="477">
        <v>1018634.9062500005</v>
      </c>
      <c r="U63" s="477">
        <v>1096613.15925</v>
      </c>
      <c r="V63" s="478"/>
      <c r="W63" s="478"/>
      <c r="X63" s="478"/>
      <c r="Y63" s="478"/>
      <c r="Z63" s="478"/>
      <c r="AA63" s="478"/>
      <c r="AB63" s="478"/>
      <c r="AC63" s="478"/>
      <c r="AD63" s="478"/>
      <c r="AE63" s="478"/>
      <c r="AF63" s="478"/>
      <c r="AG63" s="478"/>
      <c r="AH63" s="478"/>
      <c r="AI63" s="478"/>
      <c r="AJ63" s="478"/>
      <c r="AK63" s="478"/>
    </row>
    <row r="64" spans="1:44" s="479" customFormat="1">
      <c r="A64" s="479" t="s">
        <v>110</v>
      </c>
      <c r="C64" s="480"/>
      <c r="D64" s="480"/>
      <c r="E64" s="480"/>
      <c r="F64" s="480"/>
      <c r="G64" s="481">
        <f>G63/1000/G58</f>
        <v>2.6582622670183289</v>
      </c>
      <c r="H64" s="481">
        <f t="shared" ref="H64:O64" si="22">H63/1000/H58</f>
        <v>4.4860447408516357</v>
      </c>
      <c r="I64" s="481">
        <f t="shared" si="22"/>
        <v>6.3130386585022213</v>
      </c>
      <c r="J64" s="481">
        <f t="shared" si="22"/>
        <v>7.8595226450639357</v>
      </c>
      <c r="K64" s="481">
        <f t="shared" si="22"/>
        <v>9.5859551750783165</v>
      </c>
      <c r="L64" s="481">
        <f t="shared" si="22"/>
        <v>11.649518393731027</v>
      </c>
      <c r="M64" s="481">
        <f t="shared" si="22"/>
        <v>13.046137108366784</v>
      </c>
      <c r="N64" s="481">
        <f t="shared" si="22"/>
        <v>14.467942908972272</v>
      </c>
      <c r="O64" s="481">
        <f t="shared" si="22"/>
        <v>16.13050273071206</v>
      </c>
      <c r="P64" s="481">
        <f t="shared" ref="P64" si="23">P63/1000/P58</f>
        <v>18.106569226626082</v>
      </c>
      <c r="Q64" s="481">
        <f t="shared" ref="Q64" si="24">Q63/1000/Q58</f>
        <v>20.077692975723505</v>
      </c>
      <c r="R64" s="481">
        <f t="shared" ref="R64" si="25">R63/1000/R58</f>
        <v>22.427867837823861</v>
      </c>
      <c r="S64" s="481">
        <f t="shared" ref="S64" si="26">S63/1000/S58</f>
        <v>24.785868488049044</v>
      </c>
      <c r="T64" s="481">
        <f t="shared" ref="T64" si="27">T63/1000/T58</f>
        <v>27.005691880614929</v>
      </c>
      <c r="U64" s="481">
        <f t="shared" ref="U64" si="28">U63/1000/U58</f>
        <v>29.124661464154332</v>
      </c>
      <c r="V64" s="481"/>
      <c r="W64" s="481"/>
      <c r="X64" s="481"/>
      <c r="Y64" s="481"/>
      <c r="Z64" s="481"/>
      <c r="AA64" s="481"/>
      <c r="AB64" s="481"/>
      <c r="AC64" s="481"/>
      <c r="AD64" s="481"/>
      <c r="AE64" s="481"/>
      <c r="AF64" s="481"/>
      <c r="AG64" s="481"/>
      <c r="AH64" s="481"/>
      <c r="AI64" s="481"/>
      <c r="AJ64" s="481"/>
      <c r="AK64" s="481"/>
    </row>
    <row r="65" spans="1:38" s="479" customFormat="1">
      <c r="A65" s="479" t="s">
        <v>113</v>
      </c>
      <c r="D65" s="480"/>
      <c r="E65" s="480"/>
      <c r="F65" s="480"/>
      <c r="G65" s="481"/>
      <c r="H65" s="481">
        <f t="shared" ref="H65:U65" si="29">(H64-G64)/G64</f>
        <v>0.68758545630016432</v>
      </c>
      <c r="I65" s="481">
        <f t="shared" si="29"/>
        <v>0.40726163540307159</v>
      </c>
      <c r="J65" s="481">
        <f t="shared" si="29"/>
        <v>0.24496665872288834</v>
      </c>
      <c r="K65" s="481">
        <f t="shared" si="29"/>
        <v>0.21966124508829335</v>
      </c>
      <c r="L65" s="481">
        <f t="shared" si="29"/>
        <v>0.21526944169503184</v>
      </c>
      <c r="M65" s="481">
        <f t="shared" si="29"/>
        <v>0.11988639078739267</v>
      </c>
      <c r="N65" s="481">
        <f t="shared" si="29"/>
        <v>0.10898289576411489</v>
      </c>
      <c r="O65" s="481">
        <f t="shared" si="29"/>
        <v>0.11491335238188929</v>
      </c>
      <c r="P65" s="481">
        <f t="shared" si="29"/>
        <v>0.12250495405525351</v>
      </c>
      <c r="Q65" s="481">
        <f t="shared" si="29"/>
        <v>0.1088623540123131</v>
      </c>
      <c r="R65" s="481">
        <f t="shared" si="29"/>
        <v>0.11705402931213352</v>
      </c>
      <c r="S65" s="481">
        <f t="shared" si="29"/>
        <v>0.10513708513336663</v>
      </c>
      <c r="T65" s="481">
        <f t="shared" si="29"/>
        <v>8.9560040780342784E-2</v>
      </c>
      <c r="U65" s="481">
        <f t="shared" si="29"/>
        <v>7.8463813958435547E-2</v>
      </c>
      <c r="V65" s="481"/>
      <c r="W65" s="481"/>
      <c r="X65" s="481"/>
      <c r="Y65" s="481"/>
      <c r="Z65" s="481"/>
      <c r="AA65" s="481"/>
      <c r="AB65" s="481"/>
      <c r="AC65" s="481"/>
      <c r="AD65" s="481"/>
      <c r="AE65" s="481"/>
      <c r="AF65" s="481"/>
      <c r="AG65" s="481"/>
      <c r="AH65" s="481"/>
      <c r="AI65" s="481"/>
      <c r="AJ65" s="481"/>
      <c r="AK65" s="481"/>
    </row>
    <row r="66" spans="1:38" s="265" customFormat="1">
      <c r="A66" s="265" t="s">
        <v>129</v>
      </c>
      <c r="B66" s="369">
        <f>B52/B58</f>
        <v>0.1262560637560638</v>
      </c>
      <c r="C66" s="369">
        <f t="shared" ref="C66:AJ66" si="30">C52/C58</f>
        <v>0.10687373452731336</v>
      </c>
      <c r="D66" s="369">
        <f t="shared" si="30"/>
        <v>0.13553020506188804</v>
      </c>
      <c r="E66" s="369">
        <f t="shared" si="30"/>
        <v>0.13660759493670885</v>
      </c>
      <c r="F66" s="369">
        <f t="shared" si="30"/>
        <v>0.13717173121943305</v>
      </c>
      <c r="G66" s="326">
        <f t="shared" si="30"/>
        <v>0.13583712761016103</v>
      </c>
      <c r="H66" s="326">
        <f t="shared" si="30"/>
        <v>0.151679016902452</v>
      </c>
      <c r="I66" s="326">
        <f t="shared" si="30"/>
        <v>0.14939506238556688</v>
      </c>
      <c r="J66" s="326">
        <f t="shared" si="30"/>
        <v>0.14576524745441372</v>
      </c>
      <c r="K66" s="326">
        <f t="shared" si="30"/>
        <v>0.12762802882414592</v>
      </c>
      <c r="L66" s="326">
        <f t="shared" si="30"/>
        <v>0.13137030731932334</v>
      </c>
      <c r="M66" s="326">
        <f t="shared" si="30"/>
        <v>0.12636502947337194</v>
      </c>
      <c r="N66" s="326">
        <f t="shared" si="30"/>
        <v>0.12279832397423519</v>
      </c>
      <c r="O66" s="326">
        <f t="shared" si="30"/>
        <v>0.12203970098041302</v>
      </c>
      <c r="P66" s="326">
        <f t="shared" si="30"/>
        <v>0.12357950987492997</v>
      </c>
      <c r="Q66" s="326">
        <f t="shared" si="30"/>
        <v>0.12428242035709337</v>
      </c>
      <c r="R66" s="326">
        <f t="shared" si="30"/>
        <v>0.12665889495091559</v>
      </c>
      <c r="S66" s="326">
        <f t="shared" si="30"/>
        <v>0.12828882666346669</v>
      </c>
      <c r="T66" s="326">
        <f t="shared" si="30"/>
        <v>0.12897850751411477</v>
      </c>
      <c r="U66" s="326">
        <f t="shared" si="30"/>
        <v>0.12920759002186979</v>
      </c>
      <c r="V66" s="326">
        <f t="shared" si="30"/>
        <v>0.13184734488329042</v>
      </c>
      <c r="W66" s="326">
        <f t="shared" si="30"/>
        <v>0.13002492026616097</v>
      </c>
      <c r="X66" s="326">
        <f t="shared" si="30"/>
        <v>0.12822179160241998</v>
      </c>
      <c r="Y66" s="326">
        <f t="shared" si="30"/>
        <v>0.13080255866488877</v>
      </c>
      <c r="Z66" s="326">
        <f t="shared" si="30"/>
        <v>0.1293470926047128</v>
      </c>
      <c r="AA66" s="326">
        <f t="shared" si="30"/>
        <v>0.12819936502616369</v>
      </c>
      <c r="AB66" s="326">
        <f t="shared" si="30"/>
        <v>0.12759421686641012</v>
      </c>
      <c r="AC66" s="326">
        <f t="shared" si="30"/>
        <v>0.12541999329935241</v>
      </c>
      <c r="AD66" s="326">
        <f t="shared" si="30"/>
        <v>0.12446309146402579</v>
      </c>
      <c r="AE66" s="326">
        <f t="shared" si="30"/>
        <v>0.12560095844836622</v>
      </c>
      <c r="AF66" s="326">
        <f t="shared" si="30"/>
        <v>0.12424424049528082</v>
      </c>
      <c r="AG66" s="326">
        <f t="shared" si="30"/>
        <v>0.12473952000423003</v>
      </c>
      <c r="AH66" s="326">
        <f t="shared" si="30"/>
        <v>0.12513411747390904</v>
      </c>
      <c r="AI66" s="326">
        <f t="shared" si="30"/>
        <v>0.12606214011534034</v>
      </c>
      <c r="AJ66" s="326">
        <f t="shared" si="30"/>
        <v>0.12858133490521478</v>
      </c>
      <c r="AK66" s="326"/>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592</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592</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630</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629</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64" t="s">
        <v>631</v>
      </c>
      <c r="B109" s="564"/>
      <c r="C109" s="564"/>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564"/>
      <c r="AD109" s="564"/>
      <c r="AE109" s="564"/>
      <c r="AF109" s="564"/>
    </row>
    <row r="110" spans="1:38">
      <c r="A110" s="563" t="s">
        <v>632</v>
      </c>
      <c r="B110" s="563"/>
      <c r="C110" s="563"/>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3"/>
      <c r="AD110" s="563"/>
      <c r="AE110" s="563"/>
      <c r="AF110" s="563"/>
    </row>
    <row r="111" spans="1:38">
      <c r="A111" s="563" t="s">
        <v>633</v>
      </c>
      <c r="B111" s="563"/>
      <c r="C111" s="563"/>
      <c r="D111" s="563"/>
      <c r="E111" s="563"/>
      <c r="F111" s="563"/>
      <c r="G111" s="563"/>
      <c r="H111" s="563"/>
      <c r="I111" s="563"/>
      <c r="J111" s="563"/>
      <c r="K111" s="563"/>
      <c r="L111" s="563"/>
      <c r="M111" s="563"/>
      <c r="N111" s="563"/>
      <c r="O111" s="563"/>
      <c r="P111" s="563"/>
      <c r="Q111" s="563"/>
      <c r="R111" s="563"/>
      <c r="S111" s="563"/>
      <c r="T111" s="563"/>
      <c r="U111" s="563"/>
      <c r="V111" s="563"/>
      <c r="W111" s="563"/>
      <c r="X111" s="563"/>
      <c r="Y111" s="563"/>
      <c r="Z111" s="563"/>
      <c r="AA111" s="563"/>
      <c r="AB111" s="563"/>
      <c r="AC111" s="563"/>
      <c r="AD111" s="563"/>
      <c r="AE111" s="563"/>
      <c r="AF111" s="563"/>
    </row>
    <row r="112" spans="1:38">
      <c r="A112" s="563" t="s">
        <v>634</v>
      </c>
      <c r="B112" s="563"/>
      <c r="C112" s="563"/>
      <c r="D112" s="563"/>
      <c r="E112" s="563"/>
      <c r="F112" s="563"/>
      <c r="G112" s="563"/>
      <c r="H112" s="563"/>
      <c r="I112" s="563"/>
      <c r="J112" s="563"/>
      <c r="K112" s="563"/>
      <c r="L112" s="563"/>
      <c r="M112" s="563"/>
      <c r="N112" s="563"/>
      <c r="O112" s="563"/>
      <c r="P112" s="563"/>
      <c r="Q112" s="563"/>
      <c r="R112" s="563"/>
      <c r="S112" s="563"/>
      <c r="T112" s="563"/>
      <c r="U112" s="563"/>
      <c r="V112" s="563"/>
      <c r="W112" s="563"/>
      <c r="X112" s="563"/>
      <c r="Y112" s="563"/>
      <c r="Z112" s="563"/>
      <c r="AA112" s="563"/>
      <c r="AB112" s="563"/>
      <c r="AC112" s="563"/>
      <c r="AD112" s="563"/>
      <c r="AE112" s="563"/>
      <c r="AF112" s="563"/>
    </row>
    <row r="113" spans="1:32">
      <c r="A113" s="563" t="s">
        <v>635</v>
      </c>
      <c r="B113" s="563"/>
      <c r="C113" s="563"/>
      <c r="D113" s="563"/>
      <c r="E113" s="563"/>
      <c r="F113" s="563"/>
      <c r="G113" s="563"/>
      <c r="H113" s="563"/>
      <c r="I113" s="563"/>
      <c r="J113" s="563"/>
      <c r="K113" s="563"/>
      <c r="L113" s="563"/>
      <c r="M113" s="563"/>
      <c r="N113" s="563"/>
      <c r="O113" s="563"/>
      <c r="P113" s="563"/>
      <c r="Q113" s="563"/>
      <c r="R113" s="563"/>
      <c r="S113" s="563"/>
      <c r="T113" s="563"/>
      <c r="U113" s="563"/>
      <c r="V113" s="563"/>
      <c r="W113" s="563"/>
      <c r="X113" s="563"/>
      <c r="Y113" s="563"/>
      <c r="Z113" s="563"/>
      <c r="AA113" s="563"/>
      <c r="AB113" s="563"/>
      <c r="AC113" s="563"/>
      <c r="AD113" s="563"/>
      <c r="AE113" s="563"/>
      <c r="AF113" s="563"/>
    </row>
    <row r="114" spans="1:32">
      <c r="A114" s="563" t="s">
        <v>636</v>
      </c>
      <c r="B114" s="563"/>
      <c r="C114" s="563"/>
      <c r="D114" s="563"/>
      <c r="E114" s="563"/>
      <c r="F114" s="563"/>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row>
    <row r="115" spans="1:32">
      <c r="A115" s="563" t="s">
        <v>637</v>
      </c>
      <c r="B115" s="563"/>
      <c r="C115" s="563"/>
      <c r="D115" s="563"/>
      <c r="E115" s="563"/>
      <c r="F115" s="563"/>
      <c r="G115" s="563"/>
      <c r="H115" s="563"/>
      <c r="I115" s="563"/>
      <c r="J115" s="563"/>
      <c r="K115" s="563"/>
      <c r="L115" s="563"/>
      <c r="M115" s="563"/>
      <c r="N115" s="563"/>
      <c r="O115" s="563"/>
      <c r="P115" s="563"/>
      <c r="Q115" s="563"/>
      <c r="R115" s="563"/>
      <c r="S115" s="563"/>
      <c r="T115" s="563"/>
      <c r="U115" s="563"/>
      <c r="V115" s="563"/>
      <c r="W115" s="563"/>
      <c r="X115" s="563"/>
      <c r="Y115" s="563"/>
      <c r="Z115" s="563"/>
      <c r="AA115" s="563"/>
      <c r="AB115" s="563"/>
      <c r="AC115" s="563"/>
      <c r="AD115" s="563"/>
      <c r="AE115" s="563"/>
      <c r="AF115" s="563"/>
    </row>
    <row r="116" spans="1:32">
      <c r="A116" s="563" t="s">
        <v>638</v>
      </c>
      <c r="B116" s="563"/>
      <c r="C116" s="563"/>
      <c r="D116" s="563"/>
      <c r="E116" s="563"/>
      <c r="F116" s="563"/>
      <c r="G116" s="563"/>
      <c r="H116" s="563"/>
      <c r="I116" s="563"/>
      <c r="J116" s="563"/>
      <c r="K116" s="563"/>
      <c r="L116" s="563"/>
      <c r="M116" s="563"/>
      <c r="N116" s="563"/>
      <c r="O116" s="563"/>
      <c r="P116" s="563"/>
      <c r="Q116" s="563"/>
      <c r="R116" s="563"/>
      <c r="S116" s="563"/>
      <c r="T116" s="563"/>
      <c r="U116" s="563"/>
      <c r="V116" s="563"/>
      <c r="W116" s="563"/>
      <c r="X116" s="563"/>
      <c r="Y116" s="563"/>
      <c r="Z116" s="563"/>
      <c r="AA116" s="563"/>
      <c r="AB116" s="563"/>
      <c r="AC116" s="563"/>
      <c r="AD116" s="563"/>
      <c r="AE116" s="563"/>
      <c r="AF116" s="563"/>
    </row>
    <row r="117" spans="1:32">
      <c r="A117" s="563" t="s">
        <v>639</v>
      </c>
      <c r="B117" s="563"/>
      <c r="C117" s="563"/>
      <c r="D117" s="563"/>
      <c r="E117" s="563"/>
      <c r="F117" s="563"/>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3"/>
      <c r="AD117" s="563"/>
      <c r="AE117" s="563"/>
      <c r="AF117" s="563"/>
    </row>
    <row r="118" spans="1:32">
      <c r="A118" s="563" t="s">
        <v>640</v>
      </c>
      <c r="B118" s="563"/>
      <c r="C118" s="563"/>
      <c r="D118" s="563"/>
      <c r="E118" s="563"/>
      <c r="F118" s="563"/>
      <c r="G118" s="563"/>
      <c r="H118" s="563"/>
      <c r="I118" s="563"/>
      <c r="J118" s="563"/>
      <c r="K118" s="563"/>
      <c r="L118" s="563"/>
      <c r="M118" s="563"/>
      <c r="N118" s="563"/>
      <c r="O118" s="563"/>
      <c r="P118" s="563"/>
      <c r="Q118" s="563"/>
      <c r="R118" s="563"/>
      <c r="S118" s="563"/>
      <c r="T118" s="563"/>
      <c r="U118" s="563"/>
      <c r="V118" s="563"/>
      <c r="W118" s="563"/>
      <c r="X118" s="563"/>
      <c r="Y118" s="563"/>
      <c r="Z118" s="563"/>
      <c r="AA118" s="563"/>
      <c r="AB118" s="563"/>
      <c r="AC118" s="563"/>
      <c r="AD118" s="563"/>
      <c r="AE118" s="563"/>
      <c r="AF118" s="563"/>
    </row>
    <row r="119" spans="1:32">
      <c r="A119" s="563" t="s">
        <v>641</v>
      </c>
      <c r="B119" s="563"/>
      <c r="C119" s="563"/>
      <c r="D119" s="563"/>
      <c r="E119" s="563"/>
      <c r="F119" s="563"/>
      <c r="G119" s="563"/>
      <c r="H119" s="563"/>
      <c r="I119" s="563"/>
      <c r="J119" s="563"/>
      <c r="K119" s="563"/>
      <c r="L119" s="563"/>
      <c r="M119" s="563"/>
      <c r="N119" s="563"/>
      <c r="O119" s="563"/>
      <c r="P119" s="563"/>
      <c r="Q119" s="563"/>
      <c r="R119" s="563"/>
      <c r="S119" s="563"/>
      <c r="T119" s="563"/>
      <c r="U119" s="563"/>
      <c r="V119" s="563"/>
      <c r="W119" s="563"/>
      <c r="X119" s="563"/>
      <c r="Y119" s="563"/>
      <c r="Z119" s="563"/>
      <c r="AA119" s="563"/>
      <c r="AB119" s="563"/>
      <c r="AC119" s="563"/>
      <c r="AD119" s="563"/>
      <c r="AE119" s="563"/>
      <c r="AF119" s="563"/>
    </row>
    <row r="120" spans="1:32">
      <c r="A120" s="563" t="s">
        <v>642</v>
      </c>
      <c r="B120" s="563"/>
      <c r="C120" s="563"/>
      <c r="D120" s="563"/>
      <c r="E120" s="563"/>
      <c r="F120" s="563"/>
      <c r="G120" s="563"/>
      <c r="H120" s="563"/>
      <c r="I120" s="563"/>
      <c r="J120" s="563"/>
      <c r="K120" s="563"/>
      <c r="L120" s="563"/>
      <c r="M120" s="563"/>
      <c r="N120" s="563"/>
      <c r="O120" s="563"/>
      <c r="P120" s="563"/>
      <c r="Q120" s="563"/>
      <c r="R120" s="563"/>
      <c r="S120" s="563"/>
      <c r="T120" s="563"/>
      <c r="U120" s="563"/>
      <c r="V120" s="563"/>
      <c r="W120" s="563"/>
      <c r="X120" s="563"/>
      <c r="Y120" s="563"/>
      <c r="Z120" s="563"/>
      <c r="AA120" s="563"/>
      <c r="AB120" s="563"/>
      <c r="AC120" s="563"/>
      <c r="AD120" s="563"/>
      <c r="AE120" s="563"/>
      <c r="AF120" s="563"/>
    </row>
    <row r="121" spans="1:32">
      <c r="A121" s="563" t="s">
        <v>643</v>
      </c>
      <c r="B121" s="563"/>
      <c r="C121" s="563"/>
      <c r="D121" s="563"/>
      <c r="E121" s="563"/>
      <c r="F121" s="563"/>
      <c r="G121" s="563"/>
      <c r="H121" s="563"/>
      <c r="I121" s="563"/>
      <c r="J121" s="563"/>
      <c r="K121" s="563"/>
      <c r="L121" s="563"/>
      <c r="M121" s="563"/>
      <c r="N121" s="563"/>
      <c r="O121" s="563"/>
      <c r="P121" s="563"/>
      <c r="Q121" s="563"/>
      <c r="R121" s="563"/>
      <c r="S121" s="563"/>
      <c r="T121" s="563"/>
      <c r="U121" s="563"/>
      <c r="V121" s="563"/>
      <c r="W121" s="563"/>
      <c r="X121" s="563"/>
      <c r="Y121" s="563"/>
      <c r="Z121" s="563"/>
      <c r="AA121" s="563"/>
      <c r="AB121" s="563"/>
      <c r="AC121" s="563"/>
      <c r="AD121" s="563"/>
      <c r="AE121" s="563"/>
      <c r="AF121" s="563"/>
    </row>
    <row r="122" spans="1:32">
      <c r="A122" s="563" t="s">
        <v>644</v>
      </c>
      <c r="B122" s="563"/>
      <c r="C122" s="563"/>
      <c r="D122" s="563"/>
      <c r="E122" s="563"/>
      <c r="F122" s="563"/>
      <c r="G122" s="563"/>
      <c r="H122" s="563"/>
      <c r="I122" s="563"/>
      <c r="J122" s="563"/>
      <c r="K122" s="563"/>
      <c r="L122" s="563"/>
      <c r="M122" s="563"/>
      <c r="N122" s="563"/>
      <c r="O122" s="563"/>
      <c r="P122" s="563"/>
      <c r="Q122" s="563"/>
      <c r="R122" s="563"/>
      <c r="S122" s="563"/>
      <c r="T122" s="563"/>
      <c r="U122" s="563"/>
      <c r="V122" s="563"/>
      <c r="W122" s="563"/>
      <c r="X122" s="563"/>
      <c r="Y122" s="563"/>
      <c r="Z122" s="563"/>
      <c r="AA122" s="563"/>
      <c r="AB122" s="563"/>
      <c r="AC122" s="563"/>
      <c r="AD122" s="563"/>
      <c r="AE122" s="563"/>
      <c r="AF122" s="563"/>
    </row>
    <row r="123" spans="1:32">
      <c r="A123" s="563" t="s">
        <v>645</v>
      </c>
      <c r="B123" s="563"/>
      <c r="C123" s="563"/>
      <c r="D123" s="563"/>
      <c r="E123" s="563"/>
      <c r="F123" s="563"/>
      <c r="G123" s="563"/>
      <c r="H123" s="563"/>
      <c r="I123" s="563"/>
      <c r="J123" s="563"/>
      <c r="K123" s="563"/>
      <c r="L123" s="563"/>
      <c r="M123" s="563"/>
      <c r="N123" s="563"/>
      <c r="O123" s="563"/>
      <c r="P123" s="563"/>
      <c r="Q123" s="563"/>
      <c r="R123" s="563"/>
      <c r="S123" s="563"/>
      <c r="T123" s="563"/>
      <c r="U123" s="563"/>
      <c r="V123" s="563"/>
      <c r="W123" s="563"/>
      <c r="X123" s="563"/>
      <c r="Y123" s="563"/>
      <c r="Z123" s="563"/>
      <c r="AA123" s="563"/>
      <c r="AB123" s="563"/>
      <c r="AC123" s="563"/>
      <c r="AD123" s="563"/>
      <c r="AE123" s="563"/>
      <c r="AF123" s="563"/>
    </row>
    <row r="124" spans="1:32">
      <c r="A124" s="563" t="s">
        <v>646</v>
      </c>
      <c r="B124" s="563"/>
      <c r="C124" s="563"/>
      <c r="D124" s="563"/>
      <c r="E124" s="563"/>
      <c r="F124" s="563"/>
      <c r="G124" s="563"/>
      <c r="H124" s="563"/>
      <c r="I124" s="563"/>
      <c r="J124" s="563"/>
      <c r="K124" s="563"/>
      <c r="L124" s="563"/>
      <c r="M124" s="563"/>
      <c r="N124" s="563"/>
      <c r="O124" s="563"/>
      <c r="P124" s="563"/>
      <c r="Q124" s="563"/>
      <c r="R124" s="563"/>
      <c r="S124" s="563"/>
      <c r="T124" s="563"/>
      <c r="U124" s="563"/>
      <c r="V124" s="563"/>
      <c r="W124" s="563"/>
      <c r="X124" s="563"/>
      <c r="Y124" s="563"/>
      <c r="Z124" s="563"/>
      <c r="AA124" s="563"/>
      <c r="AB124" s="563"/>
      <c r="AC124" s="563"/>
      <c r="AD124" s="563"/>
      <c r="AE124" s="563"/>
      <c r="AF124" s="563"/>
    </row>
    <row r="125" spans="1:32">
      <c r="A125" s="563" t="s">
        <v>639</v>
      </c>
      <c r="B125" s="563"/>
      <c r="C125" s="563"/>
      <c r="D125" s="563"/>
      <c r="E125" s="563"/>
      <c r="F125" s="563"/>
      <c r="G125" s="563"/>
      <c r="H125" s="563"/>
      <c r="I125" s="563"/>
      <c r="J125" s="563"/>
      <c r="K125" s="563"/>
      <c r="L125" s="563"/>
      <c r="M125" s="563"/>
      <c r="N125" s="563"/>
      <c r="O125" s="563"/>
      <c r="P125" s="563"/>
      <c r="Q125" s="563"/>
      <c r="R125" s="563"/>
      <c r="S125" s="563"/>
      <c r="T125" s="563"/>
      <c r="U125" s="563"/>
      <c r="V125" s="563"/>
      <c r="W125" s="563"/>
      <c r="X125" s="563"/>
      <c r="Y125" s="563"/>
      <c r="Z125" s="563"/>
      <c r="AA125" s="563"/>
      <c r="AB125" s="563"/>
      <c r="AC125" s="563"/>
      <c r="AD125" s="563"/>
      <c r="AE125" s="563"/>
      <c r="AF125" s="563"/>
    </row>
    <row r="126" spans="1:32">
      <c r="A126" s="563" t="s">
        <v>647</v>
      </c>
      <c r="B126" s="563"/>
      <c r="C126" s="563"/>
      <c r="D126" s="563"/>
      <c r="E126" s="563"/>
      <c r="F126" s="563"/>
      <c r="G126" s="563"/>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row>
    <row r="127" spans="1:32">
      <c r="A127" s="563" t="s">
        <v>648</v>
      </c>
      <c r="B127" s="563"/>
      <c r="C127" s="563"/>
      <c r="D127" s="563"/>
      <c r="E127" s="563"/>
      <c r="F127" s="563"/>
      <c r="G127" s="563"/>
      <c r="H127" s="563"/>
      <c r="I127" s="563"/>
      <c r="J127" s="563"/>
      <c r="K127" s="563"/>
      <c r="L127" s="563"/>
      <c r="M127" s="563"/>
      <c r="N127" s="563"/>
      <c r="O127" s="563"/>
      <c r="P127" s="563"/>
      <c r="Q127" s="563"/>
      <c r="R127" s="563"/>
      <c r="S127" s="563"/>
      <c r="T127" s="563"/>
      <c r="U127" s="563"/>
      <c r="V127" s="563"/>
      <c r="W127" s="563"/>
      <c r="X127" s="563"/>
      <c r="Y127" s="563"/>
      <c r="Z127" s="563"/>
      <c r="AA127" s="563"/>
      <c r="AB127" s="563"/>
      <c r="AC127" s="563"/>
      <c r="AD127" s="563"/>
      <c r="AE127" s="563"/>
      <c r="AF127" s="563"/>
    </row>
    <row r="128" spans="1:32">
      <c r="A128" s="563" t="s">
        <v>649</v>
      </c>
      <c r="B128" s="563"/>
      <c r="C128" s="563"/>
      <c r="D128" s="563"/>
      <c r="E128" s="563"/>
      <c r="F128" s="563"/>
      <c r="G128" s="563"/>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3"/>
      <c r="AD128" s="563"/>
      <c r="AE128" s="563"/>
      <c r="AF128" s="563"/>
    </row>
    <row r="129" spans="1:32">
      <c r="A129" s="563" t="s">
        <v>619</v>
      </c>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row>
    <row r="130" spans="1:32">
      <c r="A130" s="563" t="s">
        <v>620</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row>
    <row r="131" spans="1:32">
      <c r="A131" s="563" t="s">
        <v>621</v>
      </c>
      <c r="B131" s="563"/>
      <c r="C131" s="563"/>
      <c r="D131" s="563"/>
      <c r="E131" s="563"/>
      <c r="F131" s="563"/>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row>
    <row r="132" spans="1:32">
      <c r="A132" s="563" t="s">
        <v>650</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row>
    <row r="133" spans="1:32">
      <c r="A133" s="563" t="s">
        <v>651</v>
      </c>
      <c r="B133" s="563"/>
      <c r="C133" s="563"/>
      <c r="D133" s="563"/>
      <c r="E133" s="563"/>
      <c r="F133" s="563"/>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row>
    <row r="134" spans="1:32">
      <c r="A134" s="563" t="s">
        <v>652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row>
    <row r="135" spans="1:32">
      <c r="A135" s="563" t="s">
        <v>653</v>
      </c>
      <c r="B135" s="563"/>
      <c r="C135" s="563"/>
      <c r="D135" s="563"/>
      <c r="E135" s="563"/>
      <c r="F135" s="563"/>
      <c r="G135" s="563"/>
      <c r="H135" s="563"/>
      <c r="I135" s="563"/>
      <c r="J135" s="563"/>
      <c r="K135" s="563"/>
      <c r="L135" s="563"/>
      <c r="M135" s="563"/>
      <c r="N135" s="563"/>
      <c r="O135" s="563"/>
      <c r="P135" s="563"/>
      <c r="Q135" s="563"/>
      <c r="R135" s="563"/>
      <c r="S135" s="563"/>
      <c r="T135" s="563"/>
      <c r="U135" s="563"/>
      <c r="V135" s="563"/>
      <c r="W135" s="563"/>
      <c r="X135" s="563"/>
      <c r="Y135" s="563"/>
      <c r="Z135" s="563"/>
      <c r="AA135" s="563"/>
      <c r="AB135" s="563"/>
      <c r="AC135" s="563"/>
      <c r="AD135" s="563"/>
      <c r="AE135" s="563"/>
      <c r="AF135" s="563"/>
    </row>
    <row r="136" spans="1:32">
      <c r="A136" s="563" t="s">
        <v>654</v>
      </c>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row>
    <row r="137" spans="1:32">
      <c r="A137" s="563" t="s">
        <v>655</v>
      </c>
      <c r="B137" s="563"/>
      <c r="C137" s="563"/>
      <c r="D137" s="563"/>
      <c r="E137" s="563"/>
      <c r="F137" s="563"/>
      <c r="G137" s="563"/>
      <c r="H137" s="563"/>
      <c r="I137" s="563"/>
      <c r="J137" s="563"/>
      <c r="K137" s="563"/>
      <c r="L137" s="563"/>
      <c r="M137" s="563"/>
      <c r="N137" s="563"/>
      <c r="O137" s="563"/>
      <c r="P137" s="563"/>
      <c r="Q137" s="563"/>
      <c r="R137" s="563"/>
      <c r="S137" s="563"/>
      <c r="T137" s="563"/>
      <c r="U137" s="563"/>
      <c r="V137" s="563"/>
      <c r="W137" s="563"/>
      <c r="X137" s="563"/>
      <c r="Y137" s="563"/>
      <c r="Z137" s="563"/>
      <c r="AA137" s="563"/>
      <c r="AB137" s="563"/>
      <c r="AC137" s="563"/>
      <c r="AD137" s="563"/>
      <c r="AE137" s="563"/>
      <c r="AF137" s="563"/>
    </row>
  </sheetData>
  <mergeCells count="29">
    <mergeCell ref="A109:AF109"/>
    <mergeCell ref="A110:AF110"/>
    <mergeCell ref="A111:AF111"/>
    <mergeCell ref="A112:AF112"/>
    <mergeCell ref="A113:AF113"/>
    <mergeCell ref="A114:AF114"/>
    <mergeCell ref="A115:AF115"/>
    <mergeCell ref="A116:AF116"/>
    <mergeCell ref="A117:AF117"/>
    <mergeCell ref="A118:AF118"/>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33:AF133"/>
    <mergeCell ref="A134:AF134"/>
    <mergeCell ref="A135:AF135"/>
    <mergeCell ref="A136:AF136"/>
    <mergeCell ref="A137:AF13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57" zoomScale="125" zoomScaleNormal="125" zoomScalePageLayoutView="125" workbookViewId="0">
      <selection activeCell="F70" activeCellId="1" sqref="F57:W57 F70:W70"/>
    </sheetView>
  </sheetViews>
  <sheetFormatPr baseColWidth="10" defaultColWidth="12.5" defaultRowHeight="16" x14ac:dyDescent="0"/>
  <cols>
    <col min="1" max="1" width="47.33203125" style="5" customWidth="1"/>
    <col min="2" max="2" width="23" style="251" bestFit="1" customWidth="1"/>
    <col min="3" max="6" width="12.5" style="251"/>
    <col min="7" max="37" width="12.5" style="299"/>
    <col min="38" max="16384" width="12.5" style="5"/>
  </cols>
  <sheetData>
    <row r="1" spans="1:37">
      <c r="A1" s="268" t="s">
        <v>4</v>
      </c>
    </row>
    <row r="2" spans="1:37">
      <c r="A2" s="272" t="s">
        <v>704</v>
      </c>
    </row>
    <row r="3" spans="1:37">
      <c r="A3" s="272" t="s">
        <v>656</v>
      </c>
    </row>
    <row r="4" spans="1:37">
      <c r="A4" s="272" t="s">
        <v>657</v>
      </c>
    </row>
    <row r="6" spans="1:37">
      <c r="A6" s="6" t="s">
        <v>5</v>
      </c>
    </row>
    <row r="7" spans="1:37">
      <c r="A7" s="6" t="s">
        <v>6</v>
      </c>
    </row>
    <row r="8" spans="1:37">
      <c r="A8" s="78" t="s">
        <v>281</v>
      </c>
    </row>
    <row r="10" spans="1:37">
      <c r="AK10" s="300" t="s">
        <v>714</v>
      </c>
    </row>
    <row r="11" spans="1:37">
      <c r="B11" s="469" t="s">
        <v>7</v>
      </c>
      <c r="C11" s="469" t="s">
        <v>8</v>
      </c>
      <c r="D11" s="469" t="s">
        <v>9</v>
      </c>
      <c r="E11" s="469" t="s">
        <v>10</v>
      </c>
      <c r="F11" s="469" t="s">
        <v>11</v>
      </c>
      <c r="G11" s="300" t="s">
        <v>12</v>
      </c>
      <c r="H11" s="300" t="s">
        <v>13</v>
      </c>
      <c r="I11" s="300" t="s">
        <v>14</v>
      </c>
      <c r="J11" s="300" t="s">
        <v>15</v>
      </c>
      <c r="K11" s="300" t="s">
        <v>16</v>
      </c>
      <c r="L11" s="300" t="s">
        <v>17</v>
      </c>
      <c r="M11" s="300" t="s">
        <v>18</v>
      </c>
      <c r="N11" s="300" t="s">
        <v>19</v>
      </c>
      <c r="O11" s="300" t="s">
        <v>20</v>
      </c>
      <c r="P11" s="300" t="s">
        <v>21</v>
      </c>
      <c r="Q11" s="300" t="s">
        <v>22</v>
      </c>
      <c r="R11" s="300" t="s">
        <v>23</v>
      </c>
      <c r="S11" s="300" t="s">
        <v>24</v>
      </c>
      <c r="T11" s="300" t="s">
        <v>25</v>
      </c>
      <c r="U11" s="300" t="s">
        <v>26</v>
      </c>
      <c r="V11" s="300" t="s">
        <v>27</v>
      </c>
      <c r="W11" s="300" t="s">
        <v>28</v>
      </c>
      <c r="X11" s="300" t="s">
        <v>29</v>
      </c>
      <c r="Y11" s="300" t="s">
        <v>30</v>
      </c>
      <c r="Z11" s="300" t="s">
        <v>31</v>
      </c>
      <c r="AA11" s="300" t="s">
        <v>581</v>
      </c>
      <c r="AB11" s="300" t="s">
        <v>582</v>
      </c>
      <c r="AC11" s="300" t="s">
        <v>583</v>
      </c>
      <c r="AD11" s="300" t="s">
        <v>584</v>
      </c>
      <c r="AE11" s="300" t="s">
        <v>585</v>
      </c>
      <c r="AF11" s="300" t="s">
        <v>586</v>
      </c>
      <c r="AG11" s="300" t="s">
        <v>587</v>
      </c>
      <c r="AH11" s="300" t="s">
        <v>588</v>
      </c>
      <c r="AI11" s="300" t="s">
        <v>589</v>
      </c>
      <c r="AJ11" s="300" t="s">
        <v>590</v>
      </c>
      <c r="AK11" s="300">
        <v>2040</v>
      </c>
    </row>
    <row r="12" spans="1:37">
      <c r="B12" s="470"/>
      <c r="C12" s="470"/>
      <c r="D12" s="470"/>
      <c r="E12" s="470"/>
      <c r="F12" s="470"/>
    </row>
    <row r="13" spans="1:37">
      <c r="B13" s="470"/>
      <c r="C13" s="470"/>
      <c r="D13" s="470"/>
      <c r="E13" s="470"/>
      <c r="F13" s="470"/>
    </row>
    <row r="14" spans="1:37">
      <c r="A14" s="6" t="s">
        <v>32</v>
      </c>
      <c r="B14" s="470"/>
      <c r="C14" s="470"/>
      <c r="D14" s="470"/>
      <c r="E14" s="470"/>
      <c r="F14" s="470"/>
    </row>
    <row r="15" spans="1:37">
      <c r="A15" s="6" t="s">
        <v>33</v>
      </c>
      <c r="B15" s="470"/>
      <c r="C15" s="470"/>
      <c r="D15" s="470"/>
      <c r="E15" s="470"/>
      <c r="F15" s="470"/>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658</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659</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660</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9">
        <v>1E-4</v>
      </c>
      <c r="H33" s="499">
        <v>1E-4</v>
      </c>
      <c r="I33" s="499">
        <v>1E-4</v>
      </c>
      <c r="J33" s="499">
        <v>1E-4</v>
      </c>
      <c r="K33" s="499">
        <v>1E-4</v>
      </c>
      <c r="L33" s="499">
        <v>1E-4</v>
      </c>
      <c r="M33" s="499">
        <v>1E-4</v>
      </c>
      <c r="N33" s="499">
        <v>1E-4</v>
      </c>
      <c r="O33" s="499">
        <v>1E-4</v>
      </c>
      <c r="P33" s="499">
        <v>1E-4</v>
      </c>
      <c r="Q33" s="499">
        <v>1E-4</v>
      </c>
      <c r="R33" s="499">
        <v>1E-4</v>
      </c>
      <c r="S33" s="499">
        <v>1E-4</v>
      </c>
      <c r="T33" s="499">
        <v>1E-4</v>
      </c>
      <c r="U33" s="499">
        <v>1E-4</v>
      </c>
      <c r="V33" s="499">
        <v>1E-4</v>
      </c>
      <c r="W33" s="499">
        <v>1E-4</v>
      </c>
      <c r="X33" s="499">
        <v>1E-4</v>
      </c>
      <c r="Y33" s="499">
        <v>1E-4</v>
      </c>
      <c r="Z33" s="499">
        <v>1E-4</v>
      </c>
      <c r="AA33" s="499">
        <v>1E-4</v>
      </c>
      <c r="AB33" s="499">
        <v>1E-4</v>
      </c>
      <c r="AC33" s="499">
        <v>1E-4</v>
      </c>
      <c r="AD33" s="499">
        <v>1E-4</v>
      </c>
      <c r="AE33" s="499">
        <v>1E-4</v>
      </c>
      <c r="AF33" s="499">
        <v>1E-4</v>
      </c>
      <c r="AG33" s="499">
        <v>1E-4</v>
      </c>
      <c r="AH33" s="499">
        <v>1E-4</v>
      </c>
      <c r="AI33" s="499">
        <v>1E-4</v>
      </c>
      <c r="AJ33" s="499">
        <v>1E-4</v>
      </c>
      <c r="AK33"/>
    </row>
    <row r="34" spans="1:39" s="18" customFormat="1">
      <c r="A34" s="17" t="s">
        <v>661</v>
      </c>
      <c r="B34"/>
      <c r="C34"/>
      <c r="D34"/>
      <c r="E34"/>
      <c r="F34"/>
      <c r="G34" s="499">
        <v>1E-4</v>
      </c>
      <c r="H34" s="499">
        <v>1E-4</v>
      </c>
      <c r="I34" s="499">
        <v>1E-4</v>
      </c>
      <c r="J34" s="499">
        <v>1E-4</v>
      </c>
      <c r="K34" s="499">
        <v>1E-4</v>
      </c>
      <c r="L34" s="499">
        <v>1E-4</v>
      </c>
      <c r="M34" s="499">
        <v>1E-4</v>
      </c>
      <c r="N34" s="499">
        <v>1E-4</v>
      </c>
      <c r="O34" s="499">
        <v>1E-4</v>
      </c>
      <c r="P34" s="499">
        <v>1E-4</v>
      </c>
      <c r="Q34" s="499">
        <v>1E-4</v>
      </c>
      <c r="R34" s="499">
        <v>1E-4</v>
      </c>
      <c r="S34" s="499">
        <v>1E-4</v>
      </c>
      <c r="T34" s="499">
        <v>1E-4</v>
      </c>
      <c r="U34" s="499">
        <v>1E-4</v>
      </c>
      <c r="V34" s="499">
        <v>1E-4</v>
      </c>
      <c r="W34" s="499">
        <v>1E-4</v>
      </c>
      <c r="X34" s="499">
        <v>1E-4</v>
      </c>
      <c r="Y34" s="499">
        <v>1E-4</v>
      </c>
      <c r="Z34" s="499">
        <v>1E-4</v>
      </c>
      <c r="AA34" s="499">
        <v>1E-4</v>
      </c>
      <c r="AB34" s="499">
        <v>1E-4</v>
      </c>
      <c r="AC34" s="499">
        <v>1E-4</v>
      </c>
      <c r="AD34" s="499">
        <v>1E-4</v>
      </c>
      <c r="AE34" s="499">
        <v>1E-4</v>
      </c>
      <c r="AF34" s="499">
        <v>1E-4</v>
      </c>
      <c r="AG34" s="499">
        <v>1E-4</v>
      </c>
      <c r="AH34" s="499">
        <v>1E-4</v>
      </c>
      <c r="AI34" s="499">
        <v>1E-4</v>
      </c>
      <c r="AJ34" s="499">
        <v>1E-4</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662</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663</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661</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663</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661</v>
      </c>
      <c r="B54"/>
      <c r="C54"/>
      <c r="D54"/>
      <c r="E54"/>
      <c r="F54">
        <f>F57*EIA_electricity_aeo2014!F58</f>
        <v>2.9290343558999999E-2</v>
      </c>
      <c r="G54">
        <f>G57*EIA_electricity_aeo2014!G58</f>
        <v>6.2791797892681717E-2</v>
      </c>
      <c r="H54">
        <f>H57*EIA_electricity_aeo2014!H58</f>
        <v>5.9369649065766153E-2</v>
      </c>
      <c r="I54">
        <f>I57*EIA_electricity_aeo2014!I58</f>
        <v>9.8206643042759764E-2</v>
      </c>
      <c r="J54">
        <f>J57*EIA_electricity_aeo2014!J58</f>
        <v>0.14442151973985148</v>
      </c>
      <c r="K54">
        <f>K57*EIA_electricity_aeo2014!K58</f>
        <v>0.20628179729947438</v>
      </c>
      <c r="L54">
        <f>L57*EIA_electricity_aeo2014!L58</f>
        <v>0.27879814135046954</v>
      </c>
      <c r="M54">
        <f>M57*EIA_electricity_aeo2014!M58</f>
        <v>0.34658857961849643</v>
      </c>
      <c r="N54">
        <f>N57*EIA_electricity_aeo2014!N58</f>
        <v>0.35751682410894925</v>
      </c>
      <c r="O54">
        <f>O57*EIA_electricity_aeo2014!O58</f>
        <v>0.36060646022525411</v>
      </c>
      <c r="P54">
        <f>P57*EIA_electricity_aeo2014!P58</f>
        <v>0.35635825710038249</v>
      </c>
      <c r="Q54">
        <f>Q57*EIA_electricity_aeo2014!Q58</f>
        <v>0.35434280564078702</v>
      </c>
      <c r="R54">
        <f>R57*EIA_electricity_aeo2014!R58</f>
        <v>0.34769434502193075</v>
      </c>
      <c r="S54">
        <f>S57*EIA_electricity_aeo2014!S58</f>
        <v>0.343276806700194</v>
      </c>
      <c r="T54">
        <f>T57*EIA_electricity_aeo2014!T58</f>
        <v>0.34144121839470176</v>
      </c>
      <c r="U54">
        <f>U57*EIA_electricity_aeo2014!U58</f>
        <v>0.34083584985135579</v>
      </c>
      <c r="V54">
        <f>V57*EIA_electricity_aeo2014!V58</f>
        <v>0.33401187404518412</v>
      </c>
      <c r="W54">
        <f>W57*EIA_electricity_aeo2014!W58</f>
        <v>0.3386933937818471</v>
      </c>
      <c r="X54">
        <f>X57*EIA_electricity_aeo2014!X58</f>
        <v>0.34345627371126514</v>
      </c>
      <c r="Y54">
        <f>Y57*EIA_electricity_aeo2014!Y58</f>
        <v>0.33667979588361668</v>
      </c>
      <c r="Z54">
        <f>Z57*EIA_electricity_aeo2014!Z58</f>
        <v>0.34046825379316631</v>
      </c>
      <c r="AA54">
        <f>AA57*EIA_electricity_aeo2014!AA58</f>
        <v>0.34351635628898702</v>
      </c>
      <c r="AB54">
        <f>AB57*EIA_electricity_aeo2014!AB58</f>
        <v>0.3451455703392694</v>
      </c>
      <c r="AC54">
        <f>AC57*EIA_electricity_aeo2014!AC58</f>
        <v>0.35112885588534737</v>
      </c>
      <c r="AD54">
        <f>AD57*EIA_electricity_aeo2014!AD58</f>
        <v>0.35382841800196041</v>
      </c>
      <c r="AE54">
        <f>AE57*EIA_electricity_aeo2014!AE58</f>
        <v>0.3506229514200207</v>
      </c>
      <c r="AF54">
        <f>AF57*EIA_electricity_aeo2014!AF58</f>
        <v>0.35445167177807546</v>
      </c>
      <c r="AG54">
        <f>AG57*EIA_electricity_aeo2014!AG58</f>
        <v>0.35304434007495572</v>
      </c>
      <c r="AH54">
        <f>AH57*EIA_electricity_aeo2014!AH58</f>
        <v>0.3519310513405135</v>
      </c>
      <c r="AI54">
        <f>AI57*EIA_electricity_aeo2014!AI58</f>
        <v>0.34934024372469424</v>
      </c>
      <c r="AJ54">
        <f>AJ57*EIA_electricity_aeo2014!AJ58</f>
        <v>0.34249589012910076</v>
      </c>
      <c r="AK54" s="503">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1" customFormat="1">
      <c r="A57" s="251" t="s">
        <v>751</v>
      </c>
      <c r="B57"/>
      <c r="C57"/>
      <c r="D57"/>
      <c r="E57"/>
      <c r="F57" s="523">
        <v>6.7891299999999996E-4</v>
      </c>
      <c r="G57" s="524">
        <v>1.626792E-3</v>
      </c>
      <c r="H57" s="524">
        <v>1.630346E-3</v>
      </c>
      <c r="I57" s="524">
        <v>2.743592E-3</v>
      </c>
      <c r="J57" s="524">
        <v>3.919601E-3</v>
      </c>
      <c r="K57" s="524">
        <v>5.5147169999999997E-3</v>
      </c>
      <c r="L57" s="524">
        <v>7.5883670000000004E-3</v>
      </c>
      <c r="M57" s="524">
        <v>9.05217E-3</v>
      </c>
      <c r="N57" s="524">
        <v>9.05217E-3</v>
      </c>
      <c r="O57" s="524">
        <v>9.05217E-3</v>
      </c>
      <c r="P57" s="524">
        <v>9.05217E-3</v>
      </c>
      <c r="Q57" s="524">
        <v>9.05217E-3</v>
      </c>
      <c r="R57" s="524">
        <v>9.05217E-3</v>
      </c>
      <c r="S57" s="524">
        <v>9.05217E-3</v>
      </c>
      <c r="T57" s="524">
        <v>9.05217E-3</v>
      </c>
      <c r="U57" s="524">
        <v>9.05217E-3</v>
      </c>
      <c r="V57" s="524">
        <v>9.05217E-3</v>
      </c>
      <c r="W57" s="525">
        <v>9.05217E-3</v>
      </c>
      <c r="X57" s="525">
        <v>9.05217E-3</v>
      </c>
      <c r="Y57" s="525">
        <v>9.05217E-3</v>
      </c>
      <c r="Z57" s="525">
        <v>9.05217E-3</v>
      </c>
      <c r="AA57" s="525">
        <v>9.05217E-3</v>
      </c>
      <c r="AB57" s="525">
        <v>9.05217E-3</v>
      </c>
      <c r="AC57" s="525">
        <v>9.05217E-3</v>
      </c>
      <c r="AD57" s="525">
        <v>9.05217E-3</v>
      </c>
      <c r="AE57" s="525">
        <v>9.05217E-3</v>
      </c>
      <c r="AF57" s="525">
        <v>9.05217E-3</v>
      </c>
      <c r="AG57" s="525">
        <v>9.05217E-3</v>
      </c>
      <c r="AH57" s="525">
        <v>9.05217E-3</v>
      </c>
      <c r="AI57" s="525">
        <v>9.05217E-3</v>
      </c>
      <c r="AJ57" s="525">
        <v>9.05217E-3</v>
      </c>
      <c r="AK57"/>
    </row>
    <row r="58" spans="1:39" s="251" customFormat="1">
      <c r="A58" s="250"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745</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740</v>
      </c>
      <c r="AM59" s="18" t="s">
        <v>750</v>
      </c>
    </row>
    <row r="60" spans="1:39">
      <c r="A60" s="501" t="s">
        <v>733</v>
      </c>
      <c r="G60" s="499">
        <v>8.7418650000000007</v>
      </c>
      <c r="H60" s="499">
        <v>7.3679389999999998</v>
      </c>
      <c r="I60" s="499">
        <v>7.143516</v>
      </c>
      <c r="J60" s="499">
        <v>7.2637780000000003</v>
      </c>
      <c r="K60" s="499">
        <v>7.4072459999999998</v>
      </c>
      <c r="L60" s="499">
        <v>7.5513940000000002</v>
      </c>
      <c r="M60" s="499">
        <v>7.6289110000000004</v>
      </c>
      <c r="N60" s="499">
        <v>7.628914</v>
      </c>
      <c r="O60" s="499">
        <v>7.6289150000000001</v>
      </c>
      <c r="P60" s="499">
        <v>7.6289110000000004</v>
      </c>
      <c r="Q60" s="499">
        <v>7.6289110000000004</v>
      </c>
      <c r="R60" s="499">
        <v>7.6289129999999998</v>
      </c>
      <c r="S60" s="499">
        <v>8.0066310000000005</v>
      </c>
      <c r="T60" s="499">
        <v>8.0066299999999995</v>
      </c>
      <c r="U60" s="499">
        <v>8.0066389999999998</v>
      </c>
      <c r="V60" s="499">
        <v>8.0066559999999996</v>
      </c>
      <c r="W60" s="499">
        <v>8.0625470000000004</v>
      </c>
      <c r="X60" s="499">
        <v>8.1183399999999999</v>
      </c>
      <c r="Y60" s="499">
        <v>8.1183490000000003</v>
      </c>
      <c r="Z60" s="499">
        <v>8.1183479999999992</v>
      </c>
      <c r="AA60" s="499">
        <v>8.1183490000000003</v>
      </c>
      <c r="AB60" s="499">
        <v>8.1183510000000005</v>
      </c>
      <c r="AC60" s="499">
        <v>8.1183390000000006</v>
      </c>
      <c r="AD60" s="499">
        <v>8.1183390000000006</v>
      </c>
      <c r="AE60" s="499">
        <v>8.1183390000000006</v>
      </c>
      <c r="AF60" s="499">
        <v>8.1587929999999993</v>
      </c>
      <c r="AG60" s="499">
        <v>8.1587929999999993</v>
      </c>
      <c r="AH60" s="499">
        <v>8.1587929999999993</v>
      </c>
      <c r="AI60" s="499">
        <v>8.1587929999999993</v>
      </c>
      <c r="AJ60" s="499">
        <v>8.1588030000000007</v>
      </c>
      <c r="AK60" s="503">
        <v>4.0000000000000001E-3</v>
      </c>
      <c r="AL60" s="508" t="s">
        <v>727</v>
      </c>
      <c r="AM60" s="29">
        <v>1E-8</v>
      </c>
    </row>
    <row r="61" spans="1:39">
      <c r="A61" s="501" t="s">
        <v>734</v>
      </c>
      <c r="G61" s="499">
        <v>1E-4</v>
      </c>
      <c r="H61" s="499">
        <v>1E-4</v>
      </c>
      <c r="I61" s="499">
        <v>1E-4</v>
      </c>
      <c r="J61" s="499">
        <v>1E-4</v>
      </c>
      <c r="K61" s="499">
        <v>1E-4</v>
      </c>
      <c r="L61" s="499">
        <v>1E-4</v>
      </c>
      <c r="M61" s="499">
        <v>1E-4</v>
      </c>
      <c r="N61" s="499">
        <v>1E-4</v>
      </c>
      <c r="O61" s="499">
        <v>1E-4</v>
      </c>
      <c r="P61" s="499">
        <v>1E-4</v>
      </c>
      <c r="Q61" s="499">
        <v>1E-4</v>
      </c>
      <c r="R61" s="499">
        <v>1E-4</v>
      </c>
      <c r="S61" s="499">
        <v>1E-4</v>
      </c>
      <c r="T61" s="499">
        <v>1E-4</v>
      </c>
      <c r="U61" s="499">
        <v>1E-4</v>
      </c>
      <c r="V61" s="499">
        <v>1E-4</v>
      </c>
      <c r="W61" s="499">
        <v>1E-4</v>
      </c>
      <c r="X61" s="499">
        <v>1E-4</v>
      </c>
      <c r="Y61" s="499">
        <v>1E-4</v>
      </c>
      <c r="Z61" s="499">
        <v>1E-4</v>
      </c>
      <c r="AA61" s="499">
        <v>1E-4</v>
      </c>
      <c r="AB61" s="499">
        <v>1E-4</v>
      </c>
      <c r="AC61" s="499">
        <v>1E-4</v>
      </c>
      <c r="AD61" s="499">
        <v>1E-4</v>
      </c>
      <c r="AE61" s="499">
        <v>1E-4</v>
      </c>
      <c r="AF61" s="499">
        <v>1E-4</v>
      </c>
      <c r="AG61" s="499">
        <v>1E-4</v>
      </c>
      <c r="AH61" s="499">
        <v>1E-4</v>
      </c>
      <c r="AI61" s="499">
        <v>1E-4</v>
      </c>
      <c r="AJ61" s="499">
        <v>1E-4</v>
      </c>
      <c r="AK61" s="499" t="s">
        <v>41</v>
      </c>
      <c r="AL61" s="508" t="s">
        <v>728</v>
      </c>
      <c r="AM61" s="29">
        <v>0.13171479055162533</v>
      </c>
    </row>
    <row r="62" spans="1:39">
      <c r="A62" s="501" t="s">
        <v>735</v>
      </c>
      <c r="G62" s="499">
        <v>2.4104190000000001</v>
      </c>
      <c r="H62" s="499">
        <v>2.5045899999999999</v>
      </c>
      <c r="I62" s="499">
        <v>2.8071229999999998</v>
      </c>
      <c r="J62" s="499">
        <v>2.8052320000000002</v>
      </c>
      <c r="K62" s="499">
        <v>2.8049550000000001</v>
      </c>
      <c r="L62" s="499">
        <v>2.8049979999999999</v>
      </c>
      <c r="M62" s="499">
        <v>2.8050060000000001</v>
      </c>
      <c r="N62" s="499">
        <v>2.8050540000000002</v>
      </c>
      <c r="O62" s="499">
        <v>2.805059</v>
      </c>
      <c r="P62" s="499">
        <v>2.8050329999999999</v>
      </c>
      <c r="Q62" s="499">
        <v>2.8050139999999999</v>
      </c>
      <c r="R62" s="499">
        <v>2.8050009999999999</v>
      </c>
      <c r="S62" s="499">
        <v>2.8049840000000001</v>
      </c>
      <c r="T62" s="499">
        <v>2.8049659999999998</v>
      </c>
      <c r="U62" s="499">
        <v>2.8128419999999998</v>
      </c>
      <c r="V62" s="499">
        <v>2.8128139999999999</v>
      </c>
      <c r="W62" s="499">
        <v>2.804888</v>
      </c>
      <c r="X62" s="499">
        <v>2.8127620000000002</v>
      </c>
      <c r="Y62" s="499">
        <v>2.8048220000000001</v>
      </c>
      <c r="Z62" s="499">
        <v>2.8047960000000001</v>
      </c>
      <c r="AA62" s="499">
        <v>2.8126690000000001</v>
      </c>
      <c r="AB62" s="499">
        <v>2.8126370000000001</v>
      </c>
      <c r="AC62" s="499">
        <v>2.812605</v>
      </c>
      <c r="AD62" s="499">
        <v>2.8046090000000001</v>
      </c>
      <c r="AE62" s="499">
        <v>2.8045629999999999</v>
      </c>
      <c r="AF62" s="499">
        <v>2.804481</v>
      </c>
      <c r="AG62" s="499">
        <v>2.804443</v>
      </c>
      <c r="AH62" s="499">
        <v>2.812452</v>
      </c>
      <c r="AI62" s="499">
        <v>2.8043680000000002</v>
      </c>
      <c r="AJ62" s="499">
        <v>2.8043420000000001</v>
      </c>
      <c r="AK62" s="503">
        <v>4.0000000000000001E-3</v>
      </c>
      <c r="AL62" s="508" t="s">
        <v>729</v>
      </c>
      <c r="AM62" s="29">
        <v>0</v>
      </c>
    </row>
    <row r="63" spans="1:39">
      <c r="A63" s="501" t="s">
        <v>736</v>
      </c>
      <c r="G63" s="499">
        <v>4.9026430000000003</v>
      </c>
      <c r="H63" s="499">
        <v>4.9682649999999997</v>
      </c>
      <c r="I63" s="499">
        <v>4.1277520000000001</v>
      </c>
      <c r="J63" s="499">
        <v>4.273466</v>
      </c>
      <c r="K63" s="499">
        <v>4.5447800000000003</v>
      </c>
      <c r="L63" s="499">
        <v>5.8157610000000002</v>
      </c>
      <c r="M63" s="499">
        <v>5.9488620000000001</v>
      </c>
      <c r="N63" s="499">
        <v>6.0622280000000002</v>
      </c>
      <c r="O63" s="499">
        <v>6.227868</v>
      </c>
      <c r="P63" s="499">
        <v>6.3883910000000004</v>
      </c>
      <c r="Q63" s="499">
        <v>6.88218</v>
      </c>
      <c r="R63" s="499">
        <v>6.9049709999999997</v>
      </c>
      <c r="S63" s="499">
        <v>6.9134719999999996</v>
      </c>
      <c r="T63" s="499">
        <v>6.9758950000000004</v>
      </c>
      <c r="U63" s="499">
        <v>7.0007729999999997</v>
      </c>
      <c r="V63" s="499">
        <v>7.0603559999999996</v>
      </c>
      <c r="W63" s="499">
        <v>7.31555</v>
      </c>
      <c r="X63" s="499">
        <v>7.7111660000000004</v>
      </c>
      <c r="Y63" s="499">
        <v>7.6204000000000001</v>
      </c>
      <c r="Z63" s="499">
        <v>7.621054</v>
      </c>
      <c r="AA63" s="499">
        <v>7.7105220000000001</v>
      </c>
      <c r="AB63" s="499">
        <v>7.7002639999999998</v>
      </c>
      <c r="AC63" s="499">
        <v>7.7720380000000002</v>
      </c>
      <c r="AD63" s="499">
        <v>7.8200839999999996</v>
      </c>
      <c r="AE63" s="499">
        <v>7.8508079999999998</v>
      </c>
      <c r="AF63" s="499">
        <v>7.9168310000000002</v>
      </c>
      <c r="AG63" s="499">
        <v>8.0954979999999992</v>
      </c>
      <c r="AH63" s="499">
        <v>7.9878850000000003</v>
      </c>
      <c r="AI63" s="499">
        <v>8.0393059999999998</v>
      </c>
      <c r="AJ63" s="499">
        <v>8.0937809999999999</v>
      </c>
      <c r="AK63" s="503">
        <v>1.7999999999999999E-2</v>
      </c>
      <c r="AL63" s="508" t="s">
        <v>143</v>
      </c>
      <c r="AM63" s="29">
        <v>1.5460555819635518E-2</v>
      </c>
    </row>
    <row r="64" spans="1:39">
      <c r="A64" s="501" t="s">
        <v>737</v>
      </c>
      <c r="G64" s="499">
        <v>0.15174599999999999</v>
      </c>
      <c r="H64" s="499">
        <v>0.33105699999999999</v>
      </c>
      <c r="I64" s="499">
        <v>0.495058</v>
      </c>
      <c r="J64" s="499">
        <v>0.64011700000000005</v>
      </c>
      <c r="K64" s="499">
        <v>0.77832199999999996</v>
      </c>
      <c r="L64" s="499">
        <v>0.90318799999999999</v>
      </c>
      <c r="M64" s="499">
        <v>0.907725</v>
      </c>
      <c r="N64" s="499">
        <v>0.91335</v>
      </c>
      <c r="O64" s="499">
        <v>0.919655</v>
      </c>
      <c r="P64" s="499">
        <v>0.93021600000000004</v>
      </c>
      <c r="Q64" s="499">
        <v>0.94396800000000003</v>
      </c>
      <c r="R64" s="499">
        <v>0.96229600000000004</v>
      </c>
      <c r="S64" s="499">
        <v>0.98622900000000002</v>
      </c>
      <c r="T64" s="499">
        <v>1.0305299999999999</v>
      </c>
      <c r="U64" s="499">
        <v>1.083075</v>
      </c>
      <c r="V64" s="499">
        <v>1.139122</v>
      </c>
      <c r="W64" s="499">
        <v>1.1992290000000001</v>
      </c>
      <c r="X64" s="499">
        <v>1.2627889999999999</v>
      </c>
      <c r="Y64" s="499">
        <v>1.3284100000000001</v>
      </c>
      <c r="Z64" s="499">
        <v>1.405724</v>
      </c>
      <c r="AA64" s="499">
        <v>1.4838359999999999</v>
      </c>
      <c r="AB64" s="499">
        <v>1.5610980000000001</v>
      </c>
      <c r="AC64" s="499">
        <v>1.6377930000000001</v>
      </c>
      <c r="AD64" s="499">
        <v>1.7154689999999999</v>
      </c>
      <c r="AE64" s="499">
        <v>1.7942560000000001</v>
      </c>
      <c r="AF64" s="499">
        <v>1.8740209999999999</v>
      </c>
      <c r="AG64" s="499">
        <v>1.954977</v>
      </c>
      <c r="AH64" s="499">
        <v>2.036438</v>
      </c>
      <c r="AI64" s="499">
        <v>2.12378</v>
      </c>
      <c r="AJ64" s="499">
        <v>2.2136420000000001</v>
      </c>
      <c r="AK64" s="503">
        <v>7.0000000000000007E-2</v>
      </c>
      <c r="AL64" s="508" t="s">
        <v>730</v>
      </c>
      <c r="AM64" s="29">
        <v>2.4028798077904475E-2</v>
      </c>
    </row>
    <row r="65" spans="1:44">
      <c r="A65" s="501" t="s">
        <v>738</v>
      </c>
      <c r="G65" s="499">
        <v>0.87209000000000003</v>
      </c>
      <c r="H65" s="499">
        <v>1.300173</v>
      </c>
      <c r="I65" s="499">
        <v>2.159392</v>
      </c>
      <c r="J65" s="499">
        <v>2.1913999999999998</v>
      </c>
      <c r="K65" s="499">
        <v>5.4170920000000002</v>
      </c>
      <c r="L65" s="499">
        <v>7.5953010000000001</v>
      </c>
      <c r="M65" s="499">
        <v>7.5951300000000002</v>
      </c>
      <c r="N65" s="499">
        <v>7.5927850000000001</v>
      </c>
      <c r="O65" s="499">
        <v>7.5931499999999996</v>
      </c>
      <c r="P65" s="499">
        <v>7.5947380000000004</v>
      </c>
      <c r="Q65" s="499">
        <v>7.593947</v>
      </c>
      <c r="R65" s="499">
        <v>7.593458</v>
      </c>
      <c r="S65" s="499">
        <v>7.5959349999999999</v>
      </c>
      <c r="T65" s="499">
        <v>7.6032710000000003</v>
      </c>
      <c r="U65" s="499">
        <v>7.59856</v>
      </c>
      <c r="V65" s="499">
        <v>7.6346720000000001</v>
      </c>
      <c r="W65" s="499">
        <v>7.6616739999999997</v>
      </c>
      <c r="X65" s="499">
        <v>7.7972000000000001</v>
      </c>
      <c r="Y65" s="499">
        <v>7.946593</v>
      </c>
      <c r="Z65" s="499">
        <v>7.98421</v>
      </c>
      <c r="AA65" s="499">
        <v>7.9892310000000002</v>
      </c>
      <c r="AB65" s="499">
        <v>7.9937459999999998</v>
      </c>
      <c r="AC65" s="499">
        <v>8.1112169999999999</v>
      </c>
      <c r="AD65" s="499">
        <v>8.2670729999999999</v>
      </c>
      <c r="AE65" s="499">
        <v>8.323385</v>
      </c>
      <c r="AF65" s="499">
        <v>8.8026859999999996</v>
      </c>
      <c r="AG65" s="499">
        <v>9.1621249999999996</v>
      </c>
      <c r="AH65" s="499">
        <v>9.2056570000000004</v>
      </c>
      <c r="AI65" s="499">
        <v>9.3002129999999994</v>
      </c>
      <c r="AJ65" s="499">
        <v>9.4375099999999996</v>
      </c>
      <c r="AK65" s="503">
        <v>7.2999999999999995E-2</v>
      </c>
      <c r="AL65" s="508" t="s">
        <v>731</v>
      </c>
      <c r="AM65" s="29">
        <v>0.46704213906781578</v>
      </c>
    </row>
    <row r="66" spans="1:44">
      <c r="A66" s="502" t="s">
        <v>739</v>
      </c>
      <c r="G66" s="500">
        <v>17.078764</v>
      </c>
      <c r="H66" s="500">
        <v>16.472023</v>
      </c>
      <c r="I66" s="500">
        <v>16.732841000000001</v>
      </c>
      <c r="J66" s="500">
        <v>17.173991999999998</v>
      </c>
      <c r="K66" s="500">
        <v>20.952396</v>
      </c>
      <c r="L66" s="500">
        <v>24.670642999999998</v>
      </c>
      <c r="M66" s="500">
        <v>24.885635000000001</v>
      </c>
      <c r="N66" s="500">
        <v>25.002333</v>
      </c>
      <c r="O66" s="500">
        <v>25.174648000000001</v>
      </c>
      <c r="P66" s="500">
        <v>25.347287999999999</v>
      </c>
      <c r="Q66" s="500">
        <v>25.854019000000001</v>
      </c>
      <c r="R66" s="500">
        <v>25.894639999999999</v>
      </c>
      <c r="S66" s="500">
        <v>26.307251000000001</v>
      </c>
      <c r="T66" s="500">
        <v>26.421292999999999</v>
      </c>
      <c r="U66" s="500">
        <v>26.50189</v>
      </c>
      <c r="V66" s="500">
        <v>26.65362</v>
      </c>
      <c r="W66" s="500">
        <v>27.043886000000001</v>
      </c>
      <c r="X66" s="500">
        <v>27.702259000000002</v>
      </c>
      <c r="Y66" s="500">
        <v>27.818573000000001</v>
      </c>
      <c r="Z66" s="500">
        <v>27.934132000000002</v>
      </c>
      <c r="AA66" s="500">
        <v>28.114606999999999</v>
      </c>
      <c r="AB66" s="500">
        <v>28.186095999999999</v>
      </c>
      <c r="AC66" s="500">
        <v>28.451992000000001</v>
      </c>
      <c r="AD66" s="500">
        <v>28.725574000000002</v>
      </c>
      <c r="AE66" s="500">
        <v>28.891352000000001</v>
      </c>
      <c r="AF66" s="500">
        <v>29.556812000000001</v>
      </c>
      <c r="AG66" s="500">
        <v>30.175837000000001</v>
      </c>
      <c r="AH66" s="500">
        <v>30.201225000000001</v>
      </c>
      <c r="AI66" s="500">
        <v>30.426459999999999</v>
      </c>
      <c r="AJ66" s="500">
        <v>30.708079999999999</v>
      </c>
      <c r="AK66" s="504">
        <v>2.1999999999999999E-2</v>
      </c>
      <c r="AL66" s="508" t="s">
        <v>732</v>
      </c>
      <c r="AM66" s="29">
        <v>0.17268247270778914</v>
      </c>
    </row>
    <row r="67" spans="1:44">
      <c r="A67" s="510"/>
      <c r="B67"/>
      <c r="C67"/>
      <c r="D67"/>
      <c r="E67"/>
      <c r="F67"/>
      <c r="G67"/>
      <c r="H67"/>
      <c r="I67"/>
      <c r="J67"/>
      <c r="K67"/>
      <c r="L67"/>
      <c r="M67"/>
      <c r="N67"/>
      <c r="O67"/>
      <c r="P67"/>
      <c r="Q67"/>
      <c r="R67"/>
      <c r="S67"/>
      <c r="T67"/>
      <c r="U67"/>
      <c r="V67"/>
      <c r="W67"/>
      <c r="X67"/>
      <c r="Y67"/>
      <c r="Z67"/>
      <c r="AA67"/>
      <c r="AB67"/>
      <c r="AC67"/>
      <c r="AD67"/>
      <c r="AE67"/>
      <c r="AF67"/>
      <c r="AG67"/>
      <c r="AH67"/>
      <c r="AI67"/>
      <c r="AJ67"/>
      <c r="AK67"/>
      <c r="AL67" s="509" t="s">
        <v>58</v>
      </c>
      <c r="AM67" s="29">
        <v>0.14643325694849418</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1"/>
      <c r="C69" s="471"/>
      <c r="D69" s="471"/>
      <c r="E69" s="471"/>
      <c r="F69" s="471"/>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44" s="90" customFormat="1">
      <c r="B70" s="472" t="s">
        <v>7</v>
      </c>
      <c r="C70" s="472" t="s">
        <v>8</v>
      </c>
      <c r="D70" s="472" t="s">
        <v>9</v>
      </c>
      <c r="E70" s="472" t="s">
        <v>10</v>
      </c>
      <c r="F70" s="472" t="s">
        <v>11</v>
      </c>
      <c r="G70" s="319" t="s">
        <v>12</v>
      </c>
      <c r="H70" s="319" t="s">
        <v>13</v>
      </c>
      <c r="I70" s="319" t="s">
        <v>14</v>
      </c>
      <c r="J70" s="319" t="s">
        <v>15</v>
      </c>
      <c r="K70" s="319" t="s">
        <v>16</v>
      </c>
      <c r="L70" s="319" t="s">
        <v>17</v>
      </c>
      <c r="M70" s="319" t="s">
        <v>18</v>
      </c>
      <c r="N70" s="319" t="s">
        <v>19</v>
      </c>
      <c r="O70" s="319" t="s">
        <v>20</v>
      </c>
      <c r="P70" s="319" t="s">
        <v>21</v>
      </c>
      <c r="Q70" s="319" t="s">
        <v>22</v>
      </c>
      <c r="R70" s="319" t="s">
        <v>23</v>
      </c>
      <c r="S70" s="319" t="s">
        <v>24</v>
      </c>
      <c r="T70" s="319" t="s">
        <v>25</v>
      </c>
      <c r="U70" s="319" t="s">
        <v>26</v>
      </c>
      <c r="V70" s="319" t="s">
        <v>27</v>
      </c>
      <c r="W70" s="319" t="s">
        <v>28</v>
      </c>
      <c r="X70" s="319" t="s">
        <v>29</v>
      </c>
      <c r="Y70" s="319" t="s">
        <v>30</v>
      </c>
      <c r="Z70" s="319" t="s">
        <v>31</v>
      </c>
      <c r="AA70" s="319" t="s">
        <v>581</v>
      </c>
      <c r="AB70" s="319" t="s">
        <v>582</v>
      </c>
      <c r="AC70" s="319" t="s">
        <v>583</v>
      </c>
      <c r="AD70" s="319" t="s">
        <v>584</v>
      </c>
      <c r="AE70" s="319" t="s">
        <v>585</v>
      </c>
      <c r="AF70" s="319" t="s">
        <v>586</v>
      </c>
      <c r="AG70" s="319" t="s">
        <v>587</v>
      </c>
      <c r="AH70" s="319" t="s">
        <v>588</v>
      </c>
      <c r="AI70" s="319" t="s">
        <v>589</v>
      </c>
      <c r="AJ70" s="319" t="s">
        <v>590</v>
      </c>
      <c r="AK70" s="319" t="s">
        <v>593</v>
      </c>
      <c r="AM70" s="90" t="s">
        <v>746</v>
      </c>
      <c r="AN70" s="90">
        <v>2006</v>
      </c>
      <c r="AO70" s="90">
        <v>2007</v>
      </c>
      <c r="AP70" s="90">
        <v>2008</v>
      </c>
      <c r="AQ70" s="90">
        <v>2009</v>
      </c>
      <c r="AR70" s="90">
        <v>2010</v>
      </c>
    </row>
    <row r="71" spans="1:44">
      <c r="B71" s="470"/>
      <c r="C71" s="470"/>
      <c r="D71" s="470"/>
      <c r="E71" s="470"/>
      <c r="F71" s="470"/>
    </row>
    <row r="72" spans="1:44" s="18" customFormat="1">
      <c r="A72" s="17" t="s">
        <v>55</v>
      </c>
      <c r="B72" s="473"/>
      <c r="C72" s="473"/>
      <c r="D72" s="473"/>
      <c r="E72" s="473"/>
      <c r="F72" s="473"/>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M72" s="18" t="s">
        <v>727</v>
      </c>
      <c r="AN72" s="18">
        <v>0</v>
      </c>
      <c r="AO72" s="18">
        <v>0</v>
      </c>
      <c r="AP72" s="18">
        <v>0</v>
      </c>
      <c r="AQ72" s="18">
        <v>0</v>
      </c>
      <c r="AR72" s="18">
        <v>0</v>
      </c>
    </row>
    <row r="73" spans="1:44" s="18" customFormat="1">
      <c r="A73" s="17" t="s">
        <v>49</v>
      </c>
      <c r="B73" s="491">
        <f>AN73</f>
        <v>1.5129999999999999</v>
      </c>
      <c r="C73" s="491">
        <f t="shared" ref="C73:F73" si="0">AO73</f>
        <v>0.79700000000000004</v>
      </c>
      <c r="D73" s="491">
        <f t="shared" si="0"/>
        <v>1.1559999999999999</v>
      </c>
      <c r="E73" s="491">
        <f t="shared" si="0"/>
        <v>1.2010000000000001</v>
      </c>
      <c r="F73" s="491">
        <f t="shared" si="0"/>
        <v>0.996</v>
      </c>
      <c r="G73" s="484">
        <f t="shared" ref="G73:AJ73" si="1">G60*$AM61</f>
        <v>1.1514329175055842</v>
      </c>
      <c r="H73" s="484">
        <f t="shared" si="1"/>
        <v>0.97046654218215178</v>
      </c>
      <c r="I73" s="484">
        <f t="shared" si="1"/>
        <v>0.94090671374218438</v>
      </c>
      <c r="J73" s="484">
        <f t="shared" si="1"/>
        <v>0.95674699788350392</v>
      </c>
      <c r="K73" s="484">
        <f t="shared" si="1"/>
        <v>0.97564385545436449</v>
      </c>
      <c r="L73" s="484">
        <f t="shared" si="1"/>
        <v>0.99463027908280022</v>
      </c>
      <c r="M73" s="484">
        <f t="shared" si="1"/>
        <v>1.0048404145019907</v>
      </c>
      <c r="N73" s="484">
        <f t="shared" si="1"/>
        <v>1.0048408096463621</v>
      </c>
      <c r="O73" s="484">
        <f t="shared" si="1"/>
        <v>1.0048409413611528</v>
      </c>
      <c r="P73" s="484">
        <f t="shared" si="1"/>
        <v>1.0048404145019907</v>
      </c>
      <c r="Q73" s="484">
        <f t="shared" si="1"/>
        <v>1.0048404145019907</v>
      </c>
      <c r="R73" s="484">
        <f t="shared" si="1"/>
        <v>1.0048406779315715</v>
      </c>
      <c r="S73" s="484">
        <f t="shared" si="1"/>
        <v>1.0545917251891506</v>
      </c>
      <c r="T73" s="484">
        <f t="shared" si="1"/>
        <v>1.0545915934743597</v>
      </c>
      <c r="U73" s="484">
        <f t="shared" si="1"/>
        <v>1.0545927789074749</v>
      </c>
      <c r="V73" s="484">
        <f t="shared" si="1"/>
        <v>1.0545950180589141</v>
      </c>
      <c r="W73" s="484">
        <f t="shared" si="1"/>
        <v>1.0619566894176351</v>
      </c>
      <c r="X73" s="484">
        <f t="shared" si="1"/>
        <v>1.0693054527268819</v>
      </c>
      <c r="Y73" s="484">
        <f t="shared" si="1"/>
        <v>1.0693066381599969</v>
      </c>
      <c r="Z73" s="484">
        <f t="shared" si="1"/>
        <v>1.0693065064452063</v>
      </c>
      <c r="AA73" s="484">
        <f t="shared" si="1"/>
        <v>1.0693066381599969</v>
      </c>
      <c r="AB73" s="484">
        <f t="shared" si="1"/>
        <v>1.0693069015895782</v>
      </c>
      <c r="AC73" s="484">
        <f t="shared" si="1"/>
        <v>1.0693053210120915</v>
      </c>
      <c r="AD73" s="484">
        <f t="shared" si="1"/>
        <v>1.0693053210120915</v>
      </c>
      <c r="AE73" s="484">
        <f t="shared" si="1"/>
        <v>1.0693053210120915</v>
      </c>
      <c r="AF73" s="484">
        <f t="shared" si="1"/>
        <v>1.0746337111490667</v>
      </c>
      <c r="AG73" s="484">
        <f t="shared" si="1"/>
        <v>1.0746337111490667</v>
      </c>
      <c r="AH73" s="484">
        <f t="shared" si="1"/>
        <v>1.0746337111490667</v>
      </c>
      <c r="AI73" s="484">
        <f t="shared" si="1"/>
        <v>1.0746337111490667</v>
      </c>
      <c r="AJ73" s="484">
        <f t="shared" si="1"/>
        <v>1.0746350282969725</v>
      </c>
      <c r="AK73" s="485"/>
      <c r="AM73" s="18" t="s">
        <v>728</v>
      </c>
      <c r="AN73" s="18">
        <v>1.5129999999999999</v>
      </c>
      <c r="AO73" s="18">
        <v>0.79700000000000004</v>
      </c>
      <c r="AP73" s="18">
        <v>1.1559999999999999</v>
      </c>
      <c r="AQ73" s="18">
        <v>1.2010000000000001</v>
      </c>
      <c r="AR73" s="18">
        <v>0.996</v>
      </c>
    </row>
    <row r="74" spans="1:44" s="18" customFormat="1">
      <c r="A74" s="17" t="s">
        <v>50</v>
      </c>
      <c r="B74" s="491">
        <f>AN72</f>
        <v>0</v>
      </c>
      <c r="C74" s="491">
        <f t="shared" ref="C74:F74" si="2">AO72</f>
        <v>0</v>
      </c>
      <c r="D74" s="491">
        <f t="shared" si="2"/>
        <v>0</v>
      </c>
      <c r="E74" s="491">
        <f t="shared" si="2"/>
        <v>0</v>
      </c>
      <c r="F74" s="491">
        <f t="shared" si="2"/>
        <v>0</v>
      </c>
      <c r="G74" s="484">
        <f t="shared" ref="G74:AJ74" si="3">G61*$AM60</f>
        <v>9.9999999999999998E-13</v>
      </c>
      <c r="H74" s="484">
        <f t="shared" si="3"/>
        <v>9.9999999999999998E-13</v>
      </c>
      <c r="I74" s="484">
        <f t="shared" si="3"/>
        <v>9.9999999999999998E-13</v>
      </c>
      <c r="J74" s="484">
        <f t="shared" si="3"/>
        <v>9.9999999999999998E-13</v>
      </c>
      <c r="K74" s="484">
        <f t="shared" si="3"/>
        <v>9.9999999999999998E-13</v>
      </c>
      <c r="L74" s="484">
        <f t="shared" si="3"/>
        <v>9.9999999999999998E-13</v>
      </c>
      <c r="M74" s="484">
        <f t="shared" si="3"/>
        <v>9.9999999999999998E-13</v>
      </c>
      <c r="N74" s="484">
        <f t="shared" si="3"/>
        <v>9.9999999999999998E-13</v>
      </c>
      <c r="O74" s="484">
        <f t="shared" si="3"/>
        <v>9.9999999999999998E-13</v>
      </c>
      <c r="P74" s="484">
        <f t="shared" si="3"/>
        <v>9.9999999999999998E-13</v>
      </c>
      <c r="Q74" s="484">
        <f t="shared" si="3"/>
        <v>9.9999999999999998E-13</v>
      </c>
      <c r="R74" s="484">
        <f t="shared" si="3"/>
        <v>9.9999999999999998E-13</v>
      </c>
      <c r="S74" s="484">
        <f t="shared" si="3"/>
        <v>9.9999999999999998E-13</v>
      </c>
      <c r="T74" s="484">
        <f t="shared" si="3"/>
        <v>9.9999999999999998E-13</v>
      </c>
      <c r="U74" s="484">
        <f t="shared" si="3"/>
        <v>9.9999999999999998E-13</v>
      </c>
      <c r="V74" s="484">
        <f t="shared" si="3"/>
        <v>9.9999999999999998E-13</v>
      </c>
      <c r="W74" s="484">
        <f t="shared" si="3"/>
        <v>9.9999999999999998E-13</v>
      </c>
      <c r="X74" s="484">
        <f t="shared" si="3"/>
        <v>9.9999999999999998E-13</v>
      </c>
      <c r="Y74" s="484">
        <f t="shared" si="3"/>
        <v>9.9999999999999998E-13</v>
      </c>
      <c r="Z74" s="484">
        <f t="shared" si="3"/>
        <v>9.9999999999999998E-13</v>
      </c>
      <c r="AA74" s="484">
        <f t="shared" si="3"/>
        <v>9.9999999999999998E-13</v>
      </c>
      <c r="AB74" s="484">
        <f t="shared" si="3"/>
        <v>9.9999999999999998E-13</v>
      </c>
      <c r="AC74" s="484">
        <f t="shared" si="3"/>
        <v>9.9999999999999998E-13</v>
      </c>
      <c r="AD74" s="484">
        <f t="shared" si="3"/>
        <v>9.9999999999999998E-13</v>
      </c>
      <c r="AE74" s="484">
        <f t="shared" si="3"/>
        <v>9.9999999999999998E-13</v>
      </c>
      <c r="AF74" s="484">
        <f t="shared" si="3"/>
        <v>9.9999999999999998E-13</v>
      </c>
      <c r="AG74" s="484">
        <f t="shared" si="3"/>
        <v>9.9999999999999998E-13</v>
      </c>
      <c r="AH74" s="484">
        <f t="shared" si="3"/>
        <v>9.9999999999999998E-13</v>
      </c>
      <c r="AI74" s="484">
        <f t="shared" si="3"/>
        <v>9.9999999999999998E-13</v>
      </c>
      <c r="AJ74" s="484">
        <f t="shared" si="3"/>
        <v>9.9999999999999998E-13</v>
      </c>
      <c r="AK74" s="485"/>
      <c r="AM74" s="18" t="s">
        <v>729</v>
      </c>
      <c r="AN74" s="18">
        <v>0</v>
      </c>
      <c r="AO74" s="18">
        <v>0</v>
      </c>
      <c r="AP74" s="18">
        <v>0</v>
      </c>
      <c r="AQ74" s="18">
        <v>0</v>
      </c>
      <c r="AR74" s="18">
        <v>1E-3</v>
      </c>
    </row>
    <row r="75" spans="1:44" s="18" customFormat="1">
      <c r="A75" s="17" t="s">
        <v>51</v>
      </c>
      <c r="B75" s="491">
        <f>AN77</f>
        <v>1.1259999999999999</v>
      </c>
      <c r="C75" s="491">
        <f t="shared" ref="C75:F75" si="4">AO77</f>
        <v>1.0940000000000001</v>
      </c>
      <c r="D75" s="491">
        <f t="shared" si="4"/>
        <v>1.1279999999999999</v>
      </c>
      <c r="E75" s="491">
        <f t="shared" si="4"/>
        <v>1.1040000000000001</v>
      </c>
      <c r="F75" s="491">
        <f t="shared" si="4"/>
        <v>1.125</v>
      </c>
      <c r="G75" s="484">
        <f t="shared" ref="G75:AJ75" si="5">G62*$AM65</f>
        <v>1.1257672458097054</v>
      </c>
      <c r="H75" s="484">
        <f t="shared" si="5"/>
        <v>1.1697490710878606</v>
      </c>
      <c r="I75" s="484">
        <f t="shared" si="5"/>
        <v>1.3110447305464641</v>
      </c>
      <c r="J75" s="484">
        <f t="shared" si="5"/>
        <v>1.310161553861487</v>
      </c>
      <c r="K75" s="484">
        <f t="shared" si="5"/>
        <v>1.3100321831889652</v>
      </c>
      <c r="L75" s="484">
        <f t="shared" si="5"/>
        <v>1.310052266000945</v>
      </c>
      <c r="M75" s="484">
        <f t="shared" si="5"/>
        <v>1.3100560023380576</v>
      </c>
      <c r="N75" s="484">
        <f t="shared" si="5"/>
        <v>1.310078420360733</v>
      </c>
      <c r="O75" s="484">
        <f t="shared" si="5"/>
        <v>1.3100807555714282</v>
      </c>
      <c r="P75" s="484">
        <f t="shared" si="5"/>
        <v>1.3100686124758125</v>
      </c>
      <c r="Q75" s="484">
        <f t="shared" si="5"/>
        <v>1.3100597386751702</v>
      </c>
      <c r="R75" s="484">
        <f t="shared" si="5"/>
        <v>1.3100536671273622</v>
      </c>
      <c r="S75" s="484">
        <f t="shared" si="5"/>
        <v>1.3100457274109982</v>
      </c>
      <c r="T75" s="484">
        <f t="shared" si="5"/>
        <v>1.3100373206524949</v>
      </c>
      <c r="U75" s="484">
        <f t="shared" si="5"/>
        <v>1.3137157445397929</v>
      </c>
      <c r="V75" s="484">
        <f t="shared" si="5"/>
        <v>1.313702667359899</v>
      </c>
      <c r="W75" s="484">
        <f t="shared" si="5"/>
        <v>1.3100008913656476</v>
      </c>
      <c r="X75" s="484">
        <f t="shared" si="5"/>
        <v>1.3136783811686676</v>
      </c>
      <c r="Y75" s="484">
        <f t="shared" si="5"/>
        <v>1.3099700665844694</v>
      </c>
      <c r="Z75" s="484">
        <f t="shared" si="5"/>
        <v>1.3099579234888534</v>
      </c>
      <c r="AA75" s="484">
        <f t="shared" si="5"/>
        <v>1.3136349462497343</v>
      </c>
      <c r="AB75" s="484">
        <f t="shared" si="5"/>
        <v>1.3136200009012842</v>
      </c>
      <c r="AC75" s="484">
        <f t="shared" si="5"/>
        <v>1.313605055552834</v>
      </c>
      <c r="AD75" s="484">
        <f t="shared" si="5"/>
        <v>1.3098705866088478</v>
      </c>
      <c r="AE75" s="484">
        <f t="shared" si="5"/>
        <v>1.3098491026704506</v>
      </c>
      <c r="AF75" s="484">
        <f t="shared" si="5"/>
        <v>1.309810805215047</v>
      </c>
      <c r="AG75" s="484">
        <f t="shared" si="5"/>
        <v>1.3097930576137624</v>
      </c>
      <c r="AH75" s="484">
        <f t="shared" si="5"/>
        <v>1.3135335981055567</v>
      </c>
      <c r="AI75" s="484">
        <f t="shared" si="5"/>
        <v>1.3097580294533324</v>
      </c>
      <c r="AJ75" s="484">
        <f t="shared" si="5"/>
        <v>1.3097458863577167</v>
      </c>
      <c r="AK75" s="485"/>
      <c r="AM75" s="18" t="s">
        <v>143</v>
      </c>
      <c r="AN75" s="18">
        <v>0</v>
      </c>
      <c r="AO75" s="18">
        <v>0</v>
      </c>
      <c r="AP75" s="18">
        <v>4.0000000000000001E-3</v>
      </c>
      <c r="AQ75" s="18">
        <v>6.0000000000000001E-3</v>
      </c>
      <c r="AR75" s="18">
        <v>2.1999999999999999E-2</v>
      </c>
    </row>
    <row r="76" spans="1:44" s="18" customFormat="1">
      <c r="A76" s="17" t="s">
        <v>56</v>
      </c>
      <c r="B76" s="492">
        <f>AN76</f>
        <v>0.125</v>
      </c>
      <c r="C76" s="492">
        <f t="shared" ref="C76:F76" si="6">AO76</f>
        <v>0.11899999999999999</v>
      </c>
      <c r="D76" s="492">
        <f t="shared" si="6"/>
        <v>0.123</v>
      </c>
      <c r="E76" s="492">
        <f t="shared" si="6"/>
        <v>0.115</v>
      </c>
      <c r="F76" s="492">
        <f t="shared" si="6"/>
        <v>0.125</v>
      </c>
      <c r="G76" s="484">
        <f t="shared" ref="G76:AJ76" si="7">G63*$AM64</f>
        <v>0.11780461869505184</v>
      </c>
      <c r="H76" s="484">
        <f t="shared" si="7"/>
        <v>0.11938143648252007</v>
      </c>
      <c r="I76" s="484">
        <f t="shared" si="7"/>
        <v>9.9184919323666354E-2</v>
      </c>
      <c r="J76" s="484">
        <f t="shared" si="7"/>
        <v>0.10268625160679012</v>
      </c>
      <c r="K76" s="484">
        <f t="shared" si="7"/>
        <v>0.10920560092849871</v>
      </c>
      <c r="L76" s="484">
        <f t="shared" si="7"/>
        <v>0.1397457467383518</v>
      </c>
      <c r="M76" s="484">
        <f t="shared" si="7"/>
        <v>0.14294400379131897</v>
      </c>
      <c r="N76" s="484">
        <f t="shared" si="7"/>
        <v>0.14566805251421869</v>
      </c>
      <c r="O76" s="484">
        <f t="shared" si="7"/>
        <v>0.1496481826278428</v>
      </c>
      <c r="P76" s="484">
        <f t="shared" si="7"/>
        <v>0.15350535738170226</v>
      </c>
      <c r="Q76" s="484">
        <f t="shared" si="7"/>
        <v>0.16537051355579263</v>
      </c>
      <c r="R76" s="484">
        <f t="shared" si="7"/>
        <v>0.16591815389278614</v>
      </c>
      <c r="S76" s="484">
        <f t="shared" si="7"/>
        <v>0.16612242270524641</v>
      </c>
      <c r="T76" s="484">
        <f t="shared" si="7"/>
        <v>0.16762237236766345</v>
      </c>
      <c r="U76" s="484">
        <f t="shared" si="7"/>
        <v>0.16822016080624555</v>
      </c>
      <c r="V76" s="484">
        <f t="shared" si="7"/>
        <v>0.16965186868212132</v>
      </c>
      <c r="W76" s="484">
        <f t="shared" si="7"/>
        <v>0.17578387377881408</v>
      </c>
      <c r="X76" s="484">
        <f t="shared" si="7"/>
        <v>0.18529005075920235</v>
      </c>
      <c r="Y76" s="484">
        <f t="shared" si="7"/>
        <v>0.18310905287286328</v>
      </c>
      <c r="Z76" s="484">
        <f t="shared" si="7"/>
        <v>0.18312476770680622</v>
      </c>
      <c r="AA76" s="484">
        <f t="shared" si="7"/>
        <v>0.18527457621324017</v>
      </c>
      <c r="AB76" s="484">
        <f t="shared" si="7"/>
        <v>0.18502808880255703</v>
      </c>
      <c r="AC76" s="484">
        <f t="shared" si="7"/>
        <v>0.18675273175580054</v>
      </c>
      <c r="AD76" s="484">
        <f t="shared" si="7"/>
        <v>0.18790721938825153</v>
      </c>
      <c r="AE76" s="484">
        <f t="shared" si="7"/>
        <v>0.18864548018039706</v>
      </c>
      <c r="AF76" s="484">
        <f t="shared" si="7"/>
        <v>0.19023193351589457</v>
      </c>
      <c r="AG76" s="484">
        <f t="shared" si="7"/>
        <v>0.1945250867820795</v>
      </c>
      <c r="AH76" s="484">
        <f t="shared" si="7"/>
        <v>0.19193927573452199</v>
      </c>
      <c r="AI76" s="484">
        <f t="shared" si="7"/>
        <v>0.19317486056048591</v>
      </c>
      <c r="AJ76" s="484">
        <f t="shared" si="7"/>
        <v>0.19448382933577976</v>
      </c>
      <c r="AK76" s="485"/>
      <c r="AM76" s="18" t="s">
        <v>730</v>
      </c>
      <c r="AN76" s="18">
        <v>0.125</v>
      </c>
      <c r="AO76" s="18">
        <v>0.11899999999999999</v>
      </c>
      <c r="AP76" s="18">
        <v>0.123</v>
      </c>
      <c r="AQ76" s="18">
        <v>0.115</v>
      </c>
      <c r="AR76" s="18">
        <v>0.125</v>
      </c>
    </row>
    <row r="77" spans="1:44" s="18" customFormat="1">
      <c r="A77" s="17" t="s">
        <v>52</v>
      </c>
      <c r="B77" s="491">
        <f>AN74</f>
        <v>0</v>
      </c>
      <c r="C77" s="491">
        <f t="shared" ref="C77:F77" si="8">AO74</f>
        <v>0</v>
      </c>
      <c r="D77" s="491">
        <f t="shared" si="8"/>
        <v>0</v>
      </c>
      <c r="E77" s="491">
        <f t="shared" si="8"/>
        <v>0</v>
      </c>
      <c r="F77" s="491">
        <f t="shared" si="8"/>
        <v>1E-3</v>
      </c>
      <c r="G77" s="484">
        <f t="shared" ref="G77:AJ77" si="9">G64*$AM62</f>
        <v>0</v>
      </c>
      <c r="H77" s="484">
        <f t="shared" si="9"/>
        <v>0</v>
      </c>
      <c r="I77" s="484">
        <f t="shared" si="9"/>
        <v>0</v>
      </c>
      <c r="J77" s="484">
        <f t="shared" si="9"/>
        <v>0</v>
      </c>
      <c r="K77" s="484">
        <f t="shared" si="9"/>
        <v>0</v>
      </c>
      <c r="L77" s="484">
        <f t="shared" si="9"/>
        <v>0</v>
      </c>
      <c r="M77" s="484">
        <f t="shared" si="9"/>
        <v>0</v>
      </c>
      <c r="N77" s="484">
        <f t="shared" si="9"/>
        <v>0</v>
      </c>
      <c r="O77" s="484">
        <f t="shared" si="9"/>
        <v>0</v>
      </c>
      <c r="P77" s="484">
        <f t="shared" si="9"/>
        <v>0</v>
      </c>
      <c r="Q77" s="484">
        <f t="shared" si="9"/>
        <v>0</v>
      </c>
      <c r="R77" s="484">
        <f t="shared" si="9"/>
        <v>0</v>
      </c>
      <c r="S77" s="484">
        <f t="shared" si="9"/>
        <v>0</v>
      </c>
      <c r="T77" s="484">
        <f t="shared" si="9"/>
        <v>0</v>
      </c>
      <c r="U77" s="484">
        <f t="shared" si="9"/>
        <v>0</v>
      </c>
      <c r="V77" s="484">
        <f t="shared" si="9"/>
        <v>0</v>
      </c>
      <c r="W77" s="484">
        <f t="shared" si="9"/>
        <v>0</v>
      </c>
      <c r="X77" s="484">
        <f t="shared" si="9"/>
        <v>0</v>
      </c>
      <c r="Y77" s="484">
        <f t="shared" si="9"/>
        <v>0</v>
      </c>
      <c r="Z77" s="484">
        <f t="shared" si="9"/>
        <v>0</v>
      </c>
      <c r="AA77" s="484">
        <f t="shared" si="9"/>
        <v>0</v>
      </c>
      <c r="AB77" s="484">
        <f t="shared" si="9"/>
        <v>0</v>
      </c>
      <c r="AC77" s="484">
        <f t="shared" si="9"/>
        <v>0</v>
      </c>
      <c r="AD77" s="484">
        <f t="shared" si="9"/>
        <v>0</v>
      </c>
      <c r="AE77" s="484">
        <f t="shared" si="9"/>
        <v>0</v>
      </c>
      <c r="AF77" s="484">
        <f t="shared" si="9"/>
        <v>0</v>
      </c>
      <c r="AG77" s="484">
        <f t="shared" si="9"/>
        <v>0</v>
      </c>
      <c r="AH77" s="484">
        <f t="shared" si="9"/>
        <v>0</v>
      </c>
      <c r="AI77" s="484">
        <f t="shared" si="9"/>
        <v>0</v>
      </c>
      <c r="AJ77" s="484">
        <f t="shared" si="9"/>
        <v>0</v>
      </c>
      <c r="AK77" s="485"/>
      <c r="AM77" s="18" t="s">
        <v>731</v>
      </c>
      <c r="AN77" s="18">
        <v>1.1259999999999999</v>
      </c>
      <c r="AO77" s="18">
        <v>1.0940000000000001</v>
      </c>
      <c r="AP77" s="18">
        <v>1.1279999999999999</v>
      </c>
      <c r="AQ77" s="18">
        <v>1.1040000000000001</v>
      </c>
      <c r="AR77" s="18">
        <v>1.125</v>
      </c>
    </row>
    <row r="78" spans="1:44" s="18" customFormat="1">
      <c r="A78" s="17" t="s">
        <v>53</v>
      </c>
      <c r="B78" s="491">
        <f>AN75</f>
        <v>0</v>
      </c>
      <c r="C78" s="491">
        <f t="shared" ref="C78:F78" si="10">AO75</f>
        <v>0</v>
      </c>
      <c r="D78" s="491">
        <f t="shared" si="10"/>
        <v>4.0000000000000001E-3</v>
      </c>
      <c r="E78" s="491">
        <f t="shared" si="10"/>
        <v>6.0000000000000001E-3</v>
      </c>
      <c r="F78" s="491">
        <f t="shared" si="10"/>
        <v>2.1999999999999999E-2</v>
      </c>
      <c r="G78" s="484">
        <f t="shared" ref="G78:AJ78" si="11">G65*$AM63</f>
        <v>1.348299612474594E-2</v>
      </c>
      <c r="H78" s="484">
        <f t="shared" si="11"/>
        <v>2.0101397241682972E-2</v>
      </c>
      <c r="I78" s="484">
        <f t="shared" si="11"/>
        <v>3.3385400552474381E-2</v>
      </c>
      <c r="J78" s="484">
        <f t="shared" si="11"/>
        <v>3.3880262023149268E-2</v>
      </c>
      <c r="K78" s="484">
        <f t="shared" si="11"/>
        <v>8.3751253246101012E-2</v>
      </c>
      <c r="L78" s="484">
        <f t="shared" si="11"/>
        <v>0.11742757507743347</v>
      </c>
      <c r="M78" s="484">
        <f t="shared" si="11"/>
        <v>0.11742493132238832</v>
      </c>
      <c r="N78" s="484">
        <f t="shared" si="11"/>
        <v>0.11738867631899128</v>
      </c>
      <c r="O78" s="484">
        <f t="shared" si="11"/>
        <v>0.11739431942186543</v>
      </c>
      <c r="P78" s="484">
        <f t="shared" si="11"/>
        <v>0.11741887078450702</v>
      </c>
      <c r="Q78" s="484">
        <f t="shared" si="11"/>
        <v>0.11740664148485369</v>
      </c>
      <c r="R78" s="484">
        <f t="shared" si="11"/>
        <v>0.11739908127305788</v>
      </c>
      <c r="S78" s="484">
        <f t="shared" si="11"/>
        <v>0.11743737706982312</v>
      </c>
      <c r="T78" s="484">
        <f t="shared" si="11"/>
        <v>0.11755079570731597</v>
      </c>
      <c r="U78" s="484">
        <f t="shared" si="11"/>
        <v>0.11747796102884966</v>
      </c>
      <c r="V78" s="484">
        <f t="shared" si="11"/>
        <v>0.11803627262060834</v>
      </c>
      <c r="W78" s="484">
        <f t="shared" si="11"/>
        <v>0.11845373854885013</v>
      </c>
      <c r="X78" s="484">
        <f t="shared" si="11"/>
        <v>0.12054904583686206</v>
      </c>
      <c r="Y78" s="484">
        <f t="shared" si="11"/>
        <v>0.12285874465242487</v>
      </c>
      <c r="Z78" s="484">
        <f t="shared" si="11"/>
        <v>0.12344032438069211</v>
      </c>
      <c r="AA78" s="484">
        <f t="shared" si="11"/>
        <v>0.1235179518314625</v>
      </c>
      <c r="AB78" s="484">
        <f t="shared" si="11"/>
        <v>0.12358775624098814</v>
      </c>
      <c r="AC78" s="484">
        <f t="shared" si="11"/>
        <v>0.12540392319367655</v>
      </c>
      <c r="AD78" s="484">
        <f t="shared" si="11"/>
        <v>0.12781354358150165</v>
      </c>
      <c r="AE78" s="484">
        <f t="shared" si="11"/>
        <v>0.12868415840081698</v>
      </c>
      <c r="AF78" s="484">
        <f t="shared" si="11"/>
        <v>0.1360944182657241</v>
      </c>
      <c r="AG78" s="484">
        <f t="shared" si="11"/>
        <v>0.14165154498897806</v>
      </c>
      <c r="AH78" s="484">
        <f t="shared" si="11"/>
        <v>0.14232457390491846</v>
      </c>
      <c r="AI78" s="484">
        <f t="shared" si="11"/>
        <v>0.14378646222099989</v>
      </c>
      <c r="AJ78" s="484">
        <f t="shared" si="11"/>
        <v>0.14590915015336839</v>
      </c>
      <c r="AK78" s="485"/>
      <c r="AM78" s="18" t="s">
        <v>732</v>
      </c>
      <c r="AN78" s="18">
        <v>2.7E-2</v>
      </c>
      <c r="AO78" s="18">
        <v>2.7E-2</v>
      </c>
      <c r="AP78" s="18">
        <v>2E-3</v>
      </c>
      <c r="AQ78" s="18">
        <v>4.0000000000000001E-3</v>
      </c>
      <c r="AR78" s="18">
        <v>1E-3</v>
      </c>
    </row>
    <row r="79" spans="1:44" s="18" customFormat="1">
      <c r="A79" s="17" t="s">
        <v>54</v>
      </c>
      <c r="B79" s="493">
        <f>AN79</f>
        <v>2.7909999999999999</v>
      </c>
      <c r="C79" s="493">
        <f t="shared" ref="C79:F79" si="12">AO79</f>
        <v>2.0379999999999998</v>
      </c>
      <c r="D79" s="493">
        <f t="shared" si="12"/>
        <v>2.411</v>
      </c>
      <c r="E79" s="493">
        <f t="shared" si="12"/>
        <v>2.4300000000000002</v>
      </c>
      <c r="F79" s="493">
        <f t="shared" si="12"/>
        <v>2.27</v>
      </c>
      <c r="G79" s="486">
        <f t="shared" ref="G79:AJ79" si="13">G66*$AM67</f>
        <v>2.5008990371746922</v>
      </c>
      <c r="H79" s="486">
        <f t="shared" si="13"/>
        <v>2.4120519764205062</v>
      </c>
      <c r="I79" s="486">
        <f t="shared" si="13"/>
        <v>2.4502444056312984</v>
      </c>
      <c r="J79" s="486">
        <f t="shared" si="13"/>
        <v>2.5148435833673832</v>
      </c>
      <c r="K79" s="486">
        <f t="shared" si="13"/>
        <v>3.0681275871546019</v>
      </c>
      <c r="L79" s="486">
        <f t="shared" si="13"/>
        <v>3.6126026055035689</v>
      </c>
      <c r="M79" s="486">
        <f t="shared" si="13"/>
        <v>3.64408458428144</v>
      </c>
      <c r="N79" s="486">
        <f t="shared" si="13"/>
        <v>3.6611730525008155</v>
      </c>
      <c r="O79" s="486">
        <f t="shared" si="13"/>
        <v>3.6864056991718952</v>
      </c>
      <c r="P79" s="486">
        <f t="shared" si="13"/>
        <v>3.7116859366514832</v>
      </c>
      <c r="Q79" s="486">
        <f t="shared" si="13"/>
        <v>3.7858882073782509</v>
      </c>
      <c r="R79" s="486">
        <f t="shared" si="13"/>
        <v>3.7918364727087552</v>
      </c>
      <c r="S79" s="486">
        <f t="shared" si="13"/>
        <v>3.8522564452915309</v>
      </c>
      <c r="T79" s="486">
        <f t="shared" si="13"/>
        <v>3.8689559867804504</v>
      </c>
      <c r="U79" s="486">
        <f t="shared" si="13"/>
        <v>3.8807580679907283</v>
      </c>
      <c r="V79" s="486">
        <f t="shared" si="13"/>
        <v>3.9029763860675235</v>
      </c>
      <c r="W79" s="486">
        <f t="shared" si="13"/>
        <v>3.9601243075237846</v>
      </c>
      <c r="X79" s="486">
        <f t="shared" si="13"/>
        <v>4.0565320102007361</v>
      </c>
      <c r="Y79" s="486">
        <f t="shared" si="13"/>
        <v>4.0735642480494425</v>
      </c>
      <c r="Z79" s="486">
        <f t="shared" si="13"/>
        <v>4.0904859287891542</v>
      </c>
      <c r="AA79" s="486">
        <f t="shared" si="13"/>
        <v>4.1169134708369333</v>
      </c>
      <c r="AB79" s="486">
        <f t="shared" si="13"/>
        <v>4.1273818379429237</v>
      </c>
      <c r="AC79" s="486">
        <f t="shared" si="13"/>
        <v>4.1663178552325011</v>
      </c>
      <c r="AD79" s="486">
        <f t="shared" si="13"/>
        <v>4.206379358534984</v>
      </c>
      <c r="AE79" s="486">
        <f t="shared" si="13"/>
        <v>4.2306547710053914</v>
      </c>
      <c r="AF79" s="486">
        <f t="shared" si="13"/>
        <v>4.3281002461743361</v>
      </c>
      <c r="AG79" s="486">
        <f t="shared" si="13"/>
        <v>4.4187460930568783</v>
      </c>
      <c r="AH79" s="486">
        <f t="shared" si="13"/>
        <v>4.4224637405842868</v>
      </c>
      <c r="AI79" s="486">
        <f t="shared" si="13"/>
        <v>4.4554456352130805</v>
      </c>
      <c r="AJ79" s="486">
        <f t="shared" si="13"/>
        <v>4.4966841690349151</v>
      </c>
      <c r="AK79" s="487"/>
      <c r="AM79" s="18" t="s">
        <v>58</v>
      </c>
      <c r="AN79" s="18">
        <v>2.7909999999999999</v>
      </c>
      <c r="AO79" s="18">
        <v>2.0379999999999998</v>
      </c>
      <c r="AP79" s="18">
        <v>2.411</v>
      </c>
      <c r="AQ79" s="18">
        <v>2.4300000000000002</v>
      </c>
      <c r="AR79" s="18">
        <v>2.27</v>
      </c>
    </row>
    <row r="80" spans="1:44" s="255" customFormat="1">
      <c r="A80" s="254" t="s">
        <v>57</v>
      </c>
      <c r="B80" s="474">
        <f>B79*1000</f>
        <v>2791</v>
      </c>
      <c r="C80" s="474">
        <f t="shared" ref="C80:AJ80" si="14">C79*1000</f>
        <v>2037.9999999999998</v>
      </c>
      <c r="D80" s="474">
        <f t="shared" si="14"/>
        <v>2411</v>
      </c>
      <c r="E80" s="474">
        <f t="shared" si="14"/>
        <v>2430</v>
      </c>
      <c r="F80" s="474">
        <f t="shared" si="14"/>
        <v>2270</v>
      </c>
      <c r="G80" s="276">
        <f t="shared" si="14"/>
        <v>2500.8990371746922</v>
      </c>
      <c r="H80" s="276">
        <f t="shared" si="14"/>
        <v>2412.051976420506</v>
      </c>
      <c r="I80" s="276">
        <f t="shared" si="14"/>
        <v>2450.2444056312984</v>
      </c>
      <c r="J80" s="276">
        <f t="shared" si="14"/>
        <v>2514.8435833673834</v>
      </c>
      <c r="K80" s="276">
        <f t="shared" si="14"/>
        <v>3068.1275871546018</v>
      </c>
      <c r="L80" s="276">
        <f t="shared" si="14"/>
        <v>3612.6026055035691</v>
      </c>
      <c r="M80" s="276">
        <f t="shared" si="14"/>
        <v>3644.0845842814401</v>
      </c>
      <c r="N80" s="276">
        <f t="shared" si="14"/>
        <v>3661.1730525008156</v>
      </c>
      <c r="O80" s="276">
        <f t="shared" si="14"/>
        <v>3686.4056991718953</v>
      </c>
      <c r="P80" s="276">
        <f t="shared" si="14"/>
        <v>3711.6859366514832</v>
      </c>
      <c r="Q80" s="276">
        <f t="shared" si="14"/>
        <v>3785.8882073782511</v>
      </c>
      <c r="R80" s="276">
        <f t="shared" si="14"/>
        <v>3791.8364727087551</v>
      </c>
      <c r="S80" s="276">
        <f t="shared" si="14"/>
        <v>3852.2564452915308</v>
      </c>
      <c r="T80" s="276">
        <f t="shared" si="14"/>
        <v>3868.9559867804505</v>
      </c>
      <c r="U80" s="276">
        <f t="shared" si="14"/>
        <v>3880.7580679907283</v>
      </c>
      <c r="V80" s="276">
        <f t="shared" si="14"/>
        <v>3902.9763860675234</v>
      </c>
      <c r="W80" s="276">
        <f t="shared" si="14"/>
        <v>3960.1243075237844</v>
      </c>
      <c r="X80" s="276">
        <f t="shared" si="14"/>
        <v>4056.5320102007358</v>
      </c>
      <c r="Y80" s="276">
        <f t="shared" si="14"/>
        <v>4073.5642480494425</v>
      </c>
      <c r="Z80" s="276">
        <f t="shared" si="14"/>
        <v>4090.4859287891541</v>
      </c>
      <c r="AA80" s="276">
        <f t="shared" si="14"/>
        <v>4116.9134708369329</v>
      </c>
      <c r="AB80" s="276">
        <f t="shared" si="14"/>
        <v>4127.381837942924</v>
      </c>
      <c r="AC80" s="276">
        <f t="shared" si="14"/>
        <v>4166.3178552325007</v>
      </c>
      <c r="AD80" s="276">
        <f t="shared" si="14"/>
        <v>4206.379358534984</v>
      </c>
      <c r="AE80" s="276">
        <f t="shared" si="14"/>
        <v>4230.654771005391</v>
      </c>
      <c r="AF80" s="276">
        <f t="shared" si="14"/>
        <v>4328.1002461743365</v>
      </c>
      <c r="AG80" s="276">
        <f t="shared" si="14"/>
        <v>4418.7460930568786</v>
      </c>
      <c r="AH80" s="276">
        <f t="shared" si="14"/>
        <v>4422.4637405842868</v>
      </c>
      <c r="AI80" s="276">
        <f t="shared" si="14"/>
        <v>4455.4456352130801</v>
      </c>
      <c r="AJ80" s="276">
        <f t="shared" si="14"/>
        <v>4496.6841690349147</v>
      </c>
      <c r="AK80" s="321"/>
    </row>
    <row r="81" spans="1:37" s="256" customFormat="1">
      <c r="A81" s="257" t="s">
        <v>339</v>
      </c>
      <c r="B81" s="260">
        <f t="shared" ref="B81:Q82" si="15">B74/SUM(B$74:B$78)</f>
        <v>0</v>
      </c>
      <c r="C81" s="260">
        <f>C74/SUM(C$74:C$78)</f>
        <v>0</v>
      </c>
      <c r="D81" s="260">
        <f t="shared" si="15"/>
        <v>0</v>
      </c>
      <c r="E81" s="260">
        <f t="shared" si="15"/>
        <v>0</v>
      </c>
      <c r="F81" s="260">
        <f t="shared" si="15"/>
        <v>0</v>
      </c>
      <c r="G81" s="260">
        <f t="shared" si="15"/>
        <v>7.9551022896361739E-13</v>
      </c>
      <c r="H81" s="260">
        <f t="shared" si="15"/>
        <v>7.638066230464977E-13</v>
      </c>
      <c r="I81" s="260">
        <f t="shared" si="15"/>
        <v>6.9270544090446182E-13</v>
      </c>
      <c r="J81" s="260">
        <f t="shared" si="15"/>
        <v>6.9121490241996347E-13</v>
      </c>
      <c r="K81" s="260">
        <f t="shared" si="15"/>
        <v>6.6534084756430586E-13</v>
      </c>
      <c r="L81" s="260">
        <f t="shared" si="15"/>
        <v>6.3807023556349745E-13</v>
      </c>
      <c r="M81" s="260">
        <f t="shared" si="15"/>
        <v>6.3677032639458946E-13</v>
      </c>
      <c r="N81" s="260">
        <f t="shared" si="15"/>
        <v>6.3567329260410538E-13</v>
      </c>
      <c r="O81" s="260">
        <f t="shared" si="15"/>
        <v>6.3406585069813879E-13</v>
      </c>
      <c r="P81" s="260">
        <f t="shared" si="15"/>
        <v>6.3251393320242973E-13</v>
      </c>
      <c r="Q81" s="260">
        <f t="shared" si="15"/>
        <v>6.2781067160401011E-13</v>
      </c>
      <c r="R81" s="260">
        <f t="shared" ref="R81:AJ82" si="16">R74/SUM(R$74:R$78)</f>
        <v>6.2760026467168164E-13</v>
      </c>
      <c r="S81" s="260">
        <f t="shared" si="16"/>
        <v>6.2750786373409299E-13</v>
      </c>
      <c r="T81" s="260">
        <f t="shared" si="16"/>
        <v>6.2687652009929391E-13</v>
      </c>
      <c r="U81" s="260">
        <f t="shared" si="16"/>
        <v>6.2522904235280885E-13</v>
      </c>
      <c r="V81" s="260">
        <f t="shared" si="16"/>
        <v>6.2445718720872796E-13</v>
      </c>
      <c r="W81" s="260">
        <f t="shared" si="16"/>
        <v>6.233487088716269E-13</v>
      </c>
      <c r="X81" s="260">
        <f t="shared" si="16"/>
        <v>6.1746786541605498E-13</v>
      </c>
      <c r="Y81" s="260">
        <f t="shared" si="16"/>
        <v>6.1883567568378922E-13</v>
      </c>
      <c r="Z81" s="260">
        <f t="shared" si="16"/>
        <v>6.1861166860209742E-13</v>
      </c>
      <c r="AA81" s="260">
        <f t="shared" si="16"/>
        <v>6.1636037101397377E-13</v>
      </c>
      <c r="AB81" s="260">
        <f t="shared" si="16"/>
        <v>6.1643317924402002E-13</v>
      </c>
      <c r="AC81" s="260">
        <f t="shared" si="16"/>
        <v>6.1509629211922772E-13</v>
      </c>
      <c r="AD81" s="260">
        <f t="shared" si="16"/>
        <v>6.1516075381344318E-13</v>
      </c>
      <c r="AE81" s="260">
        <f t="shared" si="16"/>
        <v>6.1456063470332802E-13</v>
      </c>
      <c r="AF81" s="260">
        <f t="shared" si="16"/>
        <v>6.1119570307602681E-13</v>
      </c>
      <c r="AG81" s="260">
        <f t="shared" si="16"/>
        <v>6.0754460209600922E-13</v>
      </c>
      <c r="AH81" s="260">
        <f t="shared" si="16"/>
        <v>6.0687070572168213E-13</v>
      </c>
      <c r="AI81" s="260">
        <f t="shared" si="16"/>
        <v>6.0726801967940625E-13</v>
      </c>
      <c r="AJ81" s="260">
        <f t="shared" si="16"/>
        <v>6.0600960361368475E-13</v>
      </c>
      <c r="AK81" s="322"/>
    </row>
    <row r="82" spans="1:37" s="256" customFormat="1">
      <c r="A82" s="257" t="s">
        <v>340</v>
      </c>
      <c r="B82" s="260">
        <f t="shared" si="15"/>
        <v>0.9000799360511591</v>
      </c>
      <c r="C82" s="260">
        <f t="shared" ref="C82:AA82" si="17">C75/SUM(C$74:C$78)</f>
        <v>0.90189612530915086</v>
      </c>
      <c r="D82" s="260">
        <f t="shared" si="17"/>
        <v>0.89880478087649407</v>
      </c>
      <c r="E82" s="260">
        <f t="shared" si="17"/>
        <v>0.9012244897959184</v>
      </c>
      <c r="F82" s="260">
        <f t="shared" si="17"/>
        <v>0.88373919874312656</v>
      </c>
      <c r="G82" s="260">
        <f t="shared" si="17"/>
        <v>0.89555935947381982</v>
      </c>
      <c r="H82" s="260">
        <f t="shared" si="17"/>
        <v>0.8934620877993964</v>
      </c>
      <c r="I82" s="260">
        <f t="shared" si="17"/>
        <v>0.90816781811865976</v>
      </c>
      <c r="J82" s="260">
        <f t="shared" si="17"/>
        <v>0.90560319060675554</v>
      </c>
      <c r="K82" s="260">
        <f t="shared" si="17"/>
        <v>0.87161792309946418</v>
      </c>
      <c r="L82" s="260">
        <f t="shared" si="17"/>
        <v>0.8359053579677167</v>
      </c>
      <c r="M82" s="260">
        <f t="shared" si="17"/>
        <v>0.83420478820399613</v>
      </c>
      <c r="N82" s="260">
        <f t="shared" si="17"/>
        <v>0.83278186304029234</v>
      </c>
      <c r="O82" s="260">
        <f t="shared" si="17"/>
        <v>0.83067746876465809</v>
      </c>
      <c r="P82" s="261">
        <f t="shared" si="17"/>
        <v>0.8286366508421259</v>
      </c>
      <c r="Q82" s="260">
        <f t="shared" si="17"/>
        <v>0.82246948437903267</v>
      </c>
      <c r="R82" s="260">
        <f t="shared" si="17"/>
        <v>0.82219002822323961</v>
      </c>
      <c r="S82" s="260">
        <f t="shared" si="17"/>
        <v>0.82206399580165135</v>
      </c>
      <c r="T82" s="260">
        <f t="shared" si="17"/>
        <v>0.82123163677083888</v>
      </c>
      <c r="U82" s="260">
        <f t="shared" si="17"/>
        <v>0.82137323688242203</v>
      </c>
      <c r="V82" s="260">
        <f t="shared" si="17"/>
        <v>0.82035107248816586</v>
      </c>
      <c r="W82" s="260">
        <f t="shared" si="17"/>
        <v>0.81658736425345679</v>
      </c>
      <c r="X82" s="260">
        <f t="shared" si="17"/>
        <v>0.81115418586343591</v>
      </c>
      <c r="Y82" s="260">
        <f t="shared" si="17"/>
        <v>0.81065621128033849</v>
      </c>
      <c r="Z82" s="260">
        <f t="shared" si="17"/>
        <v>0.81035525684797838</v>
      </c>
      <c r="AA82" s="260">
        <f t="shared" si="17"/>
        <v>0.80967252284740776</v>
      </c>
      <c r="AB82" s="260">
        <f t="shared" si="16"/>
        <v>0.80975895347411109</v>
      </c>
      <c r="AC82" s="260">
        <f t="shared" si="16"/>
        <v>0.80799359897962042</v>
      </c>
      <c r="AD82" s="260">
        <f t="shared" si="16"/>
        <v>0.80578097745635591</v>
      </c>
      <c r="AE82" s="260">
        <f t="shared" si="16"/>
        <v>0.80498169590273683</v>
      </c>
      <c r="AF82" s="260">
        <f t="shared" si="16"/>
        <v>0.80055073598998749</v>
      </c>
      <c r="AG82" s="260">
        <f t="shared" si="16"/>
        <v>0.79575770201606855</v>
      </c>
      <c r="AH82" s="260">
        <f t="shared" si="16"/>
        <v>0.79714506167145971</v>
      </c>
      <c r="AI82" s="260">
        <f t="shared" si="16"/>
        <v>0.79537416480532663</v>
      </c>
      <c r="AJ82" s="260">
        <f t="shared" si="16"/>
        <v>0.79371858542629403</v>
      </c>
      <c r="AK82" s="322"/>
    </row>
    <row r="83" spans="1:37" s="256" customFormat="1">
      <c r="A83" s="257" t="s">
        <v>336</v>
      </c>
      <c r="B83" s="260">
        <f>B76/SUM(B$74:B$78)</f>
        <v>9.992006394884094E-2</v>
      </c>
      <c r="C83" s="260">
        <f t="shared" ref="C83:AJ83" si="18">C76/SUM(C$74:C$78)</f>
        <v>9.8103874690849122E-2</v>
      </c>
      <c r="D83" s="260">
        <f t="shared" si="18"/>
        <v>9.8007968127490047E-2</v>
      </c>
      <c r="E83" s="260">
        <f t="shared" si="18"/>
        <v>9.3877551020408165E-2</v>
      </c>
      <c r="F83" s="260">
        <f t="shared" si="18"/>
        <v>9.8193244304791844E-2</v>
      </c>
      <c r="G83" s="260">
        <f t="shared" si="18"/>
        <v>9.3714779191072337E-2</v>
      </c>
      <c r="H83" s="260">
        <f t="shared" si="18"/>
        <v>9.1184331854153616E-2</v>
      </c>
      <c r="I83" s="260">
        <f t="shared" si="18"/>
        <v>6.8705933271173775E-2</v>
      </c>
      <c r="J83" s="260">
        <f t="shared" si="18"/>
        <v>7.0978267384259261E-2</v>
      </c>
      <c r="K83" s="260">
        <f t="shared" si="18"/>
        <v>7.2658947080536676E-2</v>
      </c>
      <c r="L83" s="260">
        <f t="shared" si="18"/>
        <v>8.9167601540336996E-2</v>
      </c>
      <c r="M83" s="260">
        <f t="shared" si="18"/>
        <v>9.1022499950347627E-2</v>
      </c>
      <c r="N83" s="260">
        <f t="shared" si="18"/>
        <v>9.2597290568941129E-2</v>
      </c>
      <c r="O83" s="260">
        <f t="shared" si="18"/>
        <v>9.4886802223353578E-2</v>
      </c>
      <c r="P83" s="261">
        <f t="shared" si="18"/>
        <v>9.7094277365145129E-2</v>
      </c>
      <c r="Q83" s="260">
        <f t="shared" si="18"/>
        <v>0.10382137317896223</v>
      </c>
      <c r="R83" s="260">
        <f t="shared" si="18"/>
        <v>0.10413027729694939</v>
      </c>
      <c r="S83" s="260">
        <f t="shared" si="18"/>
        <v>0.10424312659010115</v>
      </c>
      <c r="T83" s="260">
        <f t="shared" si="18"/>
        <v>0.10507852948062892</v>
      </c>
      <c r="U83" s="260">
        <f t="shared" si="18"/>
        <v>0.10517613004532442</v>
      </c>
      <c r="V83" s="260">
        <f t="shared" si="18"/>
        <v>0.10594032872194196</v>
      </c>
      <c r="W83" s="260">
        <f t="shared" si="18"/>
        <v>0.10957465076047679</v>
      </c>
      <c r="X83" s="260">
        <f t="shared" si="18"/>
        <v>0.11441065212511715</v>
      </c>
      <c r="Y83" s="260">
        <f t="shared" si="18"/>
        <v>0.11331441445839703</v>
      </c>
      <c r="Z83" s="260">
        <f t="shared" si="18"/>
        <v>0.1132831181134789</v>
      </c>
      <c r="AA83" s="260">
        <f t="shared" si="18"/>
        <v>0.11419590653424948</v>
      </c>
      <c r="AB83" s="260">
        <f t="shared" si="18"/>
        <v>0.1140574530300051</v>
      </c>
      <c r="AC83" s="260">
        <f t="shared" si="18"/>
        <v>0.11487091284612967</v>
      </c>
      <c r="AD83" s="260">
        <f t="shared" si="18"/>
        <v>0.11559314672586486</v>
      </c>
      <c r="AE83" s="260">
        <f t="shared" si="18"/>
        <v>0.11593408603357891</v>
      </c>
      <c r="AF83" s="260">
        <f t="shared" si="18"/>
        <v>0.11626894035275917</v>
      </c>
      <c r="AG83" s="260">
        <f t="shared" si="18"/>
        <v>0.11818266644671015</v>
      </c>
      <c r="AH83" s="260">
        <f t="shared" si="18"/>
        <v>0.11648232372071791</v>
      </c>
      <c r="AI83" s="260">
        <f t="shared" si="18"/>
        <v>0.11730891502441171</v>
      </c>
      <c r="AJ83" s="260">
        <f t="shared" si="18"/>
        <v>0.1178590683250474</v>
      </c>
      <c r="AK83" s="322"/>
    </row>
    <row r="84" spans="1:37" s="256" customFormat="1">
      <c r="A84" s="257" t="s">
        <v>338</v>
      </c>
      <c r="B84" s="260">
        <f>B77/SUM(B$74:B$78)</f>
        <v>0</v>
      </c>
      <c r="C84" s="260">
        <f t="shared" ref="C84:AJ84" si="19">C77/SUM(C$74:C$78)</f>
        <v>0</v>
      </c>
      <c r="D84" s="260">
        <f t="shared" si="19"/>
        <v>0</v>
      </c>
      <c r="E84" s="260">
        <f t="shared" si="19"/>
        <v>0</v>
      </c>
      <c r="F84" s="260">
        <f t="shared" si="19"/>
        <v>7.855459544383347E-4</v>
      </c>
      <c r="G84" s="260">
        <f t="shared" si="19"/>
        <v>0</v>
      </c>
      <c r="H84" s="260">
        <f t="shared" si="19"/>
        <v>0</v>
      </c>
      <c r="I84" s="260">
        <f t="shared" si="19"/>
        <v>0</v>
      </c>
      <c r="J84" s="260">
        <f t="shared" si="19"/>
        <v>0</v>
      </c>
      <c r="K84" s="260">
        <f t="shared" si="19"/>
        <v>0</v>
      </c>
      <c r="L84" s="260">
        <f t="shared" si="19"/>
        <v>0</v>
      </c>
      <c r="M84" s="260">
        <f t="shared" si="19"/>
        <v>0</v>
      </c>
      <c r="N84" s="260">
        <f t="shared" si="19"/>
        <v>0</v>
      </c>
      <c r="O84" s="260">
        <f t="shared" si="19"/>
        <v>0</v>
      </c>
      <c r="P84" s="261">
        <f t="shared" si="19"/>
        <v>0</v>
      </c>
      <c r="Q84" s="260">
        <f t="shared" si="19"/>
        <v>0</v>
      </c>
      <c r="R84" s="260">
        <f t="shared" si="19"/>
        <v>0</v>
      </c>
      <c r="S84" s="260">
        <f t="shared" si="19"/>
        <v>0</v>
      </c>
      <c r="T84" s="260">
        <f t="shared" si="19"/>
        <v>0</v>
      </c>
      <c r="U84" s="260">
        <f t="shared" si="19"/>
        <v>0</v>
      </c>
      <c r="V84" s="260">
        <f t="shared" si="19"/>
        <v>0</v>
      </c>
      <c r="W84" s="260">
        <f t="shared" si="19"/>
        <v>0</v>
      </c>
      <c r="X84" s="260">
        <f t="shared" si="19"/>
        <v>0</v>
      </c>
      <c r="Y84" s="260">
        <f t="shared" si="19"/>
        <v>0</v>
      </c>
      <c r="Z84" s="260">
        <f t="shared" si="19"/>
        <v>0</v>
      </c>
      <c r="AA84" s="260">
        <f t="shared" si="19"/>
        <v>0</v>
      </c>
      <c r="AB84" s="260">
        <f t="shared" si="19"/>
        <v>0</v>
      </c>
      <c r="AC84" s="260">
        <f t="shared" si="19"/>
        <v>0</v>
      </c>
      <c r="AD84" s="260">
        <f t="shared" si="19"/>
        <v>0</v>
      </c>
      <c r="AE84" s="260">
        <f t="shared" si="19"/>
        <v>0</v>
      </c>
      <c r="AF84" s="260">
        <f t="shared" si="19"/>
        <v>0</v>
      </c>
      <c r="AG84" s="260">
        <f t="shared" si="19"/>
        <v>0</v>
      </c>
      <c r="AH84" s="260">
        <f t="shared" si="19"/>
        <v>0</v>
      </c>
      <c r="AI84" s="260">
        <f t="shared" si="19"/>
        <v>0</v>
      </c>
      <c r="AJ84" s="260">
        <f t="shared" si="19"/>
        <v>0</v>
      </c>
      <c r="AK84" s="322"/>
    </row>
    <row r="85" spans="1:37" s="256" customFormat="1">
      <c r="A85" s="257" t="s">
        <v>337</v>
      </c>
      <c r="B85" s="260">
        <f>B78/SUM(B$74:B$78)</f>
        <v>0</v>
      </c>
      <c r="C85" s="260">
        <f t="shared" ref="C85:AJ85" si="20">C78/SUM(C$74:C$78)</f>
        <v>0</v>
      </c>
      <c r="D85" s="260">
        <f t="shared" si="20"/>
        <v>3.1872509960159368E-3</v>
      </c>
      <c r="E85" s="260">
        <f t="shared" si="20"/>
        <v>4.8979591836734691E-3</v>
      </c>
      <c r="F85" s="260">
        <f t="shared" si="20"/>
        <v>1.7282010997643361E-2</v>
      </c>
      <c r="G85" s="260">
        <f t="shared" si="20"/>
        <v>1.072586133431221E-2</v>
      </c>
      <c r="H85" s="260">
        <f t="shared" si="20"/>
        <v>1.5353580345686055E-2</v>
      </c>
      <c r="I85" s="260">
        <f t="shared" si="20"/>
        <v>2.3126248609473831E-2</v>
      </c>
      <c r="J85" s="260">
        <f t="shared" si="20"/>
        <v>2.3418542008293918E-2</v>
      </c>
      <c r="K85" s="260">
        <f t="shared" si="20"/>
        <v>5.5723129819333674E-2</v>
      </c>
      <c r="L85" s="260">
        <f t="shared" si="20"/>
        <v>7.4927040491308258E-2</v>
      </c>
      <c r="M85" s="260">
        <f t="shared" si="20"/>
        <v>7.4772711845019463E-2</v>
      </c>
      <c r="N85" s="260">
        <f t="shared" si="20"/>
        <v>7.4620846390130752E-2</v>
      </c>
      <c r="O85" s="260">
        <f t="shared" si="20"/>
        <v>7.4435729011354146E-2</v>
      </c>
      <c r="P85" s="261">
        <f t="shared" si="20"/>
        <v>7.4269071792096408E-2</v>
      </c>
      <c r="Q85" s="260">
        <f t="shared" si="20"/>
        <v>7.3709142441377232E-2</v>
      </c>
      <c r="R85" s="260">
        <f t="shared" si="20"/>
        <v>7.3679694479183391E-2</v>
      </c>
      <c r="S85" s="260">
        <f t="shared" si="20"/>
        <v>7.3692877607619861E-2</v>
      </c>
      <c r="T85" s="260">
        <f t="shared" si="20"/>
        <v>7.3689833747905262E-2</v>
      </c>
      <c r="U85" s="260">
        <f t="shared" si="20"/>
        <v>7.3450633071628288E-2</v>
      </c>
      <c r="V85" s="260">
        <f t="shared" si="20"/>
        <v>7.3708598789267679E-2</v>
      </c>
      <c r="W85" s="260">
        <f t="shared" si="20"/>
        <v>7.3837984985443E-2</v>
      </c>
      <c r="X85" s="260">
        <f t="shared" si="20"/>
        <v>7.4435162010829392E-2</v>
      </c>
      <c r="Y85" s="260">
        <f t="shared" si="20"/>
        <v>7.6029374260645474E-2</v>
      </c>
      <c r="Z85" s="260">
        <f t="shared" si="20"/>
        <v>7.6361625037924125E-2</v>
      </c>
      <c r="AA85" s="260">
        <f t="shared" si="20"/>
        <v>7.6131570617726366E-2</v>
      </c>
      <c r="AB85" s="260">
        <f t="shared" si="20"/>
        <v>7.6183593495267293E-2</v>
      </c>
      <c r="AC85" s="260">
        <f t="shared" si="20"/>
        <v>7.7135488173634872E-2</v>
      </c>
      <c r="AD85" s="260">
        <f t="shared" si="20"/>
        <v>7.8625875817163932E-2</v>
      </c>
      <c r="AE85" s="260">
        <f t="shared" si="20"/>
        <v>7.9084218063069686E-2</v>
      </c>
      <c r="AF85" s="260">
        <f t="shared" si="20"/>
        <v>8.3180323656642116E-2</v>
      </c>
      <c r="AG85" s="260">
        <f t="shared" si="20"/>
        <v>8.6059631536613612E-2</v>
      </c>
      <c r="AH85" s="260">
        <f t="shared" si="20"/>
        <v>8.637261460721557E-2</v>
      </c>
      <c r="AI85" s="260">
        <f t="shared" si="20"/>
        <v>8.7316920169654366E-2</v>
      </c>
      <c r="AJ85" s="260">
        <f t="shared" si="20"/>
        <v>8.8422346248052383E-2</v>
      </c>
      <c r="AK85" s="322"/>
    </row>
    <row r="86" spans="1:37" s="256" customFormat="1">
      <c r="A86" s="256" t="s">
        <v>341</v>
      </c>
      <c r="B86" s="260">
        <f>SUM(B81:B85)</f>
        <v>1</v>
      </c>
      <c r="C86" s="260">
        <f t="shared" ref="C86:AJ86" si="21">SUM(C81:C85)</f>
        <v>1</v>
      </c>
      <c r="D86" s="260">
        <f t="shared" si="21"/>
        <v>1</v>
      </c>
      <c r="E86" s="260">
        <f t="shared" si="21"/>
        <v>1</v>
      </c>
      <c r="F86" s="260">
        <f t="shared" si="21"/>
        <v>1</v>
      </c>
      <c r="G86" s="260">
        <f t="shared" si="21"/>
        <v>0.99999999999999978</v>
      </c>
      <c r="H86" s="260">
        <f t="shared" si="21"/>
        <v>0.99999999999999989</v>
      </c>
      <c r="I86" s="260">
        <f t="shared" si="21"/>
        <v>1</v>
      </c>
      <c r="J86" s="260">
        <f t="shared" si="21"/>
        <v>1</v>
      </c>
      <c r="K86" s="260">
        <f t="shared" si="21"/>
        <v>0.99999999999999989</v>
      </c>
      <c r="L86" s="260">
        <f t="shared" si="21"/>
        <v>1</v>
      </c>
      <c r="M86" s="260">
        <f t="shared" si="21"/>
        <v>1</v>
      </c>
      <c r="N86" s="260">
        <f t="shared" si="21"/>
        <v>1</v>
      </c>
      <c r="O86" s="260">
        <f t="shared" si="21"/>
        <v>0.99999999999999978</v>
      </c>
      <c r="P86" s="260">
        <f t="shared" si="21"/>
        <v>0.99999999999999989</v>
      </c>
      <c r="Q86" s="260">
        <f t="shared" si="21"/>
        <v>1</v>
      </c>
      <c r="R86" s="260">
        <f t="shared" si="21"/>
        <v>1</v>
      </c>
      <c r="S86" s="260">
        <f t="shared" si="21"/>
        <v>0.99999999999999989</v>
      </c>
      <c r="T86" s="260">
        <f t="shared" si="21"/>
        <v>0.99999999999999989</v>
      </c>
      <c r="U86" s="260">
        <f t="shared" si="21"/>
        <v>1</v>
      </c>
      <c r="V86" s="260">
        <f t="shared" si="21"/>
        <v>1</v>
      </c>
      <c r="W86" s="260">
        <f t="shared" si="21"/>
        <v>1</v>
      </c>
      <c r="X86" s="260">
        <f t="shared" si="21"/>
        <v>1</v>
      </c>
      <c r="Y86" s="260">
        <f t="shared" si="21"/>
        <v>0.99999999999999989</v>
      </c>
      <c r="Z86" s="260">
        <f t="shared" si="21"/>
        <v>1</v>
      </c>
      <c r="AA86" s="260">
        <f t="shared" si="21"/>
        <v>1</v>
      </c>
      <c r="AB86" s="260">
        <f t="shared" si="21"/>
        <v>0.99999999999999989</v>
      </c>
      <c r="AC86" s="260">
        <f t="shared" si="21"/>
        <v>1</v>
      </c>
      <c r="AD86" s="260">
        <f t="shared" si="21"/>
        <v>0.99999999999999989</v>
      </c>
      <c r="AE86" s="260">
        <f t="shared" si="21"/>
        <v>0.99999999999999989</v>
      </c>
      <c r="AF86" s="260">
        <f t="shared" si="21"/>
        <v>0.99999999999999989</v>
      </c>
      <c r="AG86" s="260">
        <f t="shared" si="21"/>
        <v>0.99999999999999978</v>
      </c>
      <c r="AH86" s="260">
        <f t="shared" si="21"/>
        <v>1</v>
      </c>
      <c r="AI86" s="260">
        <f t="shared" si="21"/>
        <v>1</v>
      </c>
      <c r="AJ86" s="260">
        <f t="shared" si="21"/>
        <v>0.99999999999999978</v>
      </c>
      <c r="AK86" s="322"/>
    </row>
    <row r="87" spans="1:37">
      <c r="A87" s="564" t="s">
        <v>631</v>
      </c>
      <c r="B87" s="564"/>
      <c r="C87" s="564"/>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row>
    <row r="88" spans="1:37">
      <c r="A88" s="563" t="s">
        <v>664</v>
      </c>
      <c r="B88" s="563"/>
      <c r="C88" s="563"/>
      <c r="D88" s="563"/>
      <c r="E88" s="563"/>
      <c r="F88" s="563"/>
      <c r="G88" s="563"/>
      <c r="H88" s="563"/>
      <c r="I88" s="563"/>
      <c r="J88" s="563"/>
      <c r="K88" s="563"/>
      <c r="L88" s="563"/>
      <c r="M88" s="563"/>
      <c r="N88" s="563"/>
      <c r="O88" s="563"/>
      <c r="P88" s="563"/>
      <c r="Q88" s="563"/>
      <c r="R88" s="563"/>
      <c r="S88" s="563"/>
      <c r="T88" s="563"/>
      <c r="U88" s="563"/>
      <c r="V88" s="563"/>
      <c r="W88" s="563"/>
      <c r="X88" s="563"/>
      <c r="Y88" s="563"/>
      <c r="Z88" s="563"/>
      <c r="AA88" s="563"/>
      <c r="AB88" s="563"/>
      <c r="AC88" s="563"/>
      <c r="AD88" s="563"/>
      <c r="AE88" s="563"/>
      <c r="AF88" s="563"/>
    </row>
    <row r="89" spans="1:37">
      <c r="A89" s="563" t="s">
        <v>665</v>
      </c>
      <c r="B89" s="563"/>
      <c r="C89" s="563"/>
      <c r="D89" s="563"/>
      <c r="E89" s="563"/>
      <c r="F89" s="563"/>
      <c r="G89" s="563"/>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row>
    <row r="90" spans="1:37">
      <c r="A90" s="563" t="s">
        <v>666</v>
      </c>
      <c r="B90" s="563"/>
      <c r="C90" s="563"/>
      <c r="D90" s="563"/>
      <c r="E90" s="563"/>
      <c r="F90" s="563"/>
      <c r="G90" s="563"/>
      <c r="H90" s="563"/>
      <c r="I90" s="563"/>
      <c r="J90" s="563"/>
      <c r="K90" s="563"/>
      <c r="L90" s="563"/>
      <c r="M90" s="563"/>
      <c r="N90" s="563"/>
      <c r="O90" s="563"/>
      <c r="P90" s="563"/>
      <c r="Q90" s="563"/>
      <c r="R90" s="563"/>
      <c r="S90" s="563"/>
      <c r="T90" s="563"/>
      <c r="U90" s="563"/>
      <c r="V90" s="563"/>
      <c r="W90" s="563"/>
      <c r="X90" s="563"/>
      <c r="Y90" s="563"/>
      <c r="Z90" s="563"/>
      <c r="AA90" s="563"/>
      <c r="AB90" s="563"/>
      <c r="AC90" s="563"/>
      <c r="AD90" s="563"/>
      <c r="AE90" s="563"/>
      <c r="AF90" s="563"/>
    </row>
    <row r="91" spans="1:37">
      <c r="A91" s="563" t="s">
        <v>667</v>
      </c>
      <c r="B91" s="563"/>
      <c r="C91" s="563"/>
      <c r="D91" s="563"/>
      <c r="E91" s="563"/>
      <c r="F91" s="563"/>
      <c r="G91" s="563"/>
      <c r="H91" s="563"/>
      <c r="I91" s="563"/>
      <c r="J91" s="563"/>
      <c r="K91" s="563"/>
      <c r="L91" s="563"/>
      <c r="M91" s="563"/>
      <c r="N91" s="563"/>
      <c r="O91" s="563"/>
      <c r="P91" s="563"/>
      <c r="Q91" s="563"/>
      <c r="R91" s="563"/>
      <c r="S91" s="563"/>
      <c r="T91" s="563"/>
      <c r="U91" s="563"/>
      <c r="V91" s="563"/>
      <c r="W91" s="563"/>
      <c r="X91" s="563"/>
      <c r="Y91" s="563"/>
      <c r="Z91" s="563"/>
      <c r="AA91" s="563"/>
      <c r="AB91" s="563"/>
      <c r="AC91" s="563"/>
      <c r="AD91" s="563"/>
      <c r="AE91" s="563"/>
      <c r="AF91" s="563"/>
    </row>
    <row r="92" spans="1:37">
      <c r="A92" s="563" t="s">
        <v>668</v>
      </c>
      <c r="B92" s="563"/>
      <c r="C92" s="563"/>
      <c r="D92" s="563"/>
      <c r="E92" s="563"/>
      <c r="F92" s="563"/>
      <c r="G92" s="563"/>
      <c r="H92" s="563"/>
      <c r="I92" s="563"/>
      <c r="J92" s="563"/>
      <c r="K92" s="563"/>
      <c r="L92" s="563"/>
      <c r="M92" s="563"/>
      <c r="N92" s="563"/>
      <c r="O92" s="563"/>
      <c r="P92" s="563"/>
      <c r="Q92" s="563"/>
      <c r="R92" s="563"/>
      <c r="S92" s="563"/>
      <c r="T92" s="563"/>
      <c r="U92" s="563"/>
      <c r="V92" s="563"/>
      <c r="W92" s="563"/>
      <c r="X92" s="563"/>
      <c r="Y92" s="563"/>
      <c r="Z92" s="563"/>
      <c r="AA92" s="563"/>
      <c r="AB92" s="563"/>
      <c r="AC92" s="563"/>
      <c r="AD92" s="563"/>
      <c r="AE92" s="563"/>
      <c r="AF92" s="563"/>
    </row>
    <row r="93" spans="1:37">
      <c r="A93" s="563" t="s">
        <v>669</v>
      </c>
      <c r="B93" s="563"/>
      <c r="C93" s="563"/>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row>
    <row r="94" spans="1:37">
      <c r="A94" s="563" t="s">
        <v>670</v>
      </c>
      <c r="B94" s="563"/>
      <c r="C94" s="563"/>
      <c r="D94" s="563"/>
      <c r="E94" s="563"/>
      <c r="F94" s="563"/>
      <c r="G94" s="563"/>
      <c r="H94" s="563"/>
      <c r="I94" s="563"/>
      <c r="J94" s="563"/>
      <c r="K94" s="563"/>
      <c r="L94" s="563"/>
      <c r="M94" s="563"/>
      <c r="N94" s="563"/>
      <c r="O94" s="563"/>
      <c r="P94" s="563"/>
      <c r="Q94" s="563"/>
      <c r="R94" s="563"/>
      <c r="S94" s="563"/>
      <c r="T94" s="563"/>
      <c r="U94" s="563"/>
      <c r="V94" s="563"/>
      <c r="W94" s="563"/>
      <c r="X94" s="563"/>
      <c r="Y94" s="563"/>
      <c r="Z94" s="563"/>
      <c r="AA94" s="563"/>
      <c r="AB94" s="563"/>
      <c r="AC94" s="563"/>
      <c r="AD94" s="563"/>
      <c r="AE94" s="563"/>
      <c r="AF94" s="563"/>
    </row>
    <row r="95" spans="1:37">
      <c r="A95" s="563" t="s">
        <v>671</v>
      </c>
      <c r="B95" s="563"/>
      <c r="C95" s="563"/>
      <c r="D95" s="563"/>
      <c r="E95" s="563"/>
      <c r="F95" s="563"/>
      <c r="G95" s="563"/>
      <c r="H95" s="563"/>
      <c r="I95" s="563"/>
      <c r="J95" s="563"/>
      <c r="K95" s="563"/>
      <c r="L95" s="563"/>
      <c r="M95" s="563"/>
      <c r="N95" s="563"/>
      <c r="O95" s="563"/>
      <c r="P95" s="563"/>
      <c r="Q95" s="563"/>
      <c r="R95" s="563"/>
      <c r="S95" s="563"/>
      <c r="T95" s="563"/>
      <c r="U95" s="563"/>
      <c r="V95" s="563"/>
      <c r="W95" s="563"/>
      <c r="X95" s="563"/>
      <c r="Y95" s="563"/>
      <c r="Z95" s="563"/>
      <c r="AA95" s="563"/>
      <c r="AB95" s="563"/>
      <c r="AC95" s="563"/>
      <c r="AD95" s="563"/>
      <c r="AE95" s="563"/>
      <c r="AF95" s="563"/>
    </row>
    <row r="96" spans="1:37">
      <c r="A96" s="563" t="s">
        <v>672</v>
      </c>
      <c r="B96" s="563"/>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row>
    <row r="97" spans="1:32">
      <c r="A97" s="563" t="s">
        <v>673</v>
      </c>
      <c r="B97" s="563"/>
      <c r="C97" s="563"/>
      <c r="D97" s="563"/>
      <c r="E97" s="563"/>
      <c r="F97" s="563"/>
      <c r="G97" s="563"/>
      <c r="H97" s="563"/>
      <c r="I97" s="563"/>
      <c r="J97" s="563"/>
      <c r="K97" s="563"/>
      <c r="L97" s="563"/>
      <c r="M97" s="563"/>
      <c r="N97" s="563"/>
      <c r="O97" s="563"/>
      <c r="P97" s="563"/>
      <c r="Q97" s="563"/>
      <c r="R97" s="563"/>
      <c r="S97" s="563"/>
      <c r="T97" s="563"/>
      <c r="U97" s="563"/>
      <c r="V97" s="563"/>
      <c r="W97" s="563"/>
      <c r="X97" s="563"/>
      <c r="Y97" s="563"/>
      <c r="Z97" s="563"/>
      <c r="AA97" s="563"/>
      <c r="AB97" s="563"/>
      <c r="AC97" s="563"/>
      <c r="AD97" s="563"/>
      <c r="AE97" s="563"/>
      <c r="AF97" s="563"/>
    </row>
    <row r="98" spans="1:32">
      <c r="A98" s="563" t="s">
        <v>674</v>
      </c>
      <c r="B98" s="563"/>
      <c r="C98" s="563"/>
      <c r="D98" s="563"/>
      <c r="E98" s="563"/>
      <c r="F98" s="563"/>
      <c r="G98" s="563"/>
      <c r="H98" s="563"/>
      <c r="I98" s="563"/>
      <c r="J98" s="563"/>
      <c r="K98" s="563"/>
      <c r="L98" s="563"/>
      <c r="M98" s="563"/>
      <c r="N98" s="563"/>
      <c r="O98" s="563"/>
      <c r="P98" s="563"/>
      <c r="Q98" s="563"/>
      <c r="R98" s="563"/>
      <c r="S98" s="563"/>
      <c r="T98" s="563"/>
      <c r="U98" s="563"/>
      <c r="V98" s="563"/>
      <c r="W98" s="563"/>
      <c r="X98" s="563"/>
      <c r="Y98" s="563"/>
      <c r="Z98" s="563"/>
      <c r="AA98" s="563"/>
      <c r="AB98" s="563"/>
      <c r="AC98" s="563"/>
      <c r="AD98" s="563"/>
      <c r="AE98" s="563"/>
      <c r="AF98" s="563"/>
    </row>
    <row r="99" spans="1:32">
      <c r="A99" s="563" t="s">
        <v>675</v>
      </c>
      <c r="B99" s="563"/>
      <c r="C99" s="563"/>
      <c r="D99" s="563"/>
      <c r="E99" s="563"/>
      <c r="F99" s="563"/>
      <c r="G99" s="563"/>
      <c r="H99" s="563"/>
      <c r="I99" s="563"/>
      <c r="J99" s="563"/>
      <c r="K99" s="563"/>
      <c r="L99" s="563"/>
      <c r="M99" s="563"/>
      <c r="N99" s="563"/>
      <c r="O99" s="563"/>
      <c r="P99" s="563"/>
      <c r="Q99" s="563"/>
      <c r="R99" s="563"/>
      <c r="S99" s="563"/>
      <c r="T99" s="563"/>
      <c r="U99" s="563"/>
      <c r="V99" s="563"/>
      <c r="W99" s="563"/>
      <c r="X99" s="563"/>
      <c r="Y99" s="563"/>
      <c r="Z99" s="563"/>
      <c r="AA99" s="563"/>
      <c r="AB99" s="563"/>
      <c r="AC99" s="563"/>
      <c r="AD99" s="563"/>
      <c r="AE99" s="563"/>
      <c r="AF99" s="563"/>
    </row>
    <row r="100" spans="1:32">
      <c r="A100" s="563" t="s">
        <v>676</v>
      </c>
      <c r="B100" s="563"/>
      <c r="C100" s="563"/>
      <c r="D100" s="563"/>
      <c r="E100" s="563"/>
      <c r="F100" s="563"/>
      <c r="G100" s="563"/>
      <c r="H100" s="563"/>
      <c r="I100" s="563"/>
      <c r="J100" s="563"/>
      <c r="K100" s="563"/>
      <c r="L100" s="563"/>
      <c r="M100" s="563"/>
      <c r="N100" s="563"/>
      <c r="O100" s="563"/>
      <c r="P100" s="563"/>
      <c r="Q100" s="563"/>
      <c r="R100" s="563"/>
      <c r="S100" s="563"/>
      <c r="T100" s="563"/>
      <c r="U100" s="563"/>
      <c r="V100" s="563"/>
      <c r="W100" s="563"/>
      <c r="X100" s="563"/>
      <c r="Y100" s="563"/>
      <c r="Z100" s="563"/>
      <c r="AA100" s="563"/>
      <c r="AB100" s="563"/>
      <c r="AC100" s="563"/>
      <c r="AD100" s="563"/>
      <c r="AE100" s="563"/>
      <c r="AF100" s="563"/>
    </row>
    <row r="101" spans="1:32">
      <c r="A101" s="563" t="s">
        <v>677</v>
      </c>
      <c r="B101" s="563"/>
      <c r="C101" s="563"/>
      <c r="D101" s="563"/>
      <c r="E101" s="563"/>
      <c r="F101" s="563"/>
      <c r="G101" s="563"/>
      <c r="H101" s="563"/>
      <c r="I101" s="563"/>
      <c r="J101" s="563"/>
      <c r="K101" s="563"/>
      <c r="L101" s="563"/>
      <c r="M101" s="563"/>
      <c r="N101" s="563"/>
      <c r="O101" s="563"/>
      <c r="P101" s="563"/>
      <c r="Q101" s="563"/>
      <c r="R101" s="563"/>
      <c r="S101" s="563"/>
      <c r="T101" s="563"/>
      <c r="U101" s="563"/>
      <c r="V101" s="563"/>
      <c r="W101" s="563"/>
      <c r="X101" s="563"/>
      <c r="Y101" s="563"/>
      <c r="Z101" s="563"/>
      <c r="AA101" s="563"/>
      <c r="AB101" s="563"/>
      <c r="AC101" s="563"/>
      <c r="AD101" s="563"/>
      <c r="AE101" s="563"/>
      <c r="AF101" s="563"/>
    </row>
    <row r="102" spans="1:32">
      <c r="A102" s="563" t="s">
        <v>678</v>
      </c>
      <c r="B102" s="563"/>
      <c r="C102" s="563"/>
      <c r="D102" s="563"/>
      <c r="E102" s="563"/>
      <c r="F102" s="563"/>
      <c r="G102" s="563"/>
      <c r="H102" s="563"/>
      <c r="I102" s="563"/>
      <c r="J102" s="563"/>
      <c r="K102" s="563"/>
      <c r="L102" s="563"/>
      <c r="M102" s="563"/>
      <c r="N102" s="563"/>
      <c r="O102" s="563"/>
      <c r="P102" s="563"/>
      <c r="Q102" s="563"/>
      <c r="R102" s="563"/>
      <c r="S102" s="563"/>
      <c r="T102" s="563"/>
      <c r="U102" s="563"/>
      <c r="V102" s="563"/>
      <c r="W102" s="563"/>
      <c r="X102" s="563"/>
      <c r="Y102" s="563"/>
      <c r="Z102" s="563"/>
      <c r="AA102" s="563"/>
      <c r="AB102" s="563"/>
      <c r="AC102" s="563"/>
      <c r="AD102" s="563"/>
      <c r="AE102" s="563"/>
      <c r="AF102" s="563"/>
    </row>
    <row r="103" spans="1:32">
      <c r="A103" s="563" t="s">
        <v>679</v>
      </c>
      <c r="B103" s="563"/>
      <c r="C103" s="563"/>
      <c r="D103" s="563"/>
      <c r="E103" s="563"/>
      <c r="F103" s="563"/>
      <c r="G103" s="563"/>
      <c r="H103" s="563"/>
      <c r="I103" s="563"/>
      <c r="J103" s="563"/>
      <c r="K103" s="563"/>
      <c r="L103" s="563"/>
      <c r="M103" s="563"/>
      <c r="N103" s="563"/>
      <c r="O103" s="563"/>
      <c r="P103" s="563"/>
      <c r="Q103" s="563"/>
      <c r="R103" s="563"/>
      <c r="S103" s="563"/>
      <c r="T103" s="563"/>
      <c r="U103" s="563"/>
      <c r="V103" s="563"/>
      <c r="W103" s="563"/>
      <c r="X103" s="563"/>
      <c r="Y103" s="563"/>
      <c r="Z103" s="563"/>
      <c r="AA103" s="563"/>
      <c r="AB103" s="563"/>
      <c r="AC103" s="563"/>
      <c r="AD103" s="563"/>
      <c r="AE103" s="563"/>
      <c r="AF103" s="563"/>
    </row>
    <row r="104" spans="1:32">
      <c r="A104" s="563" t="s">
        <v>680</v>
      </c>
      <c r="B104" s="563"/>
      <c r="C104" s="563"/>
      <c r="D104" s="563"/>
      <c r="E104" s="563"/>
      <c r="F104" s="563"/>
      <c r="G104" s="563"/>
      <c r="H104" s="563"/>
      <c r="I104" s="563"/>
      <c r="J104" s="563"/>
      <c r="K104" s="563"/>
      <c r="L104" s="563"/>
      <c r="M104" s="563"/>
      <c r="N104" s="563"/>
      <c r="O104" s="563"/>
      <c r="P104" s="563"/>
      <c r="Q104" s="563"/>
      <c r="R104" s="563"/>
      <c r="S104" s="563"/>
      <c r="T104" s="563"/>
      <c r="U104" s="563"/>
      <c r="V104" s="563"/>
      <c r="W104" s="563"/>
      <c r="X104" s="563"/>
      <c r="Y104" s="563"/>
      <c r="Z104" s="563"/>
      <c r="AA104" s="563"/>
      <c r="AB104" s="563"/>
      <c r="AC104" s="563"/>
      <c r="AD104" s="563"/>
      <c r="AE104" s="563"/>
      <c r="AF104" s="563"/>
    </row>
    <row r="105" spans="1:32">
      <c r="A105" s="563" t="s">
        <v>681</v>
      </c>
      <c r="B105" s="563"/>
      <c r="C105" s="563"/>
      <c r="D105" s="563"/>
      <c r="E105" s="563"/>
      <c r="F105" s="563"/>
      <c r="G105" s="563"/>
      <c r="H105" s="563"/>
      <c r="I105" s="563"/>
      <c r="J105" s="563"/>
      <c r="K105" s="563"/>
      <c r="L105" s="563"/>
      <c r="M105" s="563"/>
      <c r="N105" s="563"/>
      <c r="O105" s="563"/>
      <c r="P105" s="563"/>
      <c r="Q105" s="563"/>
      <c r="R105" s="563"/>
      <c r="S105" s="563"/>
      <c r="T105" s="563"/>
      <c r="U105" s="563"/>
      <c r="V105" s="563"/>
      <c r="W105" s="563"/>
      <c r="X105" s="563"/>
      <c r="Y105" s="563"/>
      <c r="Z105" s="563"/>
      <c r="AA105" s="563"/>
      <c r="AB105" s="563"/>
      <c r="AC105" s="563"/>
      <c r="AD105" s="563"/>
      <c r="AE105" s="563"/>
      <c r="AF105" s="563"/>
    </row>
    <row r="106" spans="1:32">
      <c r="A106" s="563" t="s">
        <v>682</v>
      </c>
      <c r="B106" s="563"/>
      <c r="C106" s="563"/>
      <c r="D106" s="563"/>
      <c r="E106" s="563"/>
      <c r="F106" s="563"/>
      <c r="G106" s="563"/>
      <c r="H106" s="563"/>
      <c r="I106" s="563"/>
      <c r="J106" s="563"/>
      <c r="K106" s="563"/>
      <c r="L106" s="563"/>
      <c r="M106" s="563"/>
      <c r="N106" s="563"/>
      <c r="O106" s="563"/>
      <c r="P106" s="563"/>
      <c r="Q106" s="563"/>
      <c r="R106" s="563"/>
      <c r="S106" s="563"/>
      <c r="T106" s="563"/>
      <c r="U106" s="563"/>
      <c r="V106" s="563"/>
      <c r="W106" s="563"/>
      <c r="X106" s="563"/>
      <c r="Y106" s="563"/>
      <c r="Z106" s="563"/>
      <c r="AA106" s="563"/>
      <c r="AB106" s="563"/>
      <c r="AC106" s="563"/>
      <c r="AD106" s="563"/>
      <c r="AE106" s="563"/>
      <c r="AF106" s="563"/>
    </row>
    <row r="107" spans="1:32">
      <c r="A107" s="563" t="s">
        <v>683</v>
      </c>
      <c r="B107" s="563"/>
      <c r="C107" s="563"/>
      <c r="D107" s="563"/>
      <c r="E107" s="563"/>
      <c r="F107" s="563"/>
      <c r="G107" s="563"/>
      <c r="H107" s="563"/>
      <c r="I107" s="563"/>
      <c r="J107" s="563"/>
      <c r="K107" s="563"/>
      <c r="L107" s="563"/>
      <c r="M107" s="563"/>
      <c r="N107" s="563"/>
      <c r="O107" s="563"/>
      <c r="P107" s="563"/>
      <c r="Q107" s="563"/>
      <c r="R107" s="563"/>
      <c r="S107" s="563"/>
      <c r="T107" s="563"/>
      <c r="U107" s="563"/>
      <c r="V107" s="563"/>
      <c r="W107" s="563"/>
      <c r="X107" s="563"/>
      <c r="Y107" s="563"/>
      <c r="Z107" s="563"/>
      <c r="AA107" s="563"/>
      <c r="AB107" s="563"/>
      <c r="AC107" s="563"/>
      <c r="AD107" s="563"/>
      <c r="AE107" s="563"/>
      <c r="AF107" s="563"/>
    </row>
    <row r="108" spans="1:32">
      <c r="A108" s="563" t="s">
        <v>635</v>
      </c>
      <c r="B108" s="563"/>
      <c r="C108" s="563"/>
      <c r="D108" s="563"/>
      <c r="E108" s="563"/>
      <c r="F108" s="563"/>
      <c r="G108" s="563"/>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563"/>
      <c r="AD108" s="563"/>
      <c r="AE108" s="563"/>
      <c r="AF108" s="563"/>
    </row>
    <row r="109" spans="1:32">
      <c r="A109" s="563" t="s">
        <v>684</v>
      </c>
      <c r="B109" s="563"/>
      <c r="C109" s="563"/>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563"/>
      <c r="AD109" s="563"/>
      <c r="AE109" s="563"/>
      <c r="AF109" s="563"/>
    </row>
    <row r="110" spans="1:32">
      <c r="A110" s="563" t="s">
        <v>685</v>
      </c>
      <c r="B110" s="563"/>
      <c r="C110" s="563"/>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3"/>
      <c r="AD110" s="563"/>
      <c r="AE110" s="563"/>
      <c r="AF110" s="563"/>
    </row>
    <row r="111" spans="1:32">
      <c r="A111" s="563" t="s">
        <v>642</v>
      </c>
      <c r="B111" s="563"/>
      <c r="C111" s="563"/>
      <c r="D111" s="563"/>
      <c r="E111" s="563"/>
      <c r="F111" s="563"/>
      <c r="G111" s="563"/>
      <c r="H111" s="563"/>
      <c r="I111" s="563"/>
      <c r="J111" s="563"/>
      <c r="K111" s="563"/>
      <c r="L111" s="563"/>
      <c r="M111" s="563"/>
      <c r="N111" s="563"/>
      <c r="O111" s="563"/>
      <c r="P111" s="563"/>
      <c r="Q111" s="563"/>
      <c r="R111" s="563"/>
      <c r="S111" s="563"/>
      <c r="T111" s="563"/>
      <c r="U111" s="563"/>
      <c r="V111" s="563"/>
      <c r="W111" s="563"/>
      <c r="X111" s="563"/>
      <c r="Y111" s="563"/>
      <c r="Z111" s="563"/>
      <c r="AA111" s="563"/>
      <c r="AB111" s="563"/>
      <c r="AC111" s="563"/>
      <c r="AD111" s="563"/>
      <c r="AE111" s="563"/>
      <c r="AF111" s="563"/>
    </row>
    <row r="112" spans="1:32">
      <c r="A112" s="563" t="s">
        <v>643</v>
      </c>
      <c r="B112" s="563"/>
      <c r="C112" s="563"/>
      <c r="D112" s="563"/>
      <c r="E112" s="563"/>
      <c r="F112" s="563"/>
      <c r="G112" s="563"/>
      <c r="H112" s="563"/>
      <c r="I112" s="563"/>
      <c r="J112" s="563"/>
      <c r="K112" s="563"/>
      <c r="L112" s="563"/>
      <c r="M112" s="563"/>
      <c r="N112" s="563"/>
      <c r="O112" s="563"/>
      <c r="P112" s="563"/>
      <c r="Q112" s="563"/>
      <c r="R112" s="563"/>
      <c r="S112" s="563"/>
      <c r="T112" s="563"/>
      <c r="U112" s="563"/>
      <c r="V112" s="563"/>
      <c r="W112" s="563"/>
      <c r="X112" s="563"/>
      <c r="Y112" s="563"/>
      <c r="Z112" s="563"/>
      <c r="AA112" s="563"/>
      <c r="AB112" s="563"/>
      <c r="AC112" s="563"/>
      <c r="AD112" s="563"/>
      <c r="AE112" s="563"/>
      <c r="AF112" s="563"/>
    </row>
    <row r="113" spans="1:32">
      <c r="A113" s="563" t="s">
        <v>644</v>
      </c>
      <c r="B113" s="563"/>
      <c r="C113" s="563"/>
      <c r="D113" s="563"/>
      <c r="E113" s="563"/>
      <c r="F113" s="563"/>
      <c r="G113" s="563"/>
      <c r="H113" s="563"/>
      <c r="I113" s="563"/>
      <c r="J113" s="563"/>
      <c r="K113" s="563"/>
      <c r="L113" s="563"/>
      <c r="M113" s="563"/>
      <c r="N113" s="563"/>
      <c r="O113" s="563"/>
      <c r="P113" s="563"/>
      <c r="Q113" s="563"/>
      <c r="R113" s="563"/>
      <c r="S113" s="563"/>
      <c r="T113" s="563"/>
      <c r="U113" s="563"/>
      <c r="V113" s="563"/>
      <c r="W113" s="563"/>
      <c r="X113" s="563"/>
      <c r="Y113" s="563"/>
      <c r="Z113" s="563"/>
      <c r="AA113" s="563"/>
      <c r="AB113" s="563"/>
      <c r="AC113" s="563"/>
      <c r="AD113" s="563"/>
      <c r="AE113" s="563"/>
      <c r="AF113" s="563"/>
    </row>
    <row r="114" spans="1:32">
      <c r="A114" s="563" t="s">
        <v>686</v>
      </c>
      <c r="B114" s="563"/>
      <c r="C114" s="563"/>
      <c r="D114" s="563"/>
      <c r="E114" s="563"/>
      <c r="F114" s="563"/>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row>
    <row r="115" spans="1:32">
      <c r="A115" s="563" t="s">
        <v>687</v>
      </c>
      <c r="B115" s="563"/>
      <c r="C115" s="563"/>
      <c r="D115" s="563"/>
      <c r="E115" s="563"/>
      <c r="F115" s="563"/>
      <c r="G115" s="563"/>
      <c r="H115" s="563"/>
      <c r="I115" s="563"/>
      <c r="J115" s="563"/>
      <c r="K115" s="563"/>
      <c r="L115" s="563"/>
      <c r="M115" s="563"/>
      <c r="N115" s="563"/>
      <c r="O115" s="563"/>
      <c r="P115" s="563"/>
      <c r="Q115" s="563"/>
      <c r="R115" s="563"/>
      <c r="S115" s="563"/>
      <c r="T115" s="563"/>
      <c r="U115" s="563"/>
      <c r="V115" s="563"/>
      <c r="W115" s="563"/>
      <c r="X115" s="563"/>
      <c r="Y115" s="563"/>
      <c r="Z115" s="563"/>
      <c r="AA115" s="563"/>
      <c r="AB115" s="563"/>
      <c r="AC115" s="563"/>
      <c r="AD115" s="563"/>
      <c r="AE115" s="563"/>
      <c r="AF115" s="563"/>
    </row>
    <row r="116" spans="1:32">
      <c r="A116" s="563" t="s">
        <v>619</v>
      </c>
      <c r="B116" s="563"/>
      <c r="C116" s="563"/>
      <c r="D116" s="563"/>
      <c r="E116" s="563"/>
      <c r="F116" s="563"/>
      <c r="G116" s="563"/>
      <c r="H116" s="563"/>
      <c r="I116" s="563"/>
      <c r="J116" s="563"/>
      <c r="K116" s="563"/>
      <c r="L116" s="563"/>
      <c r="M116" s="563"/>
      <c r="N116" s="563"/>
      <c r="O116" s="563"/>
      <c r="P116" s="563"/>
      <c r="Q116" s="563"/>
      <c r="R116" s="563"/>
      <c r="S116" s="563"/>
      <c r="T116" s="563"/>
      <c r="U116" s="563"/>
      <c r="V116" s="563"/>
      <c r="W116" s="563"/>
      <c r="X116" s="563"/>
      <c r="Y116" s="563"/>
      <c r="Z116" s="563"/>
      <c r="AA116" s="563"/>
      <c r="AB116" s="563"/>
      <c r="AC116" s="563"/>
      <c r="AD116" s="563"/>
      <c r="AE116" s="563"/>
      <c r="AF116" s="563"/>
    </row>
    <row r="117" spans="1:32">
      <c r="A117" s="563" t="s">
        <v>620</v>
      </c>
      <c r="B117" s="563"/>
      <c r="C117" s="563"/>
      <c r="D117" s="563"/>
      <c r="E117" s="563"/>
      <c r="F117" s="563"/>
      <c r="G117" s="563"/>
      <c r="H117" s="563"/>
      <c r="I117" s="563"/>
      <c r="J117" s="563"/>
      <c r="K117" s="563"/>
      <c r="L117" s="563"/>
      <c r="M117" s="563"/>
      <c r="N117" s="563"/>
      <c r="O117" s="563"/>
      <c r="P117" s="563"/>
      <c r="Q117" s="563"/>
      <c r="R117" s="563"/>
      <c r="S117" s="563"/>
      <c r="T117" s="563"/>
      <c r="U117" s="563"/>
      <c r="V117" s="563"/>
      <c r="W117" s="563"/>
      <c r="X117" s="563"/>
      <c r="Y117" s="563"/>
      <c r="Z117" s="563"/>
      <c r="AA117" s="563"/>
      <c r="AB117" s="563"/>
      <c r="AC117" s="563"/>
      <c r="AD117" s="563"/>
      <c r="AE117" s="563"/>
      <c r="AF117" s="563"/>
    </row>
    <row r="118" spans="1:32">
      <c r="A118" s="563" t="s">
        <v>621</v>
      </c>
      <c r="B118" s="563"/>
      <c r="C118" s="563"/>
      <c r="D118" s="563"/>
      <c r="E118" s="563"/>
      <c r="F118" s="563"/>
      <c r="G118" s="563"/>
      <c r="H118" s="563"/>
      <c r="I118" s="563"/>
      <c r="J118" s="563"/>
      <c r="K118" s="563"/>
      <c r="L118" s="563"/>
      <c r="M118" s="563"/>
      <c r="N118" s="563"/>
      <c r="O118" s="563"/>
      <c r="P118" s="563"/>
      <c r="Q118" s="563"/>
      <c r="R118" s="563"/>
      <c r="S118" s="563"/>
      <c r="T118" s="563"/>
      <c r="U118" s="563"/>
      <c r="V118" s="563"/>
      <c r="W118" s="563"/>
      <c r="X118" s="563"/>
      <c r="Y118" s="563"/>
      <c r="Z118" s="563"/>
      <c r="AA118" s="563"/>
      <c r="AB118" s="563"/>
      <c r="AC118" s="563"/>
      <c r="AD118" s="563"/>
      <c r="AE118" s="563"/>
      <c r="AF118" s="563"/>
    </row>
    <row r="119" spans="1:32">
      <c r="A119" s="563" t="s">
        <v>688</v>
      </c>
      <c r="B119" s="563"/>
      <c r="C119" s="563"/>
      <c r="D119" s="563"/>
      <c r="E119" s="563"/>
      <c r="F119" s="563"/>
      <c r="G119" s="563"/>
      <c r="H119" s="563"/>
      <c r="I119" s="563"/>
      <c r="J119" s="563"/>
      <c r="K119" s="563"/>
      <c r="L119" s="563"/>
      <c r="M119" s="563"/>
      <c r="N119" s="563"/>
      <c r="O119" s="563"/>
      <c r="P119" s="563"/>
      <c r="Q119" s="563"/>
      <c r="R119" s="563"/>
      <c r="S119" s="563"/>
      <c r="T119" s="563"/>
      <c r="U119" s="563"/>
      <c r="V119" s="563"/>
      <c r="W119" s="563"/>
      <c r="X119" s="563"/>
      <c r="Y119" s="563"/>
      <c r="Z119" s="563"/>
      <c r="AA119" s="563"/>
      <c r="AB119" s="563"/>
      <c r="AC119" s="563"/>
      <c r="AD119" s="563"/>
      <c r="AE119" s="563"/>
      <c r="AF119" s="563"/>
    </row>
    <row r="120" spans="1:32">
      <c r="A120" s="563" t="s">
        <v>689</v>
      </c>
      <c r="B120" s="563"/>
      <c r="C120" s="563"/>
      <c r="D120" s="563"/>
      <c r="E120" s="563"/>
      <c r="F120" s="563"/>
      <c r="G120" s="563"/>
      <c r="H120" s="563"/>
      <c r="I120" s="563"/>
      <c r="J120" s="563"/>
      <c r="K120" s="563"/>
      <c r="L120" s="563"/>
      <c r="M120" s="563"/>
      <c r="N120" s="563"/>
      <c r="O120" s="563"/>
      <c r="P120" s="563"/>
      <c r="Q120" s="563"/>
      <c r="R120" s="563"/>
      <c r="S120" s="563"/>
      <c r="T120" s="563"/>
      <c r="U120" s="563"/>
      <c r="V120" s="563"/>
      <c r="W120" s="563"/>
      <c r="X120" s="563"/>
      <c r="Y120" s="563"/>
      <c r="Z120" s="563"/>
      <c r="AA120" s="563"/>
      <c r="AB120" s="563"/>
      <c r="AC120" s="563"/>
      <c r="AD120" s="563"/>
      <c r="AE120" s="563"/>
      <c r="AF120" s="563"/>
    </row>
    <row r="121" spans="1:32">
      <c r="A121" s="563" t="s">
        <v>623</v>
      </c>
      <c r="B121" s="563"/>
      <c r="C121" s="563"/>
      <c r="D121" s="563"/>
      <c r="E121" s="563"/>
      <c r="F121" s="563"/>
      <c r="G121" s="563"/>
      <c r="H121" s="563"/>
      <c r="I121" s="563"/>
      <c r="J121" s="563"/>
      <c r="K121" s="563"/>
      <c r="L121" s="563"/>
      <c r="M121" s="563"/>
      <c r="N121" s="563"/>
      <c r="O121" s="563"/>
      <c r="P121" s="563"/>
      <c r="Q121" s="563"/>
      <c r="R121" s="563"/>
      <c r="S121" s="563"/>
      <c r="T121" s="563"/>
      <c r="U121" s="563"/>
      <c r="V121" s="563"/>
      <c r="W121" s="563"/>
      <c r="X121" s="563"/>
      <c r="Y121" s="563"/>
      <c r="Z121" s="563"/>
      <c r="AA121" s="563"/>
      <c r="AB121" s="563"/>
      <c r="AC121" s="563"/>
      <c r="AD121" s="563"/>
      <c r="AE121" s="563"/>
      <c r="AF121" s="563"/>
    </row>
    <row r="122" spans="1:32">
      <c r="A122" s="563" t="s">
        <v>626</v>
      </c>
      <c r="B122" s="563"/>
      <c r="C122" s="563"/>
      <c r="D122" s="563"/>
      <c r="E122" s="563"/>
      <c r="F122" s="563"/>
      <c r="G122" s="563"/>
      <c r="H122" s="563"/>
      <c r="I122" s="563"/>
      <c r="J122" s="563"/>
      <c r="K122" s="563"/>
      <c r="L122" s="563"/>
      <c r="M122" s="563"/>
      <c r="N122" s="563"/>
      <c r="O122" s="563"/>
      <c r="P122" s="563"/>
      <c r="Q122" s="563"/>
      <c r="R122" s="563"/>
      <c r="S122" s="563"/>
      <c r="T122" s="563"/>
      <c r="U122" s="563"/>
      <c r="V122" s="563"/>
      <c r="W122" s="563"/>
      <c r="X122" s="563"/>
      <c r="Y122" s="563"/>
      <c r="Z122" s="563"/>
      <c r="AA122" s="563"/>
      <c r="AB122" s="563"/>
      <c r="AC122" s="563"/>
      <c r="AD122" s="563"/>
      <c r="AE122" s="563"/>
      <c r="AF122" s="563"/>
    </row>
  </sheetData>
  <mergeCells count="3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2:AF102"/>
    <mergeCell ref="A103:AF103"/>
    <mergeCell ref="A104:AF104"/>
    <mergeCell ref="A105:AF105"/>
    <mergeCell ref="A106:AF106"/>
    <mergeCell ref="A107:AF107"/>
    <mergeCell ref="A108:AF108"/>
    <mergeCell ref="A109:AF109"/>
    <mergeCell ref="A110:AF110"/>
    <mergeCell ref="A111:AF111"/>
    <mergeCell ref="A112:AF112"/>
    <mergeCell ref="A113:AF113"/>
    <mergeCell ref="A114:AF114"/>
    <mergeCell ref="A115:AF115"/>
    <mergeCell ref="A116:AF116"/>
    <mergeCell ref="A122:AF122"/>
    <mergeCell ref="A117:AF117"/>
    <mergeCell ref="A118:AF118"/>
    <mergeCell ref="A119:AF119"/>
    <mergeCell ref="A120:AF120"/>
    <mergeCell ref="A121:AF12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2015-02-19T00:27:31Z</dcterms:modified>
</cp:coreProperties>
</file>