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11300" yWindow="2020" windowWidth="14140" windowHeight="10260" tabRatio="923" firstSheet="6" activeTab="7"/>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C30" i="5"/>
  <c r="X7" i="9"/>
  <c r="X10" i="9"/>
  <c r="X11" i="9"/>
  <c r="X12" i="9"/>
  <c r="X16" i="9"/>
  <c r="X13" i="9"/>
  <c r="X14" i="9"/>
  <c r="X8" i="9"/>
  <c r="X18" i="9"/>
  <c r="Z58" i="11"/>
  <c r="X13" i="15"/>
  <c r="X14" i="15"/>
  <c r="D12" i="5"/>
  <c r="N7" i="9"/>
  <c r="N10" i="9"/>
  <c r="N11" i="9"/>
  <c r="N12" i="9"/>
  <c r="N16" i="9"/>
  <c r="N13" i="9"/>
  <c r="N14" i="9"/>
  <c r="N8" i="9"/>
  <c r="N18" i="9"/>
  <c r="P58" i="11"/>
  <c r="N13" i="15"/>
  <c r="N14" i="15"/>
  <c r="D11" i="5"/>
  <c r="E12" i="5"/>
  <c r="AH7" i="9"/>
  <c r="AH10" i="9"/>
  <c r="AH11" i="9"/>
  <c r="AH12" i="9"/>
  <c r="AH13" i="9"/>
  <c r="AH16" i="9"/>
  <c r="AH14" i="9"/>
  <c r="AH8" i="9"/>
  <c r="AH18" i="9"/>
  <c r="AJ58" i="11"/>
  <c r="AH13" i="15"/>
  <c r="AH14" i="15"/>
  <c r="D13" i="5"/>
  <c r="E13" i="5"/>
  <c r="G13" i="5"/>
  <c r="G12" i="5"/>
  <c r="AI58" i="11"/>
  <c r="AH58" i="11"/>
  <c r="AG58" i="11"/>
  <c r="AF58" i="11"/>
  <c r="AE58" i="11"/>
  <c r="AD58" i="11"/>
  <c r="AC58" i="11"/>
  <c r="AB58" i="11"/>
  <c r="AA58" i="11"/>
  <c r="Y58" i="11"/>
  <c r="X58" i="11"/>
  <c r="W58" i="11"/>
  <c r="V58" i="11"/>
  <c r="U58" i="11"/>
  <c r="T58" i="11"/>
  <c r="S58" i="11"/>
  <c r="R58" i="11"/>
  <c r="Q58" i="11"/>
  <c r="O58" i="11"/>
  <c r="N58" i="11"/>
  <c r="M58" i="11"/>
  <c r="L58" i="11"/>
  <c r="K58" i="11"/>
  <c r="J58" i="11"/>
  <c r="I58" i="11"/>
  <c r="H58" i="11"/>
  <c r="G58" i="11"/>
  <c r="F58" i="11"/>
  <c r="E58" i="11"/>
  <c r="D58" i="11"/>
  <c r="C58" i="11"/>
  <c r="B58"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D17" i="5"/>
  <c r="C17" i="5"/>
  <c r="D18" i="5"/>
  <c r="C18" i="5"/>
  <c r="D19" i="5"/>
  <c r="C19" i="5"/>
  <c r="D20" i="5"/>
  <c r="C20" i="5"/>
  <c r="D21" i="5"/>
  <c r="C21" i="5"/>
  <c r="D22" i="5"/>
  <c r="C22" i="5"/>
  <c r="D23" i="5"/>
  <c r="C23" i="5"/>
  <c r="C24" i="5"/>
  <c r="E17" i="5"/>
  <c r="N16" i="15"/>
  <c r="N19" i="15"/>
  <c r="N20" i="15"/>
  <c r="N21" i="15"/>
  <c r="N34" i="15"/>
  <c r="D35" i="5"/>
  <c r="C35" i="5"/>
  <c r="N26" i="15"/>
  <c r="N31" i="15"/>
  <c r="D36" i="5"/>
  <c r="C36" i="5"/>
  <c r="N18" i="15"/>
  <c r="N32" i="15"/>
  <c r="E19" i="5"/>
  <c r="N35" i="15"/>
  <c r="E20" i="5"/>
  <c r="N37" i="15"/>
  <c r="E21" i="5"/>
  <c r="N38" i="15"/>
  <c r="E22" i="5"/>
  <c r="N39" i="15"/>
  <c r="E18" i="5"/>
  <c r="N40" i="15"/>
  <c r="E23" i="5"/>
  <c r="N42" i="15"/>
  <c r="N43" i="15"/>
  <c r="N30" i="15"/>
  <c r="N46" i="15"/>
  <c r="N47" i="15"/>
  <c r="N48" i="15"/>
  <c r="N49" i="15"/>
  <c r="N86" i="15"/>
  <c r="H32" i="15"/>
  <c r="H13" i="9"/>
  <c r="H38" i="15"/>
  <c r="H14" i="9"/>
  <c r="H39" i="15"/>
  <c r="H7" i="9"/>
  <c r="H31" i="15"/>
  <c r="H10" i="9"/>
  <c r="H34" i="15"/>
  <c r="H11" i="9"/>
  <c r="H35" i="15"/>
  <c r="H12" i="9"/>
  <c r="H37" i="15"/>
  <c r="H16" i="9"/>
  <c r="H42" i="15"/>
  <c r="H40" i="15"/>
  <c r="H43" i="15"/>
  <c r="H46" i="15"/>
  <c r="H14" i="15"/>
  <c r="H30" i="15"/>
  <c r="H47" i="15"/>
  <c r="H48" i="15"/>
  <c r="H49" i="15"/>
  <c r="H86" i="15"/>
  <c r="N71" i="15"/>
  <c r="D58" i="15"/>
  <c r="D13" i="15"/>
  <c r="D14" i="15"/>
  <c r="D10" i="9"/>
  <c r="D34" i="15"/>
  <c r="C26" i="15"/>
  <c r="D26" i="15"/>
  <c r="D31" i="15"/>
  <c r="C18" i="15"/>
  <c r="D18" i="15"/>
  <c r="D32" i="15"/>
  <c r="C59" i="15"/>
  <c r="N87" i="15"/>
  <c r="H87" i="15"/>
  <c r="N72"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N94" i="15"/>
  <c r="H94" i="15"/>
  <c r="N79"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X46" i="15"/>
  <c r="Y46" i="15"/>
  <c r="Z46" i="15"/>
  <c r="AA46" i="15"/>
  <c r="AB46" i="15"/>
  <c r="AC46" i="15"/>
  <c r="AD46" i="15"/>
  <c r="AE46" i="15"/>
  <c r="AF46" i="15"/>
  <c r="AG46" i="15"/>
  <c r="AH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F23" i="5"/>
  <c r="X42" i="15"/>
  <c r="D29" i="5"/>
  <c r="C29" i="5"/>
  <c r="D28" i="5"/>
  <c r="C28" i="5"/>
  <c r="F35" i="5"/>
  <c r="X26" i="15"/>
  <c r="X31" i="15"/>
  <c r="F36" i="5"/>
  <c r="X18" i="15"/>
  <c r="X32" i="15"/>
  <c r="F17" i="5"/>
  <c r="X34" i="15"/>
  <c r="F19" i="5"/>
  <c r="X35" i="15"/>
  <c r="F20" i="5"/>
  <c r="X37" i="15"/>
  <c r="F21" i="5"/>
  <c r="X38" i="15"/>
  <c r="F22" i="5"/>
  <c r="X39" i="15"/>
  <c r="F18" i="5"/>
  <c r="X40" i="15"/>
  <c r="X43" i="15"/>
  <c r="F34" i="5"/>
  <c r="X24" i="15"/>
  <c r="X30" i="15"/>
  <c r="X47" i="15"/>
  <c r="X48" i="15"/>
  <c r="X49" i="15"/>
  <c r="X66" i="15"/>
  <c r="I23" i="5"/>
  <c r="AH42" i="15"/>
  <c r="H35" i="5"/>
  <c r="AH26" i="15"/>
  <c r="AH31" i="15"/>
  <c r="H36" i="5"/>
  <c r="AH18" i="15"/>
  <c r="AH32" i="15"/>
  <c r="I17" i="5"/>
  <c r="AH34" i="15"/>
  <c r="I19" i="5"/>
  <c r="AH35" i="15"/>
  <c r="I20" i="5"/>
  <c r="AH37" i="15"/>
  <c r="I21" i="5"/>
  <c r="AH38" i="15"/>
  <c r="I22" i="5"/>
  <c r="AH39" i="15"/>
  <c r="I18" i="5"/>
  <c r="AH40" i="15"/>
  <c r="AH43" i="15"/>
  <c r="H34" i="5"/>
  <c r="AH24" i="15"/>
  <c r="AH30" i="15"/>
  <c r="AH47" i="15"/>
  <c r="AH48" i="15"/>
  <c r="AH49" i="15"/>
  <c r="AH94" i="15"/>
  <c r="X94" i="15"/>
  <c r="AH79" i="15"/>
  <c r="Y66" i="15"/>
  <c r="Z66" i="15"/>
  <c r="AA66" i="15"/>
  <c r="AB66" i="15"/>
  <c r="AC66" i="15"/>
  <c r="AD66" i="15"/>
  <c r="AE66" i="15"/>
  <c r="AF66" i="15"/>
  <c r="AG66" i="15"/>
  <c r="AG13" i="15"/>
  <c r="AG14" i="15"/>
  <c r="AG16" i="9"/>
  <c r="AG42" i="15"/>
  <c r="AF13" i="15"/>
  <c r="AF14" i="15"/>
  <c r="AF16" i="9"/>
  <c r="AF42" i="15"/>
  <c r="AE13" i="15"/>
  <c r="AE14" i="15"/>
  <c r="AE16" i="9"/>
  <c r="AE42" i="15"/>
  <c r="AD13" i="15"/>
  <c r="AD14" i="15"/>
  <c r="AD16" i="9"/>
  <c r="AD42" i="15"/>
  <c r="AC13" i="15"/>
  <c r="AC14" i="15"/>
  <c r="AC16" i="9"/>
  <c r="AC42" i="15"/>
  <c r="AB13" i="15"/>
  <c r="AB14" i="15"/>
  <c r="AB16" i="9"/>
  <c r="AB42" i="15"/>
  <c r="AA13" i="15"/>
  <c r="AA14" i="15"/>
  <c r="AA16" i="9"/>
  <c r="AA42" i="15"/>
  <c r="Z13" i="15"/>
  <c r="Z14" i="15"/>
  <c r="Z16" i="9"/>
  <c r="Z42" i="15"/>
  <c r="Y13" i="15"/>
  <c r="Y14" i="15"/>
  <c r="Y16" i="9"/>
  <c r="Y42" i="15"/>
  <c r="X64" i="15"/>
  <c r="AH92" i="15"/>
  <c r="X92" i="15"/>
  <c r="AH77" i="15"/>
  <c r="Y64" i="15"/>
  <c r="Z64" i="15"/>
  <c r="AA64" i="15"/>
  <c r="AB64" i="15"/>
  <c r="AC64" i="15"/>
  <c r="AD64" i="15"/>
  <c r="AE64" i="15"/>
  <c r="AF64" i="15"/>
  <c r="AG64" i="15"/>
  <c r="AG40" i="15"/>
  <c r="AF40" i="15"/>
  <c r="AE40" i="15"/>
  <c r="AD40" i="15"/>
  <c r="AC40" i="15"/>
  <c r="AB40" i="15"/>
  <c r="AA40" i="15"/>
  <c r="Z40" i="15"/>
  <c r="Y40" i="15"/>
  <c r="X63" i="15"/>
  <c r="AH91" i="15"/>
  <c r="X91" i="15"/>
  <c r="AH76" i="15"/>
  <c r="Y63" i="15"/>
  <c r="Z63" i="15"/>
  <c r="AA63" i="15"/>
  <c r="AB63" i="15"/>
  <c r="AC63" i="15"/>
  <c r="AD63" i="15"/>
  <c r="AE63" i="15"/>
  <c r="AF63" i="15"/>
  <c r="AG63" i="15"/>
  <c r="AG14" i="9"/>
  <c r="AG39" i="15"/>
  <c r="AF14" i="9"/>
  <c r="AF39" i="15"/>
  <c r="AE14" i="9"/>
  <c r="AE39" i="15"/>
  <c r="AD14" i="9"/>
  <c r="AD39" i="15"/>
  <c r="AC14" i="9"/>
  <c r="AC39" i="15"/>
  <c r="AB14" i="9"/>
  <c r="AB39" i="15"/>
  <c r="AA14" i="9"/>
  <c r="AA39" i="15"/>
  <c r="Z14" i="9"/>
  <c r="Z39" i="15"/>
  <c r="Y14" i="9"/>
  <c r="Y39" i="15"/>
  <c r="X62" i="15"/>
  <c r="AH90" i="15"/>
  <c r="X90" i="15"/>
  <c r="AH75" i="15"/>
  <c r="Y62" i="15"/>
  <c r="Z62" i="15"/>
  <c r="AA62" i="15"/>
  <c r="AB62" i="15"/>
  <c r="AC62" i="15"/>
  <c r="AD62" i="15"/>
  <c r="AE62" i="15"/>
  <c r="AF62" i="15"/>
  <c r="AG62" i="15"/>
  <c r="AG13" i="9"/>
  <c r="AG38" i="15"/>
  <c r="AF13" i="9"/>
  <c r="AF38" i="15"/>
  <c r="AE13" i="9"/>
  <c r="AE38" i="15"/>
  <c r="AD13" i="9"/>
  <c r="AD38" i="15"/>
  <c r="AC13" i="9"/>
  <c r="AC38" i="15"/>
  <c r="AB13" i="9"/>
  <c r="AB38" i="15"/>
  <c r="AA13" i="9"/>
  <c r="AA38" i="15"/>
  <c r="Z13" i="9"/>
  <c r="Z38" i="15"/>
  <c r="Y13" i="9"/>
  <c r="Y38" i="15"/>
  <c r="X61" i="15"/>
  <c r="AH89" i="15"/>
  <c r="X89" i="15"/>
  <c r="AH74" i="15"/>
  <c r="Y61" i="15"/>
  <c r="Z61" i="15"/>
  <c r="AA61" i="15"/>
  <c r="AB61" i="15"/>
  <c r="AC61" i="15"/>
  <c r="AD61" i="15"/>
  <c r="AE61" i="15"/>
  <c r="AF61" i="15"/>
  <c r="AG61" i="15"/>
  <c r="AG12" i="9"/>
  <c r="AG37" i="15"/>
  <c r="AF12" i="9"/>
  <c r="AF37" i="15"/>
  <c r="AE12" i="9"/>
  <c r="AE37" i="15"/>
  <c r="AD12" i="9"/>
  <c r="AD37" i="15"/>
  <c r="AC12" i="9"/>
  <c r="AC37" i="15"/>
  <c r="AB12" i="9"/>
  <c r="AB37" i="15"/>
  <c r="AA12" i="9"/>
  <c r="AA37" i="15"/>
  <c r="Z12" i="9"/>
  <c r="Z37" i="15"/>
  <c r="Y12" i="9"/>
  <c r="Y37" i="15"/>
  <c r="X59" i="15"/>
  <c r="AH87" i="15"/>
  <c r="X87" i="15"/>
  <c r="AH72" i="15"/>
  <c r="Y59" i="15"/>
  <c r="Z59" i="15"/>
  <c r="AA59" i="15"/>
  <c r="AB59" i="15"/>
  <c r="AC59" i="15"/>
  <c r="AD59" i="15"/>
  <c r="AE59" i="15"/>
  <c r="AF59" i="15"/>
  <c r="AG59" i="15"/>
  <c r="AG11" i="9"/>
  <c r="AG35" i="15"/>
  <c r="AF11" i="9"/>
  <c r="AF35" i="15"/>
  <c r="AE11" i="9"/>
  <c r="AE35" i="15"/>
  <c r="AD11" i="9"/>
  <c r="AD35" i="15"/>
  <c r="AC11" i="9"/>
  <c r="AC35" i="15"/>
  <c r="AB11" i="9"/>
  <c r="AB35" i="15"/>
  <c r="AA11" i="9"/>
  <c r="AA35" i="15"/>
  <c r="Z11" i="9"/>
  <c r="Z35" i="15"/>
  <c r="Y11" i="9"/>
  <c r="Y35" i="15"/>
  <c r="X58" i="15"/>
  <c r="AH86" i="15"/>
  <c r="X86" i="15"/>
  <c r="AH71" i="15"/>
  <c r="Y58" i="15"/>
  <c r="Z58" i="15"/>
  <c r="AA58" i="15"/>
  <c r="AB58" i="15"/>
  <c r="AC58" i="15"/>
  <c r="AD58" i="15"/>
  <c r="AE58" i="15"/>
  <c r="AF58" i="15"/>
  <c r="AG58" i="15"/>
  <c r="AG10" i="9"/>
  <c r="AG34" i="15"/>
  <c r="AF10" i="9"/>
  <c r="AF34" i="15"/>
  <c r="AE10" i="9"/>
  <c r="AE34" i="15"/>
  <c r="AD10" i="9"/>
  <c r="AD34" i="15"/>
  <c r="AC10" i="9"/>
  <c r="AC34" i="15"/>
  <c r="AB10" i="9"/>
  <c r="AB34" i="15"/>
  <c r="AA10" i="9"/>
  <c r="AA34" i="15"/>
  <c r="Z10" i="9"/>
  <c r="Z34" i="15"/>
  <c r="Y10" i="9"/>
  <c r="Y34"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X72"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X79"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D30" i="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Y24" i="15"/>
  <c r="Z24"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Y30" i="15"/>
  <c r="X210" i="15"/>
  <c r="X231" i="15"/>
  <c r="X232" i="15"/>
  <c r="K211" i="15"/>
  <c r="K127" i="15"/>
  <c r="K212" i="15"/>
  <c r="K233" i="15"/>
  <c r="I210" i="15"/>
  <c r="I231" i="15"/>
  <c r="I232" i="15"/>
  <c r="P211" i="15"/>
  <c r="P127" i="15"/>
  <c r="P212" i="15"/>
  <c r="P233" i="15"/>
  <c r="F24" i="5"/>
  <c r="I24" i="5"/>
  <c r="AH108" i="15"/>
  <c r="AH135" i="15"/>
  <c r="AH112" i="15"/>
  <c r="AH139" i="15"/>
  <c r="X108" i="15"/>
  <c r="X135" i="15"/>
  <c r="Y26" i="15"/>
  <c r="AH109" i="15"/>
  <c r="AH136" i="15"/>
  <c r="AH102" i="15"/>
  <c r="X105" i="15"/>
  <c r="X132" i="15"/>
  <c r="X112" i="15"/>
  <c r="X139" i="15"/>
  <c r="N102" i="15"/>
  <c r="N129" i="15"/>
  <c r="F37" i="5"/>
  <c r="C25" i="5"/>
  <c r="C40" i="5"/>
  <c r="P26" i="15"/>
  <c r="O31" i="15"/>
  <c r="O102" i="15"/>
  <c r="O129" i="15"/>
  <c r="X109" i="15"/>
  <c r="X136" i="15"/>
  <c r="AH105" i="15"/>
  <c r="AH132" i="15"/>
  <c r="Y18" i="15"/>
  <c r="Z18" i="15"/>
  <c r="AA18" i="15"/>
  <c r="AB18" i="15"/>
  <c r="AC18" i="15"/>
  <c r="AD18" i="15"/>
  <c r="AE18" i="15"/>
  <c r="AF18" i="15"/>
  <c r="AG18" i="15"/>
  <c r="C119" i="15"/>
  <c r="C180" i="15"/>
  <c r="P210" i="15"/>
  <c r="P231" i="15"/>
  <c r="P232" i="15"/>
  <c r="Z30" i="15"/>
  <c r="AA24"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Z26" i="15"/>
  <c r="Y31" i="15"/>
  <c r="N105" i="15"/>
  <c r="N132" i="15"/>
  <c r="N108" i="15"/>
  <c r="N135" i="15"/>
  <c r="AH104" i="15"/>
  <c r="AH44" i="15"/>
  <c r="Q26" i="15"/>
  <c r="P31" i="15"/>
  <c r="P102" i="15"/>
  <c r="P129" i="15"/>
  <c r="N109" i="15"/>
  <c r="N136" i="15"/>
  <c r="N107" i="15"/>
  <c r="N134" i="15"/>
  <c r="X102" i="15"/>
  <c r="X104" i="15"/>
  <c r="X44" i="15"/>
  <c r="X45" i="15"/>
  <c r="C241" i="15"/>
  <c r="C219" i="15"/>
  <c r="AA30" i="15"/>
  <c r="AB24" i="15"/>
  <c r="G26" i="15"/>
  <c r="AA26" i="15"/>
  <c r="Z31"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AB30" i="15"/>
  <c r="AC24" i="15"/>
  <c r="Y129" i="15"/>
  <c r="AH213" i="15"/>
  <c r="AH235" i="15"/>
  <c r="F102" i="15"/>
  <c r="F129" i="15"/>
  <c r="N131" i="15"/>
  <c r="N142" i="15"/>
  <c r="N215" i="15"/>
  <c r="N236" i="15"/>
  <c r="N115" i="15"/>
  <c r="N214" i="15"/>
  <c r="R31" i="15"/>
  <c r="R102" i="15"/>
  <c r="R129" i="15"/>
  <c r="S26" i="15"/>
  <c r="AA31" i="15"/>
  <c r="AB26" i="15"/>
  <c r="Z102" i="15"/>
  <c r="X214" i="15"/>
  <c r="X123" i="15"/>
  <c r="G31" i="15"/>
  <c r="AD24" i="15"/>
  <c r="AC30" i="15"/>
  <c r="X213" i="15"/>
  <c r="X235" i="15"/>
  <c r="AC26" i="15"/>
  <c r="AB31" i="15"/>
  <c r="G102" i="15"/>
  <c r="G129" i="15"/>
  <c r="Z129" i="15"/>
  <c r="AA102" i="15"/>
  <c r="T26" i="15"/>
  <c r="S31" i="15"/>
  <c r="S102" i="15"/>
  <c r="S129" i="15"/>
  <c r="N213" i="15"/>
  <c r="N235" i="15"/>
  <c r="AH223" i="15"/>
  <c r="AH234" i="15"/>
  <c r="H103" i="15"/>
  <c r="H130" i="15"/>
  <c r="AE24" i="15"/>
  <c r="AD30" i="15"/>
  <c r="I31" i="15"/>
  <c r="U26" i="15"/>
  <c r="T31" i="15"/>
  <c r="T102" i="15"/>
  <c r="T129" i="15"/>
  <c r="X223" i="15"/>
  <c r="X234" i="15"/>
  <c r="AA129" i="15"/>
  <c r="AB102" i="15"/>
  <c r="N234" i="15"/>
  <c r="N223" i="15"/>
  <c r="AD26" i="15"/>
  <c r="AC31" i="15"/>
  <c r="H102" i="15"/>
  <c r="H129" i="15"/>
  <c r="AH244" i="15"/>
  <c r="AE30" i="15"/>
  <c r="AF24" i="15"/>
  <c r="AC102" i="15"/>
  <c r="I102" i="15"/>
  <c r="I129" i="15"/>
  <c r="N244" i="15"/>
  <c r="AD31" i="15"/>
  <c r="AE26" i="15"/>
  <c r="X244" i="15"/>
  <c r="U31" i="15"/>
  <c r="U102" i="15"/>
  <c r="U129" i="15"/>
  <c r="V26" i="15"/>
  <c r="AB129" i="15"/>
  <c r="J31" i="15"/>
  <c r="AF30" i="15"/>
  <c r="AG24" i="15"/>
  <c r="AG30" i="15"/>
  <c r="J102" i="15"/>
  <c r="J129" i="15"/>
  <c r="K31" i="15"/>
  <c r="AF26" i="15"/>
  <c r="AE31" i="15"/>
  <c r="W26" i="15"/>
  <c r="W31" i="15"/>
  <c r="W102" i="15"/>
  <c r="W129" i="15"/>
  <c r="V31" i="15"/>
  <c r="V102" i="15"/>
  <c r="V129" i="15"/>
  <c r="AD102" i="15"/>
  <c r="AC129" i="15"/>
  <c r="AE102" i="15"/>
  <c r="AF31" i="15"/>
  <c r="AG26" i="15"/>
  <c r="AG31" i="15"/>
  <c r="AD129" i="15"/>
  <c r="M31" i="15"/>
  <c r="M102" i="15"/>
  <c r="M129" i="15"/>
  <c r="L31" i="15"/>
  <c r="K102" i="15"/>
  <c r="K129" i="15"/>
  <c r="AE129" i="15"/>
  <c r="L102" i="15"/>
  <c r="L129" i="15"/>
  <c r="AG102" i="15"/>
  <c r="AF102" i="15"/>
  <c r="AG129" i="15"/>
  <c r="AF129" i="15"/>
  <c r="C67" i="15"/>
  <c r="AB32" i="15"/>
  <c r="AB103" i="15"/>
  <c r="AA32" i="15"/>
  <c r="AA103" i="15"/>
  <c r="AA114" i="15"/>
  <c r="AA217" i="15"/>
  <c r="AC32" i="15"/>
  <c r="AE32" i="15"/>
  <c r="Z32" i="15"/>
  <c r="Y32" i="15"/>
  <c r="Y103" i="15"/>
  <c r="AD32" i="15"/>
  <c r="AF32" i="15"/>
  <c r="AG32"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93" i="15"/>
  <c r="AH59" i="15"/>
  <c r="AH61" i="15"/>
  <c r="AH65" i="15"/>
  <c r="AH50" i="15"/>
  <c r="AH66" i="15"/>
  <c r="AH58" i="15"/>
  <c r="AH85" i="15"/>
  <c r="AH57" i="15"/>
  <c r="Z141" i="15"/>
  <c r="Z218" i="15"/>
  <c r="Z239" i="15"/>
  <c r="X241" i="15"/>
  <c r="X84" i="15"/>
  <c r="X50" i="15"/>
  <c r="X56" i="15"/>
  <c r="X88" i="15"/>
  <c r="X65" i="15"/>
  <c r="X93"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43" i="15"/>
  <c r="Y112" i="15"/>
  <c r="Y139" i="15"/>
  <c r="Y105" i="15"/>
  <c r="Y132" i="15"/>
  <c r="Z110" i="15"/>
  <c r="Z137" i="15"/>
  <c r="Z108" i="15"/>
  <c r="Z135" i="15"/>
  <c r="Z112" i="15"/>
  <c r="Z139" i="15"/>
  <c r="Z107" i="15"/>
  <c r="Z134" i="15"/>
  <c r="Y47" i="15"/>
  <c r="Y51" i="15"/>
  <c r="Y45" i="15"/>
  <c r="Z105" i="15"/>
  <c r="Z132" i="15"/>
  <c r="Z44" i="15"/>
  <c r="Z43" i="15"/>
  <c r="Z104" i="15"/>
  <c r="AA109" i="15"/>
  <c r="AA136" i="15"/>
  <c r="Y115" i="15"/>
  <c r="Y214" i="15"/>
  <c r="Y131" i="15"/>
  <c r="Y113" i="15"/>
  <c r="AA110" i="15"/>
  <c r="AA137" i="15"/>
  <c r="AB109" i="15"/>
  <c r="AB136" i="15"/>
  <c r="Z47" i="15"/>
  <c r="Y142" i="15"/>
  <c r="Y215" i="15"/>
  <c r="Y236" i="15"/>
  <c r="Y140" i="15"/>
  <c r="Y25" i="15"/>
  <c r="Y116" i="15"/>
  <c r="Y48"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AA43" i="15"/>
  <c r="Y49" i="15"/>
  <c r="Y84" i="15"/>
  <c r="AA47" i="15"/>
  <c r="AC110" i="15"/>
  <c r="AC137" i="15"/>
  <c r="Y234" i="15"/>
  <c r="Y223" i="15"/>
  <c r="Y224" i="15"/>
  <c r="Z142" i="15"/>
  <c r="Z215" i="15"/>
  <c r="Z236" i="15"/>
  <c r="Z140" i="15"/>
  <c r="Y118" i="15"/>
  <c r="Y220" i="15"/>
  <c r="Y143" i="15"/>
  <c r="Y221" i="15"/>
  <c r="Y242" i="15"/>
  <c r="Z25" i="15"/>
  <c r="Z116" i="15"/>
  <c r="Z48" i="15"/>
  <c r="AB107" i="15"/>
  <c r="AB134" i="15"/>
  <c r="AC109" i="15"/>
  <c r="AC136" i="15"/>
  <c r="AA115" i="15"/>
  <c r="AA214" i="15"/>
  <c r="AA131" i="15"/>
  <c r="AA113" i="15"/>
  <c r="AA45" i="15"/>
  <c r="AA51" i="15"/>
  <c r="Z235" i="15"/>
  <c r="AB108" i="15"/>
  <c r="AB135" i="15"/>
  <c r="AB105" i="15"/>
  <c r="AB132" i="15"/>
  <c r="AB44" i="15"/>
  <c r="AB104" i="15"/>
  <c r="AB43" i="15"/>
  <c r="AB112" i="15"/>
  <c r="AB139" i="15"/>
  <c r="Y86" i="15"/>
  <c r="Y50" i="15"/>
  <c r="Y90" i="15"/>
  <c r="Y92" i="15"/>
  <c r="Y88" i="15"/>
  <c r="Y89" i="15"/>
  <c r="Y93" i="15"/>
  <c r="Y56" i="15"/>
  <c r="Y91" i="15"/>
  <c r="Y94" i="15"/>
  <c r="Y57" i="15"/>
  <c r="Y65" i="15"/>
  <c r="Y67" i="15"/>
  <c r="Y68" i="15"/>
  <c r="Y87" i="15"/>
  <c r="Y95"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43" i="15"/>
  <c r="AC108" i="15"/>
  <c r="AC135" i="15"/>
  <c r="Y245" i="15"/>
  <c r="Y244" i="15"/>
  <c r="Z213" i="15"/>
  <c r="AA235" i="15"/>
  <c r="AC112" i="15"/>
  <c r="AC139" i="15"/>
  <c r="Z143" i="15"/>
  <c r="AB47" i="15"/>
  <c r="Z117" i="15"/>
  <c r="Z144" i="15"/>
  <c r="Z49" i="15"/>
  <c r="Y219" i="15"/>
  <c r="Y241" i="15"/>
  <c r="Y119" i="15"/>
  <c r="Y180" i="15"/>
  <c r="Y183" i="15"/>
  <c r="Q17" i="5"/>
  <c r="AD110" i="15"/>
  <c r="AD137" i="15"/>
  <c r="AA25" i="15"/>
  <c r="AA116" i="15"/>
  <c r="AA48"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D43" i="15"/>
  <c r="AE109" i="15"/>
  <c r="AE136" i="15"/>
  <c r="Z220" i="15"/>
  <c r="AD107" i="15"/>
  <c r="AD134" i="15"/>
  <c r="AD108" i="15"/>
  <c r="AD135" i="15"/>
  <c r="AB235" i="15"/>
  <c r="AD105" i="15"/>
  <c r="AD132" i="15"/>
  <c r="AB116" i="15"/>
  <c r="AB25" i="15"/>
  <c r="AB48" i="15"/>
  <c r="AB117" i="15"/>
  <c r="AB144" i="15"/>
  <c r="AA213" i="15"/>
  <c r="Z223" i="15"/>
  <c r="Z234" i="15"/>
  <c r="Z224" i="15"/>
  <c r="AC47" i="15"/>
  <c r="AC45" i="15"/>
  <c r="AC51" i="15"/>
  <c r="AB142" i="15"/>
  <c r="AB215" i="15"/>
  <c r="AB236" i="15"/>
  <c r="AB140" i="15"/>
  <c r="AA220" i="15"/>
  <c r="AA143" i="15"/>
  <c r="AA221" i="15"/>
  <c r="AA242" i="15"/>
  <c r="Z50" i="15"/>
  <c r="Z93" i="15"/>
  <c r="Z56" i="15"/>
  <c r="Z84" i="15"/>
  <c r="Z65" i="15"/>
  <c r="Z67" i="15"/>
  <c r="Z68" i="15"/>
  <c r="Z88" i="15"/>
  <c r="Z85" i="15"/>
  <c r="Z57" i="15"/>
  <c r="Z92" i="15"/>
  <c r="Z91" i="15"/>
  <c r="Z87" i="15"/>
  <c r="Z90" i="15"/>
  <c r="Z86" i="15"/>
  <c r="Z94" i="15"/>
  <c r="Z89" i="15"/>
  <c r="Z145" i="15"/>
  <c r="AD112" i="15"/>
  <c r="AD139" i="15"/>
  <c r="AA118" i="15"/>
  <c r="AA49" i="15"/>
  <c r="AB118" i="15"/>
  <c r="AB180" i="15"/>
  <c r="AB183" i="15"/>
  <c r="AA234" i="15"/>
  <c r="AA224" i="15"/>
  <c r="AA223" i="15"/>
  <c r="AE44" i="15"/>
  <c r="AE104" i="15"/>
  <c r="AE43" i="15"/>
  <c r="AD47" i="15"/>
  <c r="AC142" i="15"/>
  <c r="AC215" i="15"/>
  <c r="AC236" i="15"/>
  <c r="AC140" i="15"/>
  <c r="AA65" i="15"/>
  <c r="AA67" i="15"/>
  <c r="AA68" i="15"/>
  <c r="AA56" i="15"/>
  <c r="AA88" i="15"/>
  <c r="AA93" i="15"/>
  <c r="AA50" i="15"/>
  <c r="AA84" i="15"/>
  <c r="AA57" i="15"/>
  <c r="AA85" i="15"/>
  <c r="AA92" i="15"/>
  <c r="AA91" i="15"/>
  <c r="AA87" i="15"/>
  <c r="AA94" i="15"/>
  <c r="AA90" i="15"/>
  <c r="AA86" i="15"/>
  <c r="AA89" i="15"/>
  <c r="Z95" i="15"/>
  <c r="Z96" i="15"/>
  <c r="AA241" i="15"/>
  <c r="AA219" i="15"/>
  <c r="AA240" i="15"/>
  <c r="AA180" i="15"/>
  <c r="AA183" i="15"/>
  <c r="AA119" i="15"/>
  <c r="AA145" i="15"/>
  <c r="AB49"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C48" i="15"/>
  <c r="AF110" i="15"/>
  <c r="AF137" i="15"/>
  <c r="AC235" i="15"/>
  <c r="AE107" i="15"/>
  <c r="AE134" i="15"/>
  <c r="Z179" i="15"/>
  <c r="Z182" i="15"/>
  <c r="AB119" i="15"/>
  <c r="AC213" i="15"/>
  <c r="AC234" i="15"/>
  <c r="AA95" i="15"/>
  <c r="AA96" i="15"/>
  <c r="AA222" i="15"/>
  <c r="AA243" i="15"/>
  <c r="AB241" i="15"/>
  <c r="AB219" i="15"/>
  <c r="AB240" i="15"/>
  <c r="AG107" i="15"/>
  <c r="AG134" i="15"/>
  <c r="AA181" i="15"/>
  <c r="AA184" i="15"/>
  <c r="AA146" i="15"/>
  <c r="AF107" i="15"/>
  <c r="AF134" i="15"/>
  <c r="AD235" i="15"/>
  <c r="AD116" i="15"/>
  <c r="AD25" i="15"/>
  <c r="AD48" i="15"/>
  <c r="AD117" i="15"/>
  <c r="AD144" i="15"/>
  <c r="AE115" i="15"/>
  <c r="AE214" i="15"/>
  <c r="AE131" i="15"/>
  <c r="AE113" i="15"/>
  <c r="AC117" i="15"/>
  <c r="AC220" i="15"/>
  <c r="AC49" i="15"/>
  <c r="AD142" i="15"/>
  <c r="AD215" i="15"/>
  <c r="AD236" i="15"/>
  <c r="AD140" i="15"/>
  <c r="Z240" i="15"/>
  <c r="Z222" i="15"/>
  <c r="Z243" i="15"/>
  <c r="AB223" i="15"/>
  <c r="AB224" i="15"/>
  <c r="AB234" i="15"/>
  <c r="AB93" i="15"/>
  <c r="AB65" i="15"/>
  <c r="AB67" i="15"/>
  <c r="AB68" i="15"/>
  <c r="AB84" i="15"/>
  <c r="AB88" i="15"/>
  <c r="AB56" i="15"/>
  <c r="AB50" i="15"/>
  <c r="AB57" i="15"/>
  <c r="AB85" i="15"/>
  <c r="AB92" i="15"/>
  <c r="AB91" i="15"/>
  <c r="AB90" i="15"/>
  <c r="AB86" i="15"/>
  <c r="AB94" i="15"/>
  <c r="AB87" i="15"/>
  <c r="AB89" i="15"/>
  <c r="AA179" i="15"/>
  <c r="AA182" i="15"/>
  <c r="AF112" i="15"/>
  <c r="AF139" i="15"/>
  <c r="AG108" i="15"/>
  <c r="AG135" i="15"/>
  <c r="AF105" i="15"/>
  <c r="AF132" i="15"/>
  <c r="AE47" i="15"/>
  <c r="AC143" i="15"/>
  <c r="AB145" i="15"/>
  <c r="AF44" i="15"/>
  <c r="AF104" i="15"/>
  <c r="AF43" i="15"/>
  <c r="AG112" i="15"/>
  <c r="AG139" i="15"/>
  <c r="AF108" i="15"/>
  <c r="AF135" i="15"/>
  <c r="AG105" i="15"/>
  <c r="AG132" i="15"/>
  <c r="AE45" i="15"/>
  <c r="AE51" i="15"/>
  <c r="AA244" i="15"/>
  <c r="AA245" i="15"/>
  <c r="AC223" i="15"/>
  <c r="AC224" i="15"/>
  <c r="AC241" i="15"/>
  <c r="AF115" i="15"/>
  <c r="AF214" i="15"/>
  <c r="AF131" i="15"/>
  <c r="AF113" i="15"/>
  <c r="AG44" i="15"/>
  <c r="AG104" i="15"/>
  <c r="AG43" i="15"/>
  <c r="AD220" i="15"/>
  <c r="AD143" i="15"/>
  <c r="AD221" i="15"/>
  <c r="AD242" i="15"/>
  <c r="AD118" i="15"/>
  <c r="AF51" i="15"/>
  <c r="AF45" i="15"/>
  <c r="AC244" i="15"/>
  <c r="AC245" i="15"/>
  <c r="AB95" i="15"/>
  <c r="AB96" i="15"/>
  <c r="AB244" i="15"/>
  <c r="AB245" i="15"/>
  <c r="AF47" i="15"/>
  <c r="AB181" i="15"/>
  <c r="AB184" i="15"/>
  <c r="AB146" i="15"/>
  <c r="AB179" i="15"/>
  <c r="AB182" i="15"/>
  <c r="AE25" i="15"/>
  <c r="AE116" i="15"/>
  <c r="AE48" i="15"/>
  <c r="AD49" i="15"/>
  <c r="AB222" i="15"/>
  <c r="AB243" i="15"/>
  <c r="AC50" i="15"/>
  <c r="AC65" i="15"/>
  <c r="AC67" i="15"/>
  <c r="AC68" i="15"/>
  <c r="AC84" i="15"/>
  <c r="AC88" i="15"/>
  <c r="AC56" i="15"/>
  <c r="AC93" i="15"/>
  <c r="AC57" i="15"/>
  <c r="AC85" i="15"/>
  <c r="AC92" i="15"/>
  <c r="AC91" i="15"/>
  <c r="AC87" i="15"/>
  <c r="AC90" i="15"/>
  <c r="AC86" i="15"/>
  <c r="AC94" i="15"/>
  <c r="AC89" i="15"/>
  <c r="AE235" i="15"/>
  <c r="AD213" i="15"/>
  <c r="AC144" i="15"/>
  <c r="AC145" i="15"/>
  <c r="AC118" i="15"/>
  <c r="AE142" i="15"/>
  <c r="AE215" i="15"/>
  <c r="AE236" i="15"/>
  <c r="AE140" i="15"/>
  <c r="AC221" i="15"/>
  <c r="AC242" i="15"/>
  <c r="AC95" i="15"/>
  <c r="AC96" i="15"/>
  <c r="AE143" i="15"/>
  <c r="AG47" i="15"/>
  <c r="AD219" i="15"/>
  <c r="AD240" i="15"/>
  <c r="AD241" i="15"/>
  <c r="AD145" i="15"/>
  <c r="AC119" i="15"/>
  <c r="AC179" i="15"/>
  <c r="AC182" i="15"/>
  <c r="AC180" i="15"/>
  <c r="AC183" i="15"/>
  <c r="AD224" i="15"/>
  <c r="AD234" i="15"/>
  <c r="AD222" i="15"/>
  <c r="AD243" i="15"/>
  <c r="AD223" i="15"/>
  <c r="AE213" i="15"/>
  <c r="AD93" i="15"/>
  <c r="AD56" i="15"/>
  <c r="AD65" i="15"/>
  <c r="AD67" i="15"/>
  <c r="AD68" i="15"/>
  <c r="AD84" i="15"/>
  <c r="AD50" i="15"/>
  <c r="AD88" i="15"/>
  <c r="AD85" i="15"/>
  <c r="AD57" i="15"/>
  <c r="AD91" i="15"/>
  <c r="AD92" i="15"/>
  <c r="AD86" i="15"/>
  <c r="AD94" i="15"/>
  <c r="AD89" i="15"/>
  <c r="AD90" i="15"/>
  <c r="AD87" i="15"/>
  <c r="AF25" i="15"/>
  <c r="AF116" i="15"/>
  <c r="AF48"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E49" i="15"/>
  <c r="AF235" i="15"/>
  <c r="AC219" i="15"/>
  <c r="AC222" i="15"/>
  <c r="AC243" i="15"/>
  <c r="AF213" i="15"/>
  <c r="AF234" i="15"/>
  <c r="AE181" i="15"/>
  <c r="AE184" i="15"/>
  <c r="AE146" i="15"/>
  <c r="AD95" i="15"/>
  <c r="AD96" i="15"/>
  <c r="AE220" i="15"/>
  <c r="AG142" i="15"/>
  <c r="AG215" i="15"/>
  <c r="AG236" i="15"/>
  <c r="AG140" i="15"/>
  <c r="AE118" i="15"/>
  <c r="AG235" i="15"/>
  <c r="AF117" i="15"/>
  <c r="AF220" i="15"/>
  <c r="AF49" i="15"/>
  <c r="AD244" i="15"/>
  <c r="AD245" i="15"/>
  <c r="AD181" i="15"/>
  <c r="AD184" i="15"/>
  <c r="AD146" i="15"/>
  <c r="AG25" i="15"/>
  <c r="AG116" i="15"/>
  <c r="AG48" i="15"/>
  <c r="AG117" i="15"/>
  <c r="AG144" i="15"/>
  <c r="AE88" i="15"/>
  <c r="AE50" i="15"/>
  <c r="AE93" i="15"/>
  <c r="AE84" i="15"/>
  <c r="AE65" i="15"/>
  <c r="AE67" i="15"/>
  <c r="AE68" i="15"/>
  <c r="AE56" i="15"/>
  <c r="AE57" i="15"/>
  <c r="AE85" i="15"/>
  <c r="AE91" i="15"/>
  <c r="AE92" i="15"/>
  <c r="AE90" i="15"/>
  <c r="AE89" i="15"/>
  <c r="AE87" i="15"/>
  <c r="AE94" i="15"/>
  <c r="AE86" i="15"/>
  <c r="AF143" i="15"/>
  <c r="AE224" i="15"/>
  <c r="AE234" i="15"/>
  <c r="AE223" i="15"/>
  <c r="AE221" i="15"/>
  <c r="AE242" i="15"/>
  <c r="AF223" i="15"/>
  <c r="AC240" i="15"/>
  <c r="AF224" i="15"/>
  <c r="AG49"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G93" i="15"/>
  <c r="AG89" i="15"/>
  <c r="AF93" i="15"/>
  <c r="AF56" i="15"/>
  <c r="AF50" i="15"/>
  <c r="AF84" i="15"/>
  <c r="AF88" i="15"/>
  <c r="AF65" i="15"/>
  <c r="AF67" i="15"/>
  <c r="AF68" i="15"/>
  <c r="AF57" i="15"/>
  <c r="AF85" i="15"/>
  <c r="AF91" i="15"/>
  <c r="AF92" i="15"/>
  <c r="AF89" i="15"/>
  <c r="AF86" i="15"/>
  <c r="AF90" i="15"/>
  <c r="AF94" i="15"/>
  <c r="AF87" i="15"/>
  <c r="AF241" i="15"/>
  <c r="AE95" i="15"/>
  <c r="AE96" i="15"/>
  <c r="AG92" i="15"/>
  <c r="AG85" i="15"/>
  <c r="AG87" i="15"/>
  <c r="AG88" i="15"/>
  <c r="AG94" i="15"/>
  <c r="AG65" i="15"/>
  <c r="AG67" i="15"/>
  <c r="AG68" i="15"/>
  <c r="AG86" i="15"/>
  <c r="AG91" i="15"/>
  <c r="AG56" i="15"/>
  <c r="AG90"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5" i="15"/>
  <c r="AF96" i="15"/>
  <c r="AE240" i="15"/>
  <c r="AE222" i="15"/>
  <c r="AE243" i="15"/>
  <c r="AG95"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93"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93"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<sst xmlns="http://schemas.openxmlformats.org/spreadsheetml/2006/main" count="1290" uniqueCount="741">
  <si>
    <t xml:space="preserve"> </t>
  </si>
  <si>
    <t>TIME FRAME</t>
  </si>
  <si>
    <t>JOBS</t>
  </si>
  <si>
    <t>GENERATION ASSUMPTIONS</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</si>
  <si>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</si>
  <si>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</si>
  <si>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</si>
  <si>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</si>
  <si>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</si>
  <si>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</si>
  <si>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</si>
  <si>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</si>
  <si>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</si>
  <si>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</si>
  <si>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</si>
  <si>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</si>
  <si>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</si>
  <si>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</si>
  <si>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</si>
  <si>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</si>
  <si>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</si>
  <si>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</si>
  <si>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</si>
  <si>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</si>
  <si>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</si>
  <si>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</si>
  <si>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</si>
  <si>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</si>
  <si>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</si>
  <si>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</si>
  <si>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</si>
  <si>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</si>
  <si>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</si>
  <si>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</si>
  <si>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</si>
  <si>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</si>
  <si>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</si>
  <si>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</si>
  <si>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</si>
  <si>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</si>
  <si>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</si>
  <si>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</si>
  <si>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</si>
  <si>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</si>
  <si>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</si>
  <si>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</si>
  <si>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</si>
  <si>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Total, All Sectors</t>
  </si>
  <si>
    <t xml:space="preserve">  Net Summer Capacity</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</si>
  <si>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</si>
  <si>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</si>
  <si>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</si>
  <si>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</si>
  <si>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</si>
  <si>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</si>
  <si>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</si>
  <si>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</si>
  <si>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</si>
  <si>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</si>
  <si>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</si>
  <si>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</si>
  <si>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</si>
  <si>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</si>
  <si>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</si>
  <si>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</si>
  <si>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</si>
  <si>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</si>
  <si>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</si>
  <si>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</si>
  <si>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</si>
  <si>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</si>
  <si>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</si>
  <si>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</si>
  <si>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</si>
  <si>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</si>
  <si>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</si>
  <si>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</si>
  <si>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</si>
  <si>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Net Available to the Grid</t>
  </si>
  <si>
    <t xml:space="preserve">    Other Gaseous Fuels 8/</t>
  </si>
  <si>
    <t xml:space="preserve">    Less Direct Use</t>
  </si>
  <si>
    <t xml:space="preserve">      Total Sales to the Grid</t>
  </si>
  <si>
    <t>Total Electricity Generation by Fuel</t>
  </si>
  <si>
    <t xml:space="preserve">    Other 10/</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</si>
  <si>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</si>
  <si>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</si>
  <si>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</si>
  <si>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</si>
  <si>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</si>
  <si>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</si>
  <si>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</si>
  <si>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</si>
  <si>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</si>
  <si>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</si>
  <si>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</si>
  <si>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</si>
  <si>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</si>
  <si>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</si>
  <si>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</si>
  <si>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</si>
  <si>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</si>
  <si>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</si>
  <si>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</si>
  <si>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</si>
  <si>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</si>
  <si>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</si>
  <si>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</si>
  <si>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</si>
  <si>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</si>
  <si>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[Nemet, Federal RPS RE Sources not incl Hydro, GWh]</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</si>
  <si>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</si>
  <si>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</si>
  <si>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</si>
  <si>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</si>
  <si>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</si>
  <si>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</si>
  <si>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</si>
  <si>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</si>
  <si>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</si>
  <si>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</si>
  <si>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</si>
  <si>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</si>
  <si>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</si>
  <si>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</si>
  <si>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</si>
  <si>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</si>
  <si>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</si>
  <si>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</si>
  <si>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</si>
  <si>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</si>
  <si>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</si>
  <si>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</si>
  <si>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</si>
  <si>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</si>
  <si>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</si>
  <si>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</si>
  <si>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</si>
  <si>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</si>
  <si>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</si>
  <si>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</si>
  <si>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</si>
  <si>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</si>
  <si>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</si>
  <si>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</si>
  <si>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</si>
  <si>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</si>
  <si>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</si>
  <si>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</si>
  <si>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</si>
  <si>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</si>
  <si>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</si>
  <si>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</si>
  <si>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</si>
  <si>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</si>
  <si>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</si>
  <si>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</si>
  <si>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</si>
  <si>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</si>
  <si>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</si>
  <si>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</si>
  <si>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</si>
  <si>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</si>
  <si>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</si>
  <si>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</si>
  <si>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</si>
  <si>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</si>
  <si>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</si>
  <si>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</si>
  <si>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</si>
  <si>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</si>
  <si>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</si>
  <si>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</si>
  <si>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</si>
  <si>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</si>
  <si>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</si>
  <si>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</si>
  <si>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</si>
  <si>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</si>
  <si>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</si>
  <si>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</si>
  <si>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</si>
  <si>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</si>
  <si>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</si>
  <si>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</si>
  <si>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</si>
  <si>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</si>
  <si>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</si>
  <si>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</si>
  <si>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</si>
  <si>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</si>
  <si>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</si>
  <si>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</si>
  <si>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</si>
  <si>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</si>
  <si>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</si>
  <si>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</si>
  <si>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</si>
  <si>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</si>
  <si>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</si>
  <si>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</si>
  <si>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</si>
  <si>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</si>
  <si>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</si>
  <si>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</si>
  <si>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</si>
  <si>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</si>
  <si>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</si>
  <si>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</si>
  <si>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</si>
  <si>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</si>
  <si>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</si>
  <si>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</si>
  <si>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</si>
  <si>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</si>
  <si>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</si>
  <si>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</si>
  <si>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</si>
  <si>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</si>
  <si>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</si>
  <si>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</si>
  <si>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</si>
  <si>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</si>
  <si>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</si>
  <si>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</si>
  <si>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</si>
  <si>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</si>
  <si>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</si>
  <si>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</si>
  <si>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</si>
  <si>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</si>
  <si>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</si>
  <si>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</si>
  <si>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</si>
  <si>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</si>
  <si>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</si>
  <si>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</si>
  <si>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</si>
  <si>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</si>
  <si>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</si>
  <si>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</si>
  <si>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</si>
  <si>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</si>
  <si>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</si>
  <si>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</si>
  <si>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</si>
  <si>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</si>
  <si>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</si>
  <si>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</si>
  <si>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</si>
  <si>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</si>
  <si>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</si>
  <si>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</si>
  <si>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</si>
  <si>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</si>
  <si>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</si>
  <si>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</si>
  <si>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</si>
  <si>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</si>
  <si>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</si>
  <si>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</si>
  <si>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</si>
  <si>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</si>
  <si>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</si>
  <si>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</si>
  <si>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</si>
  <si>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</si>
  <si>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</si>
  <si>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</si>
  <si>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</si>
  <si>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</si>
  <si>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</si>
  <si>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</si>
  <si>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</si>
  <si>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</si>
  <si>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</si>
  <si>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</si>
  <si>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</si>
  <si>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</si>
  <si>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</si>
  <si>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</si>
  <si>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</si>
  <si>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</si>
  <si>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</si>
  <si>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</si>
  <si>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</si>
  <si>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</si>
  <si>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</si>
  <si>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</si>
  <si>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</si>
  <si>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</si>
  <si>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</si>
  <si>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</si>
  <si>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</si>
  <si>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</si>
  <si>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</si>
  <si>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</si>
  <si>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</si>
  <si>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</si>
  <si>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</si>
  <si>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</si>
  <si>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</si>
  <si>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</si>
  <si>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</si>
  <si>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</si>
  <si>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</si>
  <si>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</si>
  <si>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</si>
  <si>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</si>
  <si>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</si>
  <si>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</si>
  <si>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</si>
  <si>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</si>
  <si>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</si>
  <si>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</si>
  <si>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</si>
  <si>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</si>
  <si>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</si>
  <si>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</si>
  <si>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</si>
  <si>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</si>
  <si>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</si>
  <si>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</si>
  <si>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</si>
  <si>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</si>
  <si>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</si>
  <si>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</si>
  <si>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</si>
  <si>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</si>
  <si>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</si>
  <si>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</si>
  <si>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</si>
  <si>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</si>
  <si>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</si>
  <si>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</si>
  <si>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</si>
  <si>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</si>
  <si>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</si>
  <si>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</si>
  <si>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</si>
  <si>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</si>
  <si>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</si>
  <si>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</si>
  <si>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</si>
  <si>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</si>
  <si>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</si>
  <si>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</si>
  <si>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</si>
  <si>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</si>
  <si>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</si>
  <si>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</si>
  <si>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</si>
  <si>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</si>
  <si>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</si>
  <si>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</si>
  <si>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</si>
  <si>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</si>
  <si>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</si>
  <si>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</si>
  <si>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</si>
  <si>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</si>
  <si>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</si>
  <si>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</si>
  <si>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</si>
  <si>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</si>
  <si>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</si>
  <si>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</si>
  <si>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</si>
  <si>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</si>
  <si>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</si>
  <si>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</si>
  <si>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</si>
  <si>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</si>
  <si>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</si>
  <si>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</si>
  <si>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</si>
  <si>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</si>
  <si>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</si>
  <si>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</si>
  <si>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</si>
  <si>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</si>
  <si>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</si>
  <si>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</si>
  <si>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</si>
  <si>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</si>
  <si>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</si>
  <si>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</si>
  <si>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</si>
  <si>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</si>
  <si>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</si>
  <si>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</si>
  <si>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</si>
  <si>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</si>
  <si>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</si>
  <si>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</si>
  <si>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</si>
  <si>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</si>
  <si>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</si>
  <si>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</si>
  <si>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</si>
  <si>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</si>
  <si>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</si>
  <si>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</si>
  <si>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</si>
  <si>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</si>
  <si>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</si>
  <si>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</si>
  <si>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</si>
  <si>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</si>
  <si>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</si>
  <si>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</si>
  <si>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</si>
  <si>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</si>
  <si>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</si>
  <si>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</si>
  <si>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</si>
  <si>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</si>
  <si>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</si>
  <si>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</si>
  <si>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</si>
  <si>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</si>
  <si>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</si>
  <si>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</si>
  <si>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</si>
  <si>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</si>
  <si>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</si>
  <si>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</si>
  <si>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</si>
  <si>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</si>
  <si>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</si>
  <si>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</si>
  <si>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</si>
  <si>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</si>
  <si>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</si>
  <si>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</si>
  <si>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</si>
  <si>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</si>
  <si>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</si>
  <si>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</si>
  <si>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</si>
  <si>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</si>
  <si>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</si>
  <si>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</si>
  <si>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</si>
  <si>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</si>
  <si>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</si>
  <si>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</si>
  <si>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</si>
  <si>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</si>
  <si>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</si>
  <si>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</si>
  <si>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</si>
  <si>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</si>
  <si>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</si>
  <si>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</si>
  <si>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</si>
  <si>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</si>
  <si>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</si>
  <si>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</si>
  <si>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</si>
  <si>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</si>
  <si>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</si>
  <si>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</si>
  <si>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</si>
  <si>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</si>
  <si>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</si>
  <si>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</si>
  <si>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</si>
  <si>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</si>
  <si>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</si>
  <si>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</si>
  <si>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</si>
  <si>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</si>
  <si>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</si>
  <si>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</si>
  <si>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</si>
  <si>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</si>
  <si>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</si>
  <si>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</si>
  <si>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</si>
  <si>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</si>
  <si>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</si>
  <si>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</si>
  <si>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</si>
  <si>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</si>
  <si>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</si>
  <si>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</si>
  <si>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</si>
  <si>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</si>
  <si>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</si>
  <si>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</si>
  <si>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</si>
  <si>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</si>
  <si>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</si>
  <si>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</si>
  <si>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</si>
  <si>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</si>
  <si>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</si>
  <si>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</si>
  <si>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</si>
  <si>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</si>
  <si>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</si>
  <si>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</si>
  <si>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</si>
  <si>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</si>
  <si>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</si>
  <si>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</si>
  <si>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</si>
  <si>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</si>
  <si>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</si>
  <si>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</si>
  <si>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</si>
  <si>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</si>
  <si>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</si>
  <si>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</si>
  <si>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</si>
  <si>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</si>
  <si>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</si>
  <si>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</si>
  <si>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</si>
  <si>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</si>
  <si>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</si>
  <si>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</si>
  <si>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</si>
  <si>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</si>
  <si>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</si>
  <si>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</si>
  <si>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</si>
  <si>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</si>
  <si>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</si>
  <si>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</si>
  <si>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</si>
  <si>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</si>
  <si>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</si>
  <si>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</si>
  <si>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</si>
  <si>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</si>
  <si>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</si>
  <si>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</si>
  <si>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</si>
  <si>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</si>
  <si>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</si>
  <si>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</si>
  <si>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</si>
  <si>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</si>
  <si>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</si>
  <si>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</si>
  <si>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</si>
  <si>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</si>
  <si>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</si>
  <si>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</si>
  <si>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</si>
  <si>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</si>
  <si>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</si>
  <si>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</si>
  <si>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</si>
  <si>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</si>
  <si>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</si>
  <si>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</si>
  <si>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</si>
  <si>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</si>
  <si>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</si>
  <si>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</si>
  <si>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</si>
  <si>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</si>
  <si>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</si>
  <si>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</si>
  <si>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</si>
  <si>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</si>
  <si>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</si>
  <si>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</si>
  <si>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</si>
  <si>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</si>
  <si>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</si>
  <si>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</si>
  <si>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</si>
  <si>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</si>
  <si>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</si>
  <si>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</si>
  <si>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</si>
  <si>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</si>
  <si>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</si>
  <si>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</si>
  <si>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</si>
  <si>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</si>
  <si>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</si>
  <si>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</si>
  <si>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</si>
  <si>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</si>
  <si>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</si>
  <si>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</si>
  <si>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</si>
  <si>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</si>
  <si>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</si>
  <si>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</si>
  <si>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</si>
  <si>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</si>
  <si>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</si>
  <si>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</si>
  <si>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</si>
  <si>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</si>
  <si>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</si>
  <si>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</si>
  <si>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</si>
  <si>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</si>
  <si>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</si>
  <si>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</si>
  <si>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</si>
  <si>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</si>
  <si>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</si>
  <si>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</si>
  <si>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</si>
  <si>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</si>
  <si>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</si>
  <si>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</si>
  <si>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</si>
  <si>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</si>
  <si>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</si>
  <si>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</si>
  <si>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</si>
  <si>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</si>
  <si>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</si>
  <si>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</si>
  <si>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</si>
  <si>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</si>
  <si>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9/</t>
  </si>
  <si>
    <t>End-Use Sector 7/</t>
  </si>
  <si>
    <t xml:space="preserve">    Renewable Sources 5,9/</t>
  </si>
  <si>
    <t xml:space="preserve">    Other 11/</t>
  </si>
  <si>
    <t xml:space="preserve">  Mercury (short tons)</t>
  </si>
  <si>
    <t xml:space="preserve">  Sulfur Dioxide (million short tons)</t>
  </si>
  <si>
    <t>2012 approximately 7 billion kilowatthours of electricity were generated from a municipal waste stream containing</t>
  </si>
  <si>
    <t>   5/ Includes conventional hydroelectric, geothermal, wood, wood waste, biogenic municipal waste, landfill gas,</t>
  </si>
  <si>
    <t>   6/ Includes combined heat and power plants whose primary business is to sell electricity and heat to the public</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</si>
  <si>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</si>
  <si>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</si>
  <si>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   9/ Includes conventional hydroelectric, geothermal, wood, wood waste, all municipal waste, landfill gas,</t>
  </si>
  <si>
    <t>   11/ Includes pumped storage, non-biogenic municipal waste, refinery gas, still gas, batteries,</t>
  </si>
  <si>
    <t>   Sources:  2011 and 2012 electric power sector generation; sales to the grid;</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</si>
  <si>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</si>
  <si>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</si>
  <si>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</si>
  <si>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</si>
  <si>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</si>
  <si>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</si>
  <si>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</si>
  <si>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</si>
  <si>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xml:space="preserve">    Wood and Other Biomass 4/</t>
  </si>
  <si>
    <t xml:space="preserve">    Solar 5/</t>
  </si>
  <si>
    <t>potential occurs on known hydrothermal sites, however this potential requires the addition of external fluids for electricity</t>
  </si>
  <si>
    <t>2012, plus an additional 573 megawatts in communications, transportation, and assorted other non-grid-connected,</t>
  </si>
  <si>
    <t>shipments include a substantial number of units that are exported, and each year some of the PV units installed earlier will be</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</si>
  <si>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</si>
  <si>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</si>
  <si>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</si>
  <si>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</si>
  <si>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</si>
  <si>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</si>
  <si>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</si>
  <si>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</si>
  <si>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</si>
  <si>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</si>
  <si>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</si>
  <si>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</si>
  <si>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</si>
  <si>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</si>
  <si>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</si>
  <si>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</si>
  <si>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</si>
  <si>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</si>
  <si>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</si>
  <si>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</si>
  <si>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</si>
  <si>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</si>
  <si>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</si>
  <si>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</si>
  <si>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</si>
  <si>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</si>
  <si>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</si>
  <si>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</si>
  <si>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</si>
  <si>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PSC Staff Summary of the Information Gained from Public Service Commission Workshops on a Renewable Portfolio Standard</t>
  </si>
  <si>
    <t>Study evaluates the objective of RPS for Florida as 15% in 2020</t>
  </si>
  <si>
    <t>None</t>
  </si>
  <si>
    <t>http://www.psc.state.fl.us/utilities/electricgas/RenewableEnergy/2008_03RPSSummaryFinal.pdf</t>
  </si>
  <si>
    <t xml:space="preserve">    U,S, Data</t>
  </si>
  <si>
    <t xml:space="preserve"> Table   8,  Electricity Supply, Disposition, Prices, and Emissions</t>
  </si>
  <si>
    <t>[scroll down to Total Electr, Gen by Fuel]</t>
  </si>
  <si>
    <t xml:space="preserve">    [assumes 0,5% growth rate after 2020]</t>
  </si>
  <si>
    <t>[Pct, RE Sources including Hydro]</t>
  </si>
  <si>
    <t>[Pct, RE Sources not including Hydro]</t>
  </si>
  <si>
    <t>[Nemet, Pct, RE Sources not including Hydro]</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</si>
  <si>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</si>
  <si>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</si>
  <si>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</si>
  <si>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</si>
  <si>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petroleum-derived plastics and other non-renewable sources,  See U,S, Energy Information Administration, Methodology</t>
  </si>
  <si>
    <t>for Allocating Municipal Solid Waste to Biogenic and Non-Biogenic Energy (Washington, DC, May 2007),</t>
  </si>
  <si>
    <t>other biomass, solar, and wind power,</t>
  </si>
  <si>
    <t>(i,e,, those that report North American Industry Classification System code 22 or that have a regulatory status),</t>
  </si>
  <si>
    <t>but which may also sell some power to the grid,</t>
  </si>
  <si>
    <t>   8/ Includes refinery gas and still gas,</t>
  </si>
  <si>
    <t>   10/ Includes batteries, chemicals, hydrogen, pitch, purchased steam, sulfur, and miscellaneous technologies,</t>
  </si>
  <si>
    <t>chemicals, hydrogen, pitch, purchased steam, sulfur, and miscellaneous technologies,</t>
  </si>
  <si>
    <t>   - - = Not applicable,</t>
  </si>
  <si>
    <t>   Note:  Totals may not equal sum of components due to independent rounding,  Data for 2011 and 2012</t>
  </si>
  <si>
    <t>are model results and may differ from official EIA data reports,</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</si>
  <si>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</si>
  <si>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</si>
  <si>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</si>
  <si>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</si>
  <si>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</si>
  <si>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U,S, Data Projections</t>
  </si>
  <si>
    <t xml:space="preserve"> Table  16,  Renewable Energy Generating Capacity and Generation</t>
  </si>
  <si>
    <t xml:space="preserve">   [municip, Solid waste]</t>
  </si>
  <si>
    <t>   2/ Includes both hydrothermal resources (hot water and steam) and near-field enhanced geothermal systems (EGS),  Near-field EGS</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</si>
  <si>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</si>
  <si>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</si>
  <si>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</si>
  <si>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</si>
  <si>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</si>
  <si>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</si>
  <si>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</si>
  <si>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</si>
  <si>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</si>
  <si>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</si>
  <si>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</si>
  <si>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</si>
  <si>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</si>
  <si>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</si>
  <si>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</si>
  <si>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</si>
  <si>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</si>
  <si>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</si>
  <si>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</si>
  <si>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</si>
  <si>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</si>
  <si>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</si>
  <si>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Monthly Energy Review, DOE/EIA-0035(2013/09) (Washington, DC, September 2013),</t>
  </si>
  <si>
    <t>Projections:  EIA, AEO2014 National Energy Modeling System,</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</si>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</sst>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48"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sz val="8"/>
      <color theme="1"/>
      <name val="TimesNewRoman,Bold"/>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12">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cellStyleXfs>
  <cellXfs count="561">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67" fontId="21" fillId="2" borderId="1" xfId="10" applyNumberFormat="1" applyFont="1" applyFill="1" applyBorder="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2" fillId="7" borderId="0" xfId="0" applyFont="1" applyFill="1"/>
    <xf numFmtId="0" fontId="22" fillId="7" borderId="0" xfId="0" applyFont="1" applyFill="1" applyAlignment="1">
      <alignment horizontal="center"/>
    </xf>
    <xf numFmtId="165" fontId="22" fillId="7" borderId="0" xfId="0" applyNumberFormat="1" applyFont="1" applyFill="1" applyAlignment="1">
      <alignment horizontal="center"/>
    </xf>
    <xf numFmtId="165" fontId="22" fillId="7" borderId="0" xfId="0" applyNumberFormat="1" applyFont="1" applyFill="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65" fontId="22" fillId="7" borderId="5" xfId="0" applyNumberFormat="1" applyFont="1" applyFill="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3" fontId="43" fillId="2" borderId="52" xfId="0" applyNumberFormat="1" applyFont="1" applyFill="1" applyBorder="1" applyAlignment="1">
      <alignment horizontal="right" vertical="center"/>
    </xf>
    <xf numFmtId="3" fontId="43" fillId="2" borderId="54" xfId="0" applyNumberFormat="1" applyFont="1" applyFill="1" applyBorder="1" applyAlignment="1">
      <alignment horizontal="right" vertical="center"/>
    </xf>
    <xf numFmtId="3" fontId="43" fillId="2" borderId="55" xfId="0" applyNumberFormat="1" applyFont="1" applyFill="1" applyBorder="1" applyAlignment="1">
      <alignment horizontal="right" vertical="center"/>
    </xf>
    <xf numFmtId="3" fontId="44" fillId="2" borderId="0" xfId="0" applyNumberFormat="1" applyFont="1" applyFill="1" applyAlignment="1">
      <alignment horizontal="right" vertical="center"/>
    </xf>
    <xf numFmtId="168" fontId="2" fillId="2" borderId="0" xfId="4" applyNumberFormat="1" applyFont="1" applyFill="1" applyProtection="1"/>
    <xf numFmtId="10" fontId="28" fillId="2" borderId="53" xfId="0" applyNumberFormat="1"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166" fontId="2" fillId="2" borderId="0" xfId="4" applyNumberFormat="1" applyFont="1" applyFill="1" applyProtection="1"/>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0" fontId="8" fillId="2" borderId="0" xfId="4" applyFont="1" applyFill="1" applyAlignment="1" applyProtection="1">
      <alignment horizontal="left"/>
    </xf>
    <xf numFmtId="0" fontId="9" fillId="2" borderId="0" xfId="4" applyFont="1" applyFill="1" applyAlignment="1" applyProtection="1">
      <alignment horizontal="center"/>
    </xf>
    <xf numFmtId="0" fontId="0" fillId="2" borderId="0" xfId="0" applyFill="1"/>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2" borderId="0" xfId="0" applyFont="1" applyFill="1" applyAlignment="1">
      <alignment wrapText="1"/>
    </xf>
    <xf numFmtId="0" fontId="33" fillId="2" borderId="0" xfId="0" applyFont="1" applyFill="1" applyAlignment="1">
      <alignment wrapText="1"/>
    </xf>
    <xf numFmtId="10" fontId="28" fillId="2" borderId="0" xfId="0" applyNumberFormat="1" applyFont="1" applyFill="1" applyAlignment="1">
      <alignment wrapText="1"/>
    </xf>
    <xf numFmtId="10" fontId="33" fillId="2" borderId="0" xfId="0" applyNumberFormat="1" applyFont="1" applyFill="1" applyAlignment="1">
      <alignment wrapText="1"/>
    </xf>
    <xf numFmtId="165" fontId="24" fillId="9" borderId="0" xfId="1" applyNumberFormat="1" applyFont="1" applyFill="1" applyAlignment="1">
      <alignment horizontal="center"/>
    </xf>
    <xf numFmtId="0" fontId="47" fillId="0" borderId="0" xfId="0" applyFont="1"/>
    <xf numFmtId="0" fontId="23" fillId="0" borderId="16" xfId="0" applyFont="1" applyFill="1" applyBorder="1" applyAlignment="1">
      <alignment horizontal="left" vertical="top"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cellXfs>
  <cellStyles count="12">
    <cellStyle name="Comma" xfId="1" builtinId="3"/>
    <cellStyle name="Comma 2" xfId="2"/>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6338120"/>
        <c:axId val="2087004280"/>
      </c:lineChart>
      <c:catAx>
        <c:axId val="209633812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87004280"/>
        <c:crosses val="autoZero"/>
        <c:auto val="1"/>
        <c:lblAlgn val="ctr"/>
        <c:lblOffset val="100"/>
        <c:noMultiLvlLbl val="0"/>
      </c:catAx>
      <c:valAx>
        <c:axId val="2087004280"/>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633812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75000504"/>
        <c:axId val="2097053848"/>
      </c:lineChart>
      <c:catAx>
        <c:axId val="207500050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7053848"/>
        <c:crosses val="autoZero"/>
        <c:auto val="1"/>
        <c:lblAlgn val="ctr"/>
        <c:lblOffset val="100"/>
        <c:noMultiLvlLbl val="0"/>
      </c:catAx>
      <c:valAx>
        <c:axId val="2097053848"/>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500050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3" zoomScale="80" zoomScaleNormal="80" zoomScalePageLayoutView="80" workbookViewId="0">
      <selection activeCell="C14" sqref="C14"/>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27"/>
      <c r="B1" s="527"/>
      <c r="C1" s="527"/>
      <c r="D1" s="527"/>
      <c r="E1" s="527"/>
      <c r="F1" s="527"/>
      <c r="G1" s="527"/>
      <c r="H1" s="527"/>
      <c r="I1" s="527"/>
      <c r="J1" s="527"/>
      <c r="K1" s="527"/>
      <c r="L1" s="527"/>
      <c r="M1" s="527"/>
      <c r="N1" s="527"/>
      <c r="O1" s="527"/>
      <c r="P1" s="527"/>
      <c r="Q1" s="527"/>
      <c r="R1" s="527"/>
      <c r="S1" s="527"/>
      <c r="T1" s="527"/>
    </row>
    <row r="2" spans="1:20" ht="113.25" customHeight="1">
      <c r="A2" s="527"/>
      <c r="B2" s="527"/>
      <c r="C2" s="527"/>
      <c r="D2" s="527"/>
      <c r="E2" s="527"/>
      <c r="F2" s="527"/>
      <c r="G2" s="527"/>
      <c r="H2" s="527"/>
      <c r="I2" s="527"/>
      <c r="J2" s="527"/>
      <c r="K2" s="527"/>
      <c r="L2" s="527"/>
      <c r="M2" s="527"/>
      <c r="N2" s="527"/>
      <c r="O2" s="527"/>
      <c r="P2" s="119"/>
      <c r="Q2" s="119"/>
      <c r="R2" s="119"/>
      <c r="S2" s="119"/>
      <c r="T2" s="119"/>
    </row>
    <row r="3" spans="1:20" ht="15" thickBot="1">
      <c r="C3" s="110"/>
      <c r="D3"/>
      <c r="E3" s="110"/>
      <c r="F3" s="110"/>
      <c r="G3" s="110"/>
      <c r="H3" s="110"/>
      <c r="I3" s="248"/>
      <c r="J3" s="248"/>
      <c r="K3" s="248"/>
      <c r="L3" s="172"/>
      <c r="M3" s="7" t="s">
        <v>0</v>
      </c>
    </row>
    <row r="4" spans="1:20" ht="15" thickBot="1">
      <c r="C4" s="117" t="s">
        <v>140</v>
      </c>
      <c r="D4" s="124"/>
      <c r="E4" s="119"/>
      <c r="F4" s="110"/>
      <c r="G4" s="110"/>
      <c r="H4" s="163" t="s">
        <v>0</v>
      </c>
      <c r="I4" s="248"/>
      <c r="J4" s="248"/>
      <c r="K4" s="248"/>
      <c r="L4" s="172"/>
      <c r="M4" t="s">
        <v>0</v>
      </c>
      <c r="Q4" t="s">
        <v>0</v>
      </c>
      <c r="R4" t="s">
        <v>0</v>
      </c>
    </row>
    <row r="5" spans="1:20">
      <c r="B5" s="1" t="s">
        <v>1</v>
      </c>
      <c r="C5" s="110" t="s">
        <v>668</v>
      </c>
      <c r="D5" s="1"/>
      <c r="E5" s="110"/>
      <c r="F5" s="110"/>
      <c r="G5" s="110"/>
      <c r="H5"/>
      <c r="I5"/>
      <c r="J5"/>
      <c r="K5"/>
      <c r="L5"/>
      <c r="M5" t="s">
        <v>0</v>
      </c>
      <c r="N5" t="s">
        <v>0</v>
      </c>
      <c r="O5" t="s">
        <v>0</v>
      </c>
      <c r="P5" t="s">
        <v>0</v>
      </c>
    </row>
    <row r="6" spans="1:20" ht="15" thickBot="1">
      <c r="B6" s="1" t="s">
        <v>3</v>
      </c>
      <c r="C6" s="110"/>
      <c r="D6" s="104" t="s">
        <v>338</v>
      </c>
      <c r="E6" s="110"/>
      <c r="F6" s="110"/>
      <c r="G6" s="110"/>
      <c r="H6" s="29" t="s">
        <v>0</v>
      </c>
      <c r="I6" s="29"/>
      <c r="J6" s="29"/>
      <c r="K6" s="29"/>
      <c r="L6" s="29"/>
      <c r="M6" s="7" t="s">
        <v>0</v>
      </c>
      <c r="N6" t="s">
        <v>0</v>
      </c>
      <c r="O6" t="s">
        <v>0</v>
      </c>
      <c r="P6" t="s">
        <v>0</v>
      </c>
    </row>
    <row r="7" spans="1:20" ht="15" thickBot="1">
      <c r="B7" s="4" t="s">
        <v>379</v>
      </c>
      <c r="C7" s="211" t="s">
        <v>551</v>
      </c>
      <c r="D7" s="114">
        <f>'Output - Jobs vs Yr (BAU)'!X4/'Output - Jobs vs Yr (BAU)'!C4-1</f>
        <v>4.4389595216823619E-2</v>
      </c>
      <c r="E7" s="92" t="s">
        <v>515</v>
      </c>
      <c r="F7" s="109"/>
      <c r="G7" s="109"/>
      <c r="H7" s="29" t="s">
        <v>0</v>
      </c>
      <c r="I7" s="29"/>
      <c r="J7" s="29"/>
      <c r="K7" s="29"/>
      <c r="L7" s="29"/>
      <c r="M7" s="7" t="s">
        <v>0</v>
      </c>
      <c r="N7" t="s">
        <v>0</v>
      </c>
      <c r="O7" t="s">
        <v>0</v>
      </c>
      <c r="P7" t="s">
        <v>0</v>
      </c>
    </row>
    <row r="8" spans="1:20" ht="15" thickBot="1">
      <c r="B8" s="1" t="s">
        <v>364</v>
      </c>
      <c r="C8" s="109"/>
      <c r="D8" s="104" t="s">
        <v>338</v>
      </c>
      <c r="E8" s="510" t="s">
        <v>678</v>
      </c>
      <c r="F8" s="109"/>
      <c r="G8" s="510" t="s">
        <v>679</v>
      </c>
      <c r="H8"/>
      <c r="I8"/>
      <c r="J8"/>
      <c r="K8"/>
      <c r="L8"/>
      <c r="M8" t="s">
        <v>0</v>
      </c>
      <c r="N8" t="s">
        <v>0</v>
      </c>
      <c r="O8" s="111" t="s">
        <v>0</v>
      </c>
      <c r="P8" s="31" t="s">
        <v>0</v>
      </c>
    </row>
    <row r="9" spans="1:20" ht="15.75" hidden="1" customHeight="1" thickBot="1">
      <c r="B9" s="43" t="s">
        <v>364</v>
      </c>
      <c r="C9" s="110"/>
      <c r="D9" s="114" t="e">
        <f>'Output - Jobs vs Yr (BAU)'!X6/'Output - Jobs vs Yr (BAU)'!C6-1</f>
        <v>#DIV/0!</v>
      </c>
      <c r="E9" s="109"/>
      <c r="F9" s="109"/>
      <c r="G9" s="109"/>
      <c r="H9"/>
      <c r="I9"/>
      <c r="J9"/>
      <c r="K9"/>
      <c r="L9"/>
      <c r="M9"/>
      <c r="O9" s="102"/>
    </row>
    <row r="10" spans="1:20" ht="15.75" hidden="1" customHeight="1" thickBot="1">
      <c r="B10" s="93" t="s">
        <v>348</v>
      </c>
      <c r="C10" s="110"/>
      <c r="D10" s="43"/>
      <c r="E10" s="109"/>
      <c r="F10" s="109"/>
      <c r="G10" s="109"/>
      <c r="H10"/>
      <c r="I10"/>
      <c r="J10"/>
      <c r="K10"/>
      <c r="L10"/>
      <c r="M10"/>
      <c r="O10" s="102"/>
    </row>
    <row r="11" spans="1:20" ht="15" thickBot="1">
      <c r="B11" t="s">
        <v>376</v>
      </c>
      <c r="C11" s="126">
        <v>0.15</v>
      </c>
      <c r="D11" s="125">
        <f>'Output - Jobs vs Yr (BAU)'!N18/'Output -Jobs vs Yr'!N14</f>
        <v>9.5999576257112362E-2</v>
      </c>
      <c r="E11" s="509"/>
      <c r="F11" s="109"/>
      <c r="G11" s="506"/>
      <c r="H11"/>
      <c r="I11"/>
      <c r="J11"/>
      <c r="K11"/>
      <c r="L11"/>
      <c r="M11" t="s">
        <v>0</v>
      </c>
      <c r="N11" t="s">
        <v>0</v>
      </c>
      <c r="O11" s="111" t="s">
        <v>0</v>
      </c>
      <c r="P11" s="31" t="s">
        <v>0</v>
      </c>
    </row>
    <row r="12" spans="1:20" ht="15" thickBot="1">
      <c r="B12" t="s">
        <v>377</v>
      </c>
      <c r="C12" s="210">
        <v>0.2</v>
      </c>
      <c r="D12" s="125">
        <f>'Output - Jobs vs Yr (BAU)'!X18/'Output -Jobs vs Yr'!X14</f>
        <v>9.262552297862825E-2</v>
      </c>
      <c r="E12" s="509">
        <f>(D12/D11)^(1/10)</f>
        <v>0.99642848830675124</v>
      </c>
      <c r="F12" s="109"/>
      <c r="G12" s="507">
        <f>(C12/C11)^(1/10)</f>
        <v>1.0291860089647606</v>
      </c>
      <c r="H12"/>
      <c r="I12"/>
      <c r="J12"/>
      <c r="K12"/>
      <c r="L12"/>
      <c r="M12" t="s">
        <v>0</v>
      </c>
      <c r="N12" t="s">
        <v>0</v>
      </c>
      <c r="O12" s="111" t="s">
        <v>0</v>
      </c>
      <c r="P12" s="31" t="s">
        <v>0</v>
      </c>
    </row>
    <row r="13" spans="1:20" ht="15" thickBot="1">
      <c r="B13" t="s">
        <v>574</v>
      </c>
      <c r="C13" s="211">
        <v>0.25</v>
      </c>
      <c r="D13" s="173">
        <f>'Output - Jobs vs Yr (BAU)'!AH18/'Output -Jobs vs Yr'!AH14</f>
        <v>9.8454863723757752E-2</v>
      </c>
      <c r="E13" s="509">
        <f>(D13/D12)^(1/10)</f>
        <v>1.0061220110825151</v>
      </c>
      <c r="F13" s="109"/>
      <c r="G13" s="508">
        <f>(C13/C12)^(1/10)</f>
        <v>1.0225651825635729</v>
      </c>
      <c r="H13"/>
      <c r="I13"/>
      <c r="J13"/>
      <c r="K13"/>
      <c r="L13"/>
      <c r="M13"/>
      <c r="O13" s="111"/>
      <c r="P13" s="31"/>
    </row>
    <row r="14" spans="1:20">
      <c r="B14" t="s">
        <v>575</v>
      </c>
      <c r="C14" s="247"/>
      <c r="D14" s="173"/>
      <c r="E14" s="109"/>
      <c r="F14" s="109"/>
      <c r="G14" s="109"/>
      <c r="H14"/>
      <c r="I14"/>
      <c r="J14"/>
      <c r="K14"/>
      <c r="L14"/>
      <c r="M14"/>
      <c r="O14" s="111"/>
      <c r="P14" s="31"/>
    </row>
    <row r="15" spans="1:20" ht="15" thickBot="1">
      <c r="C15" s="4" t="s">
        <v>0</v>
      </c>
      <c r="D15" s="32"/>
      <c r="E15" s="4"/>
      <c r="F15" s="95" t="s">
        <v>0</v>
      </c>
      <c r="G15" s="95"/>
      <c r="H15" s="4"/>
      <c r="I15" s="4"/>
      <c r="J15" s="4"/>
      <c r="K15" s="4"/>
      <c r="L15" s="4"/>
      <c r="N15" t="s">
        <v>673</v>
      </c>
      <c r="O15" s="31" t="s">
        <v>673</v>
      </c>
      <c r="P15" s="31" t="s">
        <v>674</v>
      </c>
      <c r="Q15" t="s">
        <v>671</v>
      </c>
    </row>
    <row r="16" spans="1:20" ht="15" thickBot="1">
      <c r="B16" s="32" t="s">
        <v>359</v>
      </c>
      <c r="C16" s="106" t="s">
        <v>362</v>
      </c>
      <c r="D16" s="104" t="s">
        <v>531</v>
      </c>
      <c r="E16" s="104" t="s">
        <v>360</v>
      </c>
      <c r="F16" s="104" t="s">
        <v>355</v>
      </c>
      <c r="G16" s="104" t="s">
        <v>541</v>
      </c>
      <c r="H16" s="104" t="s">
        <v>360</v>
      </c>
      <c r="I16" s="104" t="s">
        <v>667</v>
      </c>
      <c r="J16" s="104" t="s">
        <v>666</v>
      </c>
      <c r="K16" s="104" t="s">
        <v>360</v>
      </c>
      <c r="L16" s="104"/>
      <c r="M16" s="44" t="s">
        <v>256</v>
      </c>
      <c r="N16" s="296">
        <v>2020</v>
      </c>
      <c r="O16" s="296">
        <v>2030</v>
      </c>
      <c r="P16" s="296">
        <v>2040</v>
      </c>
      <c r="Q16" s="199">
        <v>2031</v>
      </c>
    </row>
    <row r="17" spans="2:17" ht="15" thickBot="1">
      <c r="B17" t="s">
        <v>349</v>
      </c>
      <c r="C17" s="196">
        <f>D17*$C$11/$D$11</f>
        <v>1.6424467057935738E-2</v>
      </c>
      <c r="D17" s="127">
        <f>'Output - Jobs vs Yr (BAU)'!N10/'Output -Jobs vs Yr'!$N$14</f>
        <v>1.0511612518738212E-2</v>
      </c>
      <c r="E17" s="105">
        <f t="shared" ref="E17:E23" si="0">IF($C$24&lt;&gt;0,C17/$C$24,0)</f>
        <v>0.1094964470529049</v>
      </c>
      <c r="F17" s="173">
        <f>C17*$C$12/$C$11</f>
        <v>2.1899289410580985E-2</v>
      </c>
      <c r="G17" s="105">
        <f>'Output - Jobs vs Yr (BAU)'!X10/'Output - Jobs vs Yr (BAU)'!X24</f>
        <v>1.3458293682878583E-2</v>
      </c>
      <c r="H17" s="105">
        <f t="shared" ref="H17:H23" si="1">G17/$G$24</f>
        <v>0.14572154673706489</v>
      </c>
      <c r="I17" s="173">
        <f>F17*$C$13/$C$12</f>
        <v>2.7374111763226228E-2</v>
      </c>
      <c r="J17" s="105">
        <f>'Output - Jobs vs Yr (BAU)'!AH10/'Output - Jobs vs Yr (BAU)'!AH24</f>
        <v>1.5620758241747267E-2</v>
      </c>
      <c r="K17" s="105">
        <f>J17/$J$24</f>
        <v>0.159622751936352</v>
      </c>
      <c r="L17" s="105"/>
      <c r="M17" s="45" t="s">
        <v>258</v>
      </c>
      <c r="N17" s="86">
        <f>HLOOKUP(N16,'Output -Jobs vs Yr'!$H$175:$AH$184,9)</f>
        <v>296.58767408581116</v>
      </c>
      <c r="O17" s="86">
        <f>HLOOKUP(O16,'Output -Jobs vs Yr'!$H$175:$AH$184,9)</f>
        <v>660.63952247104498</v>
      </c>
      <c r="P17" s="86">
        <f>HLOOKUP(P16,'Output -Jobs vs Yr'!$H$175:$AH$184,9)</f>
        <v>709.49775054681231</v>
      </c>
      <c r="Q17" s="86">
        <f>HLOOKUP(Q16,'Output -Jobs vs Yr'!$H$175:$AH$184,9)</f>
        <v>676.30644050197952</v>
      </c>
    </row>
    <row r="18" spans="2:17" ht="15" thickBot="1">
      <c r="B18" s="4" t="s">
        <v>350</v>
      </c>
      <c r="C18" s="196">
        <f>D18*$C$11/$D$11</f>
        <v>1.5880772916370869E-9</v>
      </c>
      <c r="D18" s="127">
        <f>'Output - Jobs vs Yr (BAU)'!N15/'Output -Jobs vs Yr'!$N$14</f>
        <v>1.0163649804046866E-9</v>
      </c>
      <c r="E18" s="105">
        <f t="shared" si="0"/>
        <v>1.0587181944247245E-8</v>
      </c>
      <c r="F18" s="173">
        <f t="shared" ref="F18:F23" si="2">C18*$C$12/$C$11</f>
        <v>2.1174363888494496E-9</v>
      </c>
      <c r="G18" s="105">
        <f>'Output - Jobs vs Yr (BAU)'!X15/'Output - Jobs vs Yr (BAU)'!X24</f>
        <v>9.3730760004057425E-10</v>
      </c>
      <c r="H18" s="105">
        <f t="shared" si="1"/>
        <v>1.0148828407577476E-8</v>
      </c>
      <c r="I18" s="173">
        <f t="shared" ref="I18:I24" si="3">F18*$C$13/$C$12</f>
        <v>2.6467954860618117E-9</v>
      </c>
      <c r="J18" s="105">
        <f>'Output - Jobs vs Yr (BAU)'!AH15/'Output - Jobs vs Yr (BAU)'!AH24</f>
        <v>9.2475994064224884E-10</v>
      </c>
      <c r="K18" s="105">
        <f t="shared" ref="K18:K24" si="4">J18/$J$24</f>
        <v>9.4497798584009079E-9</v>
      </c>
      <c r="L18" s="105"/>
      <c r="M18" s="46" t="s">
        <v>259</v>
      </c>
      <c r="N18" s="87">
        <f>HLOOKUP(N16,'Output -Jobs vs Yr'!$H$175:$AH$184,10)</f>
        <v>266.92890245846138</v>
      </c>
      <c r="O18" s="87">
        <f>HLOOKUP(O16,'Output -Jobs vs Yr'!$H$175:$AH$184,10)</f>
        <v>594.57556414220562</v>
      </c>
      <c r="P18" s="87">
        <f>HLOOKUP(P16,'Output -Jobs vs Yr'!$H$175:$AH$184,10)</f>
        <v>638.54796781100049</v>
      </c>
      <c r="Q18" s="87">
        <f>HLOOKUP(Q16,'Output -Jobs vs Yr'!$H$175:$AH$184,10)</f>
        <v>608.67579021488382</v>
      </c>
    </row>
    <row r="19" spans="2:17" ht="15" thickBot="1">
      <c r="B19" s="4" t="s">
        <v>351</v>
      </c>
      <c r="C19" s="196">
        <f>D19*$C$11/$D$11</f>
        <v>1.5880772916370867E-6</v>
      </c>
      <c r="D19" s="127">
        <f>'Output - Jobs vs Yr (BAU)'!N11/'Output -Jobs vs Yr'!$N$14</f>
        <v>1.0163649804046864E-6</v>
      </c>
      <c r="E19" s="105">
        <f t="shared" si="0"/>
        <v>1.0587181944247243E-5</v>
      </c>
      <c r="F19" s="173">
        <f t="shared" si="2"/>
        <v>2.1174363888494492E-6</v>
      </c>
      <c r="G19" s="105">
        <f>'Output - Jobs vs Yr (BAU)'!X11/'Output - Jobs vs Yr (BAU)'!X24</f>
        <v>9.373076000405743E-7</v>
      </c>
      <c r="H19" s="105">
        <f t="shared" si="1"/>
        <v>1.0148828407577477E-5</v>
      </c>
      <c r="I19" s="173">
        <f t="shared" si="3"/>
        <v>2.6467954860618115E-6</v>
      </c>
      <c r="J19" s="105">
        <f>'Output - Jobs vs Yr (BAU)'!AH11/'Output - Jobs vs Yr (BAU)'!AH24</f>
        <v>9.2475994064224883E-7</v>
      </c>
      <c r="K19" s="105">
        <f t="shared" si="4"/>
        <v>9.4497798584009084E-6</v>
      </c>
      <c r="L19" s="105"/>
      <c r="M19" s="46" t="s">
        <v>260</v>
      </c>
      <c r="N19" s="87">
        <f>HLOOKUP(N16,'Output -Jobs vs Yr'!$H$175:$AH$184,8)</f>
        <v>563.51657654427254</v>
      </c>
      <c r="O19" s="87">
        <f>HLOOKUP(O16,'Output -Jobs vs Yr'!$H$175:$AH$184,8)</f>
        <v>1255.2150866132506</v>
      </c>
      <c r="P19" s="87">
        <f>HLOOKUP(P16,'Output -Jobs vs Yr'!$H$175:$AH$184,8)</f>
        <v>1348.045718357811</v>
      </c>
      <c r="Q19" s="87">
        <f>HLOOKUP(Q16,'Output -Jobs vs Yr'!$H$175:$AH$184,8)</f>
        <v>1284.9822307168652</v>
      </c>
    </row>
    <row r="20" spans="2:17" ht="15" thickBot="1">
      <c r="B20" s="4" t="s">
        <v>51</v>
      </c>
      <c r="C20" s="196">
        <f>D20*$C$11/$D$11</f>
        <v>1.6028241773672288E-2</v>
      </c>
      <c r="D20" s="127">
        <f>'Output - Jobs vs Yr (BAU)'!N12/'Output -Jobs vs Yr'!$N$14</f>
        <v>1.0258029456127244E-2</v>
      </c>
      <c r="E20" s="105">
        <f t="shared" si="0"/>
        <v>0.10685494515781524</v>
      </c>
      <c r="F20" s="173">
        <f t="shared" si="2"/>
        <v>2.1370989031563051E-2</v>
      </c>
      <c r="G20" s="105">
        <f>'Output - Jobs vs Yr (BAU)'!X12/'Output - Jobs vs Yr (BAU)'!X24</f>
        <v>9.4659256912657617E-3</v>
      </c>
      <c r="H20" s="105">
        <f t="shared" si="1"/>
        <v>0.10249362701782939</v>
      </c>
      <c r="I20" s="173">
        <f t="shared" si="3"/>
        <v>2.6713736289453813E-2</v>
      </c>
      <c r="J20" s="105">
        <f>'Output - Jobs vs Yr (BAU)'!AH12/'Output - Jobs vs Yr (BAU)'!AH24</f>
        <v>9.3139509321635682E-3</v>
      </c>
      <c r="K20" s="105">
        <f t="shared" si="4"/>
        <v>9.5175820288849328E-2</v>
      </c>
      <c r="L20" s="105"/>
      <c r="M20" s="47" t="s">
        <v>455</v>
      </c>
      <c r="N20" s="88">
        <f>HLOOKUP(N16,'Output -Jobs vs Yr'!$H$175:$AH$188,11)-HLOOKUP(N16,'Output -Jobs vs Yr'!$H$175:$AH$188,14)</f>
        <v>697.64976737504912</v>
      </c>
      <c r="O20" s="88">
        <f>HLOOKUP(O16,'Output -Jobs vs Yr'!$H$175:$AH$188,11)-HLOOKUP(O16,'Output -Jobs vs Yr'!$H$175:$AH$188,14)</f>
        <v>9918.549357715412</v>
      </c>
      <c r="P20" s="88">
        <f>HLOOKUP(P16,'Output -Jobs vs Yr'!$H$175:$AH$188,11)-HLOOKUP(P16,'Output -Jobs vs Yr'!$H$175:$AH$188,14)</f>
        <v>24507.511169014415</v>
      </c>
      <c r="Q20" s="88">
        <f>HLOOKUP(Q16,'Output -Jobs vs Yr'!$H$175:$AH$188,11)-HLOOKUP(Q16,'Output -Jobs vs Yr'!$H$175:$AH$188,14)</f>
        <v>11203.531588432277</v>
      </c>
    </row>
    <row r="21" spans="2:17" ht="15" thickBot="1">
      <c r="B21" t="s">
        <v>352</v>
      </c>
      <c r="C21" s="196">
        <f t="shared" ref="C21:C23" si="5">D21*$C$11/$D$11</f>
        <v>2.4186417151632832E-5</v>
      </c>
      <c r="D21" s="127">
        <f>'Output - Jobs vs Yr (BAU)'!N13/'Output -Jobs vs Yr'!$N$14</f>
        <v>1.5479238651563377E-5</v>
      </c>
      <c r="E21" s="105">
        <f t="shared" si="0"/>
        <v>1.6124278101088552E-4</v>
      </c>
      <c r="F21" s="173">
        <f t="shared" si="2"/>
        <v>3.224855620217711E-5</v>
      </c>
      <c r="G21" s="105">
        <f>'Output - Jobs vs Yr (BAU)'!X13/'Output - Jobs vs Yr (BAU)'!X24</f>
        <v>2.0198978780874372E-5</v>
      </c>
      <c r="H21" s="105">
        <f t="shared" si="1"/>
        <v>2.187072521832946E-4</v>
      </c>
      <c r="I21" s="173">
        <f t="shared" si="3"/>
        <v>4.0310695252721387E-5</v>
      </c>
      <c r="J21" s="105">
        <f>'Output - Jobs vs Yr (BAU)'!AH13/'Output - Jobs vs Yr (BAU)'!AH24</f>
        <v>3.1111976111009368E-3</v>
      </c>
      <c r="K21" s="105">
        <f t="shared" si="4"/>
        <v>3.1792177871013926E-2</v>
      </c>
      <c r="L21" s="105"/>
      <c r="N21" s="161"/>
    </row>
    <row r="22" spans="2:17" ht="15" thickBot="1">
      <c r="B22" s="4" t="s">
        <v>353</v>
      </c>
      <c r="C22" s="196">
        <f t="shared" si="5"/>
        <v>1.5880772916370867E-6</v>
      </c>
      <c r="D22" s="127">
        <f>'Output - Jobs vs Yr (BAU)'!N14/'Output -Jobs vs Yr'!$N$14</f>
        <v>1.0163649804046864E-6</v>
      </c>
      <c r="E22" s="105">
        <f t="shared" si="0"/>
        <v>1.0587181944247243E-5</v>
      </c>
      <c r="F22" s="173">
        <f t="shared" si="2"/>
        <v>2.1174363888494492E-6</v>
      </c>
      <c r="G22" s="105">
        <f>'Output - Jobs vs Yr (BAU)'!X14/'Output - Jobs vs Yr (BAU)'!X24</f>
        <v>9.373076000405743E-7</v>
      </c>
      <c r="H22" s="105">
        <f t="shared" si="1"/>
        <v>1.0148828407577477E-5</v>
      </c>
      <c r="I22" s="173">
        <f t="shared" si="3"/>
        <v>2.6467954860618115E-6</v>
      </c>
      <c r="J22" s="105">
        <f>'Output - Jobs vs Yr (BAU)'!AH14/'Output - Jobs vs Yr (BAU)'!AH24</f>
        <v>9.2475994064224883E-7</v>
      </c>
      <c r="K22" s="105">
        <f t="shared" si="4"/>
        <v>9.4497798584009084E-6</v>
      </c>
      <c r="L22" s="105"/>
      <c r="O22" t="s">
        <v>0</v>
      </c>
    </row>
    <row r="23" spans="2:17" ht="15" thickBot="1">
      <c r="B23" t="s">
        <v>354</v>
      </c>
      <c r="C23" s="196">
        <f t="shared" si="5"/>
        <v>0.11751992700857979</v>
      </c>
      <c r="D23" s="127">
        <f>'Output - Jobs vs Yr (BAU)'!N16/'Output -Jobs vs Yr'!$N$14</f>
        <v>7.5212421297269558E-2</v>
      </c>
      <c r="E23" s="105">
        <f t="shared" si="0"/>
        <v>0.78346618005719848</v>
      </c>
      <c r="F23" s="173">
        <f t="shared" si="2"/>
        <v>0.15669323601143972</v>
      </c>
      <c r="G23" s="105">
        <f>'Output - Jobs vs Yr (BAU)'!X16/'Output - Jobs vs Yr (BAU)'!X24</f>
        <v>6.9409942932776622E-2</v>
      </c>
      <c r="H23" s="105">
        <f t="shared" si="1"/>
        <v>0.75154581118727881</v>
      </c>
      <c r="I23" s="173">
        <f t="shared" si="3"/>
        <v>0.19586654501429965</v>
      </c>
      <c r="J23" s="105">
        <f>'Output - Jobs vs Yr (BAU)'!AH16/'Output - Jobs vs Yr (BAU)'!AH24</f>
        <v>6.9812717246917164E-2</v>
      </c>
      <c r="K23" s="105">
        <f t="shared" si="4"/>
        <v>0.7133903408942881</v>
      </c>
      <c r="L23" s="105"/>
      <c r="M23" s="44"/>
      <c r="N23" s="198"/>
      <c r="O23" t="s">
        <v>0</v>
      </c>
    </row>
    <row r="24" spans="2:17">
      <c r="B24" s="108" t="s">
        <v>366</v>
      </c>
      <c r="C24" s="138">
        <f t="shared" ref="C24:H24" si="6">SUM(C17:C23)</f>
        <v>0.15000000000000002</v>
      </c>
      <c r="D24" s="206">
        <f t="shared" si="6"/>
        <v>9.5999576257112362E-2</v>
      </c>
      <c r="E24" s="201">
        <f t="shared" si="6"/>
        <v>1</v>
      </c>
      <c r="F24" s="201">
        <f t="shared" si="6"/>
        <v>0.2</v>
      </c>
      <c r="G24" s="201">
        <f t="shared" si="6"/>
        <v>9.2356236838209524E-2</v>
      </c>
      <c r="H24" s="105">
        <f t="shared" si="6"/>
        <v>1</v>
      </c>
      <c r="I24" s="173">
        <f t="shared" si="3"/>
        <v>0.25</v>
      </c>
      <c r="J24" s="105">
        <f>SUM(J17:J23)</f>
        <v>9.7860474476570161E-2</v>
      </c>
      <c r="K24" s="105">
        <f t="shared" si="4"/>
        <v>1</v>
      </c>
      <c r="L24" s="105"/>
      <c r="M24" s="44"/>
      <c r="N24" s="44"/>
      <c r="O24" t="s">
        <v>0</v>
      </c>
    </row>
    <row r="25" spans="2:17">
      <c r="B25" s="108"/>
      <c r="C25" s="138" t="str">
        <f>IF(ROUND(C24,3)=ROUND(C11,3),"Great, "&amp;ROUND(C24,3)*100&amp;"% agrees with 2020 RPS % entered above","Please re-adust RPS portfolio to total "&amp;ROUND(C11,3)*100&amp;"% or change 2020 RPS % entered above")</f>
        <v>Great, 15%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369</v>
      </c>
      <c r="C27" s="107"/>
      <c r="D27" s="201" t="s">
        <v>338</v>
      </c>
      <c r="E27" s="107"/>
      <c r="F27" s="98"/>
      <c r="G27" s="135" t="s">
        <v>0</v>
      </c>
      <c r="H27" s="136" t="s">
        <v>0</v>
      </c>
      <c r="I27" s="136"/>
      <c r="J27" s="136"/>
      <c r="K27" s="136"/>
      <c r="L27" s="136"/>
      <c r="M27"/>
    </row>
    <row r="28" spans="2:17" ht="15" thickBot="1">
      <c r="B28" t="s">
        <v>367</v>
      </c>
      <c r="C28" s="209">
        <f>D28</f>
        <v>0.15166318067029921</v>
      </c>
      <c r="D28" s="105">
        <f>('Output - Jobs vs Yr (BAU)'!N8+'Output - Jobs vs Yr (BAU)'!N7)/'Output -Jobs vs Yr'!N14</f>
        <v>0.15166318067029921</v>
      </c>
      <c r="E28" s="137" t="s">
        <v>0</v>
      </c>
      <c r="F28" s="98"/>
      <c r="G28" s="98" t="s">
        <v>0</v>
      </c>
      <c r="H28" s="136" t="s">
        <v>0</v>
      </c>
      <c r="I28" s="136"/>
      <c r="J28" s="136"/>
      <c r="K28" s="136"/>
      <c r="L28" s="136"/>
      <c r="M28"/>
    </row>
    <row r="29" spans="2:17" ht="15" thickBot="1">
      <c r="B29" t="s">
        <v>368</v>
      </c>
      <c r="C29" s="279">
        <f>D29</f>
        <v>0.14027395751830837</v>
      </c>
      <c r="D29" s="105">
        <f>('Output - Jobs vs Yr (BAU)'!X8+'Output - Jobs vs Yr (BAU)'!X7)/'Output -Jobs vs Yr'!X14</f>
        <v>0.14027395751830837</v>
      </c>
      <c r="E29" s="107"/>
      <c r="F29" s="98"/>
      <c r="G29" s="96"/>
      <c r="H29"/>
      <c r="I29"/>
      <c r="J29"/>
      <c r="K29"/>
      <c r="L29"/>
    </row>
    <row r="30" spans="2:17" ht="15" thickBot="1">
      <c r="B30" t="s">
        <v>576</v>
      </c>
      <c r="C30" s="211">
        <f>D30</f>
        <v>0.13883192124620994</v>
      </c>
      <c r="D30" s="105">
        <f>('Output - Jobs vs Yr (BAU)'!AH8+'Output - Jobs vs Yr (BAU)'!AH7)/'Output -Jobs vs Yr'!AH14</f>
        <v>0.13883192124620994</v>
      </c>
      <c r="E30" s="107"/>
      <c r="F30" s="98"/>
      <c r="G30" s="96"/>
      <c r="H30"/>
      <c r="I30"/>
      <c r="J30"/>
      <c r="K30"/>
      <c r="L30"/>
    </row>
    <row r="31" spans="2:17">
      <c r="B31" t="s">
        <v>577</v>
      </c>
      <c r="C31" s="247"/>
      <c r="D31" s="105"/>
      <c r="E31" s="107"/>
      <c r="F31" s="98"/>
      <c r="G31" s="96"/>
      <c r="H31"/>
      <c r="I31"/>
      <c r="J31"/>
      <c r="K31"/>
      <c r="L31"/>
    </row>
    <row r="32" spans="2:17">
      <c r="B32" s="108"/>
      <c r="C32" s="107" t="s">
        <v>0</v>
      </c>
      <c r="D32" s="107"/>
      <c r="E32" s="107"/>
      <c r="F32" s="98"/>
      <c r="G32" s="96"/>
      <c r="H32"/>
      <c r="I32"/>
      <c r="J32"/>
      <c r="K32"/>
      <c r="L32"/>
    </row>
    <row r="33" spans="1:18" ht="15" thickBot="1">
      <c r="B33" s="108" t="s">
        <v>370</v>
      </c>
      <c r="C33" s="107"/>
      <c r="D33" s="201" t="s">
        <v>338</v>
      </c>
      <c r="E33" s="201" t="s">
        <v>533</v>
      </c>
      <c r="F33" s="202" t="s">
        <v>355</v>
      </c>
      <c r="G33" s="203" t="s">
        <v>338</v>
      </c>
      <c r="H33" s="202" t="s">
        <v>667</v>
      </c>
      <c r="I33" s="203" t="s">
        <v>338</v>
      </c>
      <c r="J33" s="164"/>
      <c r="K33" s="164"/>
      <c r="L33" s="164"/>
      <c r="M33" s="7" t="s">
        <v>0</v>
      </c>
    </row>
    <row r="34" spans="1:18" ht="15" thickBot="1">
      <c r="B34" s="4" t="s">
        <v>363</v>
      </c>
      <c r="C34" s="210">
        <f>D34</f>
        <v>0</v>
      </c>
      <c r="D34" s="105">
        <v>0</v>
      </c>
      <c r="E34" s="204">
        <f>'Output -Jobs vs Yr'!N30/'Output -Jobs vs Yr'!N49</f>
        <v>0</v>
      </c>
      <c r="F34" s="201">
        <f>C34*$C$29/$C$28</f>
        <v>0</v>
      </c>
      <c r="G34" s="205">
        <v>0</v>
      </c>
      <c r="H34" s="201">
        <f>F34*$C$30/$C$29</f>
        <v>0</v>
      </c>
      <c r="I34" s="205">
        <v>0</v>
      </c>
      <c r="J34" s="139"/>
      <c r="K34" s="139"/>
      <c r="L34" s="139"/>
    </row>
    <row r="35" spans="1:18" ht="15" thickBot="1">
      <c r="B35" s="4" t="s">
        <v>49</v>
      </c>
      <c r="C35" s="210">
        <f>D35</f>
        <v>5.3467800724001499E-3</v>
      </c>
      <c r="D35" s="105">
        <f>'Output - Jobs vs Yr (BAU)'!N7/'Output -Jobs vs Yr'!N14</f>
        <v>5.3467800724001499E-3</v>
      </c>
      <c r="E35" s="204">
        <f>C35</f>
        <v>5.3467800724001499E-3</v>
      </c>
      <c r="F35" s="201">
        <f>C35*$C$29/$C$28</f>
        <v>4.9452609223991735E-3</v>
      </c>
      <c r="G35" s="205">
        <f>'Output - Jobs vs Yr (BAU)'!X7/'Output - Jobs vs Yr (BAU)'!X24</f>
        <v>4.9308837811498484E-3</v>
      </c>
      <c r="H35" s="201">
        <f>F35*$C$30/$C$29</f>
        <v>4.8944229354252926E-3</v>
      </c>
      <c r="I35" s="205">
        <f>'Output - Jobs vs Yr (BAU)'!AH7/'Output - Jobs vs Yr (BAU)'!AH24</f>
        <v>4.8648744473773313E-3</v>
      </c>
      <c r="J35"/>
      <c r="K35"/>
      <c r="L35"/>
    </row>
    <row r="36" spans="1:18" ht="15" thickBot="1">
      <c r="B36" s="4" t="s">
        <v>361</v>
      </c>
      <c r="C36" s="210">
        <f>D36</f>
        <v>0.14631640059789905</v>
      </c>
      <c r="D36" s="105">
        <f>'Output - Jobs vs Yr (BAU)'!N8/'Output -Jobs vs Yr'!N14</f>
        <v>0.14631640059789905</v>
      </c>
      <c r="E36" s="204">
        <f>C36</f>
        <v>0.14631640059789905</v>
      </c>
      <c r="F36" s="201">
        <f>C36*$C$29/$C$28</f>
        <v>0.13532869659590918</v>
      </c>
      <c r="G36" s="205">
        <f>'Output - Jobs vs Yr (BAU)'!X8/'Output - Jobs vs Yr (BAU)'!X24</f>
        <v>0.13493526138256509</v>
      </c>
      <c r="H36" s="201">
        <f>F36*$C$30/$C$29</f>
        <v>0.13393749831078464</v>
      </c>
      <c r="I36" s="205">
        <f>'Output - Jobs vs Yr (BAU)'!AH8/'Output - Jobs vs Yr (BAU)'!AH24</f>
        <v>0.13312889418722904</v>
      </c>
      <c r="J36"/>
      <c r="K36"/>
      <c r="L36"/>
    </row>
    <row r="37" spans="1:18">
      <c r="B37" s="4" t="s">
        <v>365</v>
      </c>
      <c r="C37" s="139">
        <f>SUM(C35:C36)+'Output -Jobs vs Yr'!N30/'Output -Jobs vs Yr'!N49</f>
        <v>0.15166318067029919</v>
      </c>
      <c r="D37" s="105">
        <f>SUM(D34:D36)</f>
        <v>0.15166318067029919</v>
      </c>
      <c r="E37" s="204">
        <f>SUM(E34:E36)</f>
        <v>0.15166318067029919</v>
      </c>
      <c r="F37" s="204">
        <f>SUM(F34:F36)</f>
        <v>0.14027395751830835</v>
      </c>
      <c r="G37" s="204">
        <f>SUM(G34:G36)</f>
        <v>0.13986614516371493</v>
      </c>
      <c r="H37" s="201">
        <f>C37*$C$30/$C$28</f>
        <v>0.13883192124620991</v>
      </c>
      <c r="I37" s="204">
        <f>SUM(I34:I36)</f>
        <v>0.13799376863460636</v>
      </c>
      <c r="J37" s="139"/>
      <c r="K37" s="139"/>
      <c r="L37" s="139"/>
    </row>
    <row r="38" spans="1:18">
      <c r="B38" s="4"/>
      <c r="C38" s="138" t="str">
        <f>IF(ROUND(C37,3)=ROUND(C28,3), "Great, " &amp; ROUND(C37,3)*100 &amp; "% agrees with 2020 Low Carbon % entered above", "Please re-adust Low Carbon portfolio to " &amp; ROUND(C28,3)*100 &amp; "% or change 2020 Low Carbon % above" )</f>
        <v>Great, 15,2%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372</v>
      </c>
      <c r="C40" s="105">
        <f>C24</f>
        <v>0.15000000000000002</v>
      </c>
      <c r="D40" s="105" t="s">
        <v>0</v>
      </c>
      <c r="E40" s="105" t="s">
        <v>0</v>
      </c>
      <c r="F40" s="105" t="s">
        <v>0</v>
      </c>
      <c r="G40" s="103" t="s">
        <v>0</v>
      </c>
      <c r="H40"/>
      <c r="I40"/>
      <c r="J40"/>
      <c r="K40"/>
      <c r="L40"/>
    </row>
    <row r="41" spans="1:18">
      <c r="B41" s="4" t="s">
        <v>371</v>
      </c>
      <c r="C41" s="105">
        <f>C24+C37</f>
        <v>0.30166318067029918</v>
      </c>
      <c r="D41" s="105" t="s">
        <v>0</v>
      </c>
      <c r="E41" s="105"/>
      <c r="F41" s="105" t="s">
        <v>0</v>
      </c>
      <c r="G41" s="103" t="s">
        <v>0</v>
      </c>
      <c r="H41"/>
      <c r="I41"/>
      <c r="J41"/>
      <c r="K41"/>
      <c r="L41"/>
    </row>
    <row r="42" spans="1:18">
      <c r="C42" s="110"/>
      <c r="D42"/>
      <c r="E42" s="13"/>
      <c r="F42" s="13"/>
      <c r="G42" s="13"/>
      <c r="M42"/>
    </row>
    <row r="43" spans="1:18" ht="15" thickBot="1">
      <c r="B43" s="1" t="s">
        <v>2</v>
      </c>
      <c r="C43" s="13" t="s">
        <v>137</v>
      </c>
      <c r="D43" s="1"/>
      <c r="E43" s="7"/>
      <c r="F43" s="7"/>
      <c r="G43" s="1"/>
      <c r="H43" s="13" t="s">
        <v>193</v>
      </c>
      <c r="I43" s="13"/>
      <c r="J43" s="13"/>
      <c r="K43" s="13"/>
      <c r="L43" s="13"/>
      <c r="M43" s="13" t="s">
        <v>305</v>
      </c>
      <c r="N43" s="7"/>
    </row>
    <row r="44" spans="1:18" ht="15" thickBot="1">
      <c r="B44" s="4" t="s">
        <v>208</v>
      </c>
      <c r="C44" s="42">
        <v>3.7999999999999999E-2</v>
      </c>
      <c r="D44" s="4"/>
      <c r="E44" s="28" t="s">
        <v>519</v>
      </c>
      <c r="F44" s="28"/>
      <c r="G44" s="1"/>
      <c r="H44" s="49">
        <v>9</v>
      </c>
      <c r="I44" s="278"/>
      <c r="J44" s="278"/>
      <c r="K44" s="278"/>
      <c r="L44"/>
      <c r="M44" s="12">
        <f t="shared" ref="M44:M61" si="7">C44+H44*C44</f>
        <v>0.37999999999999995</v>
      </c>
      <c r="N44" s="28" t="s">
        <v>519</v>
      </c>
    </row>
    <row r="45" spans="1:18" ht="15.75" hidden="1" customHeight="1" thickBot="1">
      <c r="B45" s="4" t="s">
        <v>209</v>
      </c>
      <c r="C45" s="41" t="e">
        <f>0.1*#REF!</f>
        <v>#REF!</v>
      </c>
      <c r="D45" s="4"/>
      <c r="E45" s="28" t="s">
        <v>205</v>
      </c>
      <c r="F45" s="28"/>
      <c r="G45" s="110"/>
      <c r="H45" s="49">
        <v>9</v>
      </c>
      <c r="I45" s="278"/>
      <c r="J45" s="278"/>
      <c r="K45" s="278"/>
      <c r="L45"/>
      <c r="M45" s="12" t="e">
        <f t="shared" si="7"/>
        <v>#REF!</v>
      </c>
      <c r="N45" s="28" t="s">
        <v>519</v>
      </c>
    </row>
    <row r="46" spans="1:18" s="1" customFormat="1" ht="15" thickBot="1">
      <c r="A46"/>
      <c r="B46" s="4" t="s">
        <v>120</v>
      </c>
      <c r="C46" s="84">
        <v>0.21</v>
      </c>
      <c r="D46" s="4" t="s">
        <v>0</v>
      </c>
      <c r="E46" s="28" t="s">
        <v>520</v>
      </c>
      <c r="F46" s="28"/>
      <c r="H46" s="49">
        <v>0.9</v>
      </c>
      <c r="I46" s="278"/>
      <c r="J46" s="278"/>
      <c r="K46" s="278"/>
      <c r="L46"/>
      <c r="M46" s="12">
        <f t="shared" si="7"/>
        <v>0.39900000000000002</v>
      </c>
      <c r="N46" s="28" t="s">
        <v>520</v>
      </c>
      <c r="O46"/>
      <c r="P46"/>
      <c r="Q46"/>
      <c r="R46"/>
    </row>
    <row r="47" spans="1:18" s="1" customFormat="1" ht="15" thickBot="1">
      <c r="A47"/>
      <c r="B47" s="4" t="s">
        <v>117</v>
      </c>
      <c r="C47" s="42">
        <v>0.18</v>
      </c>
      <c r="D47" s="4"/>
      <c r="E47" s="28" t="s">
        <v>520</v>
      </c>
      <c r="F47" s="28"/>
      <c r="H47" s="49">
        <v>0.9</v>
      </c>
      <c r="I47" s="278"/>
      <c r="J47" s="278"/>
      <c r="K47" s="278"/>
      <c r="L47"/>
      <c r="M47" s="12">
        <f t="shared" si="7"/>
        <v>0.34199999999999997</v>
      </c>
      <c r="N47" s="28" t="s">
        <v>520</v>
      </c>
      <c r="O47"/>
      <c r="P47"/>
      <c r="Q47"/>
    </row>
    <row r="48" spans="1:18" ht="15" thickBot="1">
      <c r="B48" s="4" t="s">
        <v>49</v>
      </c>
      <c r="C48" s="42">
        <v>0.15</v>
      </c>
      <c r="D48" s="4"/>
      <c r="E48" s="28" t="s">
        <v>520</v>
      </c>
      <c r="F48" s="28"/>
      <c r="G48" s="1"/>
      <c r="H48" s="49">
        <v>0.9</v>
      </c>
      <c r="I48" s="278"/>
      <c r="J48" s="278"/>
      <c r="K48" s="278"/>
      <c r="L48"/>
      <c r="M48" s="12">
        <f t="shared" si="7"/>
        <v>0.28500000000000003</v>
      </c>
      <c r="N48" s="28" t="s">
        <v>520</v>
      </c>
    </row>
    <row r="49" spans="1:17" s="1" customFormat="1" ht="15" thickBot="1">
      <c r="A49"/>
      <c r="B49" s="4" t="s">
        <v>50</v>
      </c>
      <c r="C49" s="42">
        <v>0.25</v>
      </c>
      <c r="D49" s="4" t="s">
        <v>0</v>
      </c>
      <c r="E49" s="28" t="s">
        <v>520</v>
      </c>
      <c r="F49" s="28"/>
      <c r="H49" s="49">
        <v>0.9</v>
      </c>
      <c r="I49" s="278"/>
      <c r="J49" s="278"/>
      <c r="K49" s="278"/>
      <c r="L49"/>
      <c r="M49" s="12">
        <f t="shared" si="7"/>
        <v>0.47499999999999998</v>
      </c>
      <c r="N49" s="28" t="s">
        <v>520</v>
      </c>
      <c r="O49" t="s">
        <v>0</v>
      </c>
      <c r="P49"/>
      <c r="Q49"/>
    </row>
    <row r="50" spans="1:17" s="1" customFormat="1" ht="15.75" hidden="1" customHeight="1" thickBot="1">
      <c r="A50"/>
      <c r="B50" s="4" t="s">
        <v>118</v>
      </c>
      <c r="C50" s="42">
        <v>0.11</v>
      </c>
      <c r="D50" s="4"/>
      <c r="E50" s="28" t="s">
        <v>520</v>
      </c>
      <c r="F50" s="28"/>
      <c r="G50" s="110"/>
      <c r="H50" s="49">
        <v>0.8</v>
      </c>
      <c r="I50" s="278"/>
      <c r="J50" s="278"/>
      <c r="K50" s="278"/>
      <c r="L50"/>
      <c r="M50" s="12">
        <f t="shared" si="7"/>
        <v>0.19800000000000001</v>
      </c>
      <c r="N50" s="28" t="s">
        <v>520</v>
      </c>
      <c r="O50" t="s">
        <v>0</v>
      </c>
      <c r="P50"/>
      <c r="Q50"/>
    </row>
    <row r="51" spans="1:17" s="1" customFormat="1" ht="15" thickBot="1">
      <c r="A51"/>
      <c r="B51" s="4" t="s">
        <v>339</v>
      </c>
      <c r="C51" s="42">
        <v>0.27</v>
      </c>
      <c r="D51" s="4"/>
      <c r="E51" s="28" t="s">
        <v>520</v>
      </c>
      <c r="F51" s="28"/>
      <c r="G51" s="110"/>
      <c r="H51" s="49">
        <v>0.9</v>
      </c>
      <c r="I51" s="278"/>
      <c r="J51" s="278"/>
      <c r="K51" s="278"/>
      <c r="L51"/>
      <c r="M51" s="12">
        <f t="shared" si="7"/>
        <v>0.51300000000000001</v>
      </c>
      <c r="N51" s="28" t="s">
        <v>520</v>
      </c>
      <c r="O51" t="s">
        <v>0</v>
      </c>
      <c r="P51"/>
      <c r="Q51"/>
    </row>
    <row r="52" spans="1:17" s="1" customFormat="1" ht="15" thickBot="1">
      <c r="A52"/>
      <c r="B52" s="4" t="s">
        <v>51</v>
      </c>
      <c r="C52" s="42">
        <v>0.15</v>
      </c>
      <c r="D52" s="4"/>
      <c r="E52" s="28" t="s">
        <v>520</v>
      </c>
      <c r="F52" s="28"/>
      <c r="G52" s="110"/>
      <c r="H52" s="49">
        <v>0.9</v>
      </c>
      <c r="I52" s="278"/>
      <c r="J52" s="278"/>
      <c r="K52" s="278"/>
      <c r="L52"/>
      <c r="M52" s="12">
        <f t="shared" si="7"/>
        <v>0.28500000000000003</v>
      </c>
      <c r="N52" s="28" t="s">
        <v>520</v>
      </c>
      <c r="O52" t="s">
        <v>0</v>
      </c>
      <c r="P52"/>
      <c r="Q52"/>
    </row>
    <row r="53" spans="1:17" ht="15" thickBot="1">
      <c r="B53" s="4" t="s">
        <v>59</v>
      </c>
      <c r="C53" s="42">
        <v>0.14000000000000001</v>
      </c>
      <c r="D53" s="4"/>
      <c r="E53" s="28" t="s">
        <v>520</v>
      </c>
      <c r="F53" s="28"/>
      <c r="G53" s="110"/>
      <c r="H53" s="49">
        <v>0.9</v>
      </c>
      <c r="I53" s="278"/>
      <c r="J53" s="278"/>
      <c r="K53" s="278"/>
      <c r="L53"/>
      <c r="M53" s="162">
        <f t="shared" si="7"/>
        <v>0.26600000000000001</v>
      </c>
      <c r="N53" s="28" t="s">
        <v>520</v>
      </c>
    </row>
    <row r="54" spans="1:17" ht="15" thickBot="1">
      <c r="B54" s="4" t="s">
        <v>343</v>
      </c>
      <c r="C54" s="84">
        <v>0.79</v>
      </c>
      <c r="D54" s="4" t="s">
        <v>0</v>
      </c>
      <c r="E54" s="28" t="s">
        <v>520</v>
      </c>
      <c r="F54" s="28"/>
      <c r="G54" s="110"/>
      <c r="H54" s="49">
        <v>0.9</v>
      </c>
      <c r="I54" s="278"/>
      <c r="J54" s="278"/>
      <c r="K54" s="278"/>
      <c r="L54"/>
      <c r="M54" s="12">
        <f t="shared" si="7"/>
        <v>1.5010000000000001</v>
      </c>
      <c r="N54" s="28" t="s">
        <v>520</v>
      </c>
    </row>
    <row r="55" spans="1:17" ht="15" thickBot="1">
      <c r="B55" s="4" t="s">
        <v>344</v>
      </c>
      <c r="C55" s="84">
        <v>0.23</v>
      </c>
      <c r="D55" s="4"/>
      <c r="E55" s="28" t="s">
        <v>520</v>
      </c>
      <c r="F55" s="28"/>
      <c r="G55" s="110"/>
      <c r="H55" s="49">
        <v>0.9</v>
      </c>
      <c r="I55" s="278"/>
      <c r="J55" s="278"/>
      <c r="K55" s="278"/>
      <c r="L55"/>
      <c r="M55" s="12">
        <f t="shared" si="7"/>
        <v>0.43700000000000006</v>
      </c>
      <c r="N55" s="28" t="s">
        <v>520</v>
      </c>
    </row>
    <row r="56" spans="1:17" ht="15.75" hidden="1" customHeight="1" thickBot="1">
      <c r="B56" s="4" t="s">
        <v>119</v>
      </c>
      <c r="C56" s="42">
        <v>0.11</v>
      </c>
      <c r="D56" s="4"/>
      <c r="E56" s="28" t="s">
        <v>520</v>
      </c>
      <c r="F56" s="28"/>
      <c r="G56" s="110"/>
      <c r="H56" s="49">
        <v>0.8</v>
      </c>
      <c r="I56" s="278"/>
      <c r="J56" s="278"/>
      <c r="K56" s="278"/>
      <c r="L56"/>
      <c r="M56" s="12">
        <f t="shared" si="7"/>
        <v>0.19800000000000001</v>
      </c>
      <c r="N56" s="28"/>
    </row>
    <row r="57" spans="1:17" ht="15" thickBot="1">
      <c r="B57" s="4" t="s">
        <v>53</v>
      </c>
      <c r="C57" s="84">
        <v>0.17</v>
      </c>
      <c r="D57" s="4" t="s">
        <v>0</v>
      </c>
      <c r="E57" s="28" t="s">
        <v>520</v>
      </c>
      <c r="F57" s="28"/>
      <c r="G57" s="110"/>
      <c r="H57" s="49">
        <v>0.9</v>
      </c>
      <c r="I57" s="278"/>
      <c r="J57" s="278"/>
      <c r="K57" s="278"/>
      <c r="L57"/>
      <c r="M57" s="12">
        <f t="shared" si="7"/>
        <v>0.32300000000000006</v>
      </c>
      <c r="N57" s="28" t="s">
        <v>520</v>
      </c>
    </row>
    <row r="58" spans="1:17" ht="15.75" hidden="1" customHeight="1" thickBot="1">
      <c r="B58" s="4" t="s">
        <v>190</v>
      </c>
      <c r="C58" s="41" t="e">
        <f xml:space="preserve"> 0.693 *#REF!</f>
        <v>#REF!</v>
      </c>
      <c r="D58" s="4"/>
      <c r="E58" s="28" t="s">
        <v>205</v>
      </c>
      <c r="F58" s="28"/>
      <c r="G58" s="110"/>
      <c r="H58" s="49">
        <v>0.8</v>
      </c>
      <c r="I58" s="278"/>
      <c r="J58" s="278"/>
      <c r="K58" s="278"/>
      <c r="L58"/>
      <c r="M58" s="12" t="e">
        <f t="shared" si="7"/>
        <v>#REF!</v>
      </c>
      <c r="N58" s="28" t="s">
        <v>520</v>
      </c>
    </row>
    <row r="59" spans="1:17" ht="15.75" hidden="1" customHeight="1" thickBot="1">
      <c r="B59" s="4" t="s">
        <v>245</v>
      </c>
      <c r="C59" s="49" t="e">
        <f xml:space="preserve"> (1/6) *#REF!</f>
        <v>#REF!</v>
      </c>
      <c r="D59" s="4"/>
      <c r="E59" s="28" t="s">
        <v>246</v>
      </c>
      <c r="F59" s="28"/>
      <c r="G59" s="110"/>
      <c r="H59" s="49">
        <v>0.8</v>
      </c>
      <c r="I59" s="278"/>
      <c r="J59" s="278"/>
      <c r="K59" s="278"/>
      <c r="L59"/>
      <c r="M59" s="12" t="e">
        <f t="shared" si="7"/>
        <v>#REF!</v>
      </c>
      <c r="N59" s="28" t="s">
        <v>205</v>
      </c>
    </row>
    <row r="60" spans="1:17" ht="15" thickBot="1">
      <c r="B60" s="4" t="s">
        <v>66</v>
      </c>
      <c r="C60" s="42">
        <v>0.11</v>
      </c>
      <c r="D60" s="4"/>
      <c r="E60" s="28" t="s">
        <v>520</v>
      </c>
      <c r="F60" s="28"/>
      <c r="G60" s="110"/>
      <c r="H60" s="49">
        <v>0.9</v>
      </c>
      <c r="I60" s="278"/>
      <c r="J60" s="278"/>
      <c r="K60" s="278"/>
      <c r="L60"/>
      <c r="M60" s="162">
        <f t="shared" si="7"/>
        <v>0.20900000000000002</v>
      </c>
      <c r="N60" s="28" t="s">
        <v>520</v>
      </c>
    </row>
    <row r="61" spans="1:17" ht="15" thickBot="1">
      <c r="B61" s="4" t="s">
        <v>74</v>
      </c>
      <c r="C61" s="42">
        <v>0.11</v>
      </c>
      <c r="D61" s="4"/>
      <c r="E61" s="28" t="s">
        <v>520</v>
      </c>
      <c r="F61" s="28"/>
      <c r="G61" s="110"/>
      <c r="H61" s="49">
        <v>0.9</v>
      </c>
      <c r="I61" s="278"/>
      <c r="J61" s="278"/>
      <c r="K61" s="278"/>
      <c r="L61"/>
      <c r="M61" s="12">
        <f t="shared" si="7"/>
        <v>0.20900000000000002</v>
      </c>
      <c r="N61" s="28" t="s">
        <v>520</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topLeftCell="A28"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9"/>
    <col min="6" max="6" width="12.5" style="350"/>
    <col min="7" max="37" width="12.5" style="304"/>
    <col min="38" max="16384" width="12.5" style="5"/>
  </cols>
  <sheetData>
    <row r="1" spans="1:37">
      <c r="A1" s="273" t="s">
        <v>665</v>
      </c>
    </row>
    <row r="2" spans="1:37">
      <c r="A2" s="273" t="s">
        <v>638</v>
      </c>
    </row>
    <row r="3" spans="1:37">
      <c r="A3" s="273" t="s">
        <v>639</v>
      </c>
    </row>
    <row r="5" spans="1:37">
      <c r="A5" s="6" t="s">
        <v>184</v>
      </c>
    </row>
    <row r="6" spans="1:37">
      <c r="A6" s="6" t="s">
        <v>183</v>
      </c>
    </row>
    <row r="9" spans="1:37">
      <c r="AK9" s="305" t="s">
        <v>675</v>
      </c>
    </row>
    <row r="10" spans="1:37">
      <c r="B10" s="351" t="s">
        <v>5</v>
      </c>
      <c r="C10" s="351" t="s">
        <v>6</v>
      </c>
      <c r="D10" s="351" t="s">
        <v>7</v>
      </c>
      <c r="E10" s="351" t="s">
        <v>8</v>
      </c>
      <c r="F10" s="352" t="s">
        <v>9</v>
      </c>
      <c r="G10" s="305" t="s">
        <v>10</v>
      </c>
      <c r="H10" s="305" t="s">
        <v>11</v>
      </c>
      <c r="I10" s="305" t="s">
        <v>12</v>
      </c>
      <c r="J10" s="305" t="s">
        <v>13</v>
      </c>
      <c r="K10" s="305" t="s">
        <v>14</v>
      </c>
      <c r="L10" s="305" t="s">
        <v>15</v>
      </c>
      <c r="M10" s="305" t="s">
        <v>16</v>
      </c>
      <c r="N10" s="305" t="s">
        <v>17</v>
      </c>
      <c r="O10" s="305" t="s">
        <v>18</v>
      </c>
      <c r="P10" s="305" t="s">
        <v>19</v>
      </c>
      <c r="Q10" s="305" t="s">
        <v>20</v>
      </c>
      <c r="R10" s="305" t="s">
        <v>21</v>
      </c>
      <c r="S10" s="305" t="s">
        <v>22</v>
      </c>
      <c r="T10" s="305" t="s">
        <v>23</v>
      </c>
      <c r="U10" s="305" t="s">
        <v>24</v>
      </c>
      <c r="V10" s="305" t="s">
        <v>25</v>
      </c>
      <c r="W10" s="305" t="s">
        <v>26</v>
      </c>
      <c r="X10" s="305" t="s">
        <v>27</v>
      </c>
      <c r="Y10" s="305" t="s">
        <v>28</v>
      </c>
      <c r="Z10" s="305" t="s">
        <v>29</v>
      </c>
      <c r="AA10" s="305" t="s">
        <v>578</v>
      </c>
      <c r="AB10" s="305" t="s">
        <v>579</v>
      </c>
      <c r="AC10" s="305" t="s">
        <v>580</v>
      </c>
      <c r="AD10" s="305" t="s">
        <v>581</v>
      </c>
      <c r="AE10" s="305" t="s">
        <v>582</v>
      </c>
      <c r="AF10" s="305" t="s">
        <v>583</v>
      </c>
      <c r="AG10" s="305" t="s">
        <v>584</v>
      </c>
      <c r="AH10" s="305" t="s">
        <v>585</v>
      </c>
      <c r="AI10" s="305" t="s">
        <v>586</v>
      </c>
      <c r="AJ10" s="305" t="s">
        <v>587</v>
      </c>
      <c r="AK10" s="305">
        <v>2040</v>
      </c>
    </row>
    <row r="13" spans="1:37">
      <c r="A13" s="6" t="s">
        <v>182</v>
      </c>
    </row>
    <row r="14" spans="1:37">
      <c r="A14" s="6" t="s">
        <v>181</v>
      </c>
      <c r="B14" s="353">
        <v>5.1020002365112296</v>
      </c>
      <c r="C14" s="353">
        <v>5.0669999122619602</v>
      </c>
      <c r="D14" s="353">
        <v>4.9539995193481401</v>
      </c>
      <c r="E14" s="353">
        <v>5.3799490928649902</v>
      </c>
      <c r="F14" s="354">
        <v>5.6095256805419904</v>
      </c>
      <c r="G14" s="298">
        <v>5.6580000000000004</v>
      </c>
      <c r="H14" s="298">
        <v>6.4939989999999996</v>
      </c>
      <c r="I14" s="298">
        <v>7.7220000000000004</v>
      </c>
      <c r="J14" s="298">
        <v>8.5288000000000004</v>
      </c>
      <c r="K14" s="298">
        <v>9.0378019999999992</v>
      </c>
      <c r="L14" s="298">
        <v>9.5417810000000003</v>
      </c>
      <c r="M14" s="298">
        <v>9.5568039999999996</v>
      </c>
      <c r="N14" s="298">
        <v>9.5754859999999997</v>
      </c>
      <c r="O14" s="298">
        <v>9.6082459999999994</v>
      </c>
      <c r="P14" s="298">
        <v>9.5525409999999997</v>
      </c>
      <c r="Q14" s="298">
        <v>9.4165030000000005</v>
      </c>
      <c r="R14" s="298">
        <v>9.2888249999999992</v>
      </c>
      <c r="S14" s="298">
        <v>9.1907350000000001</v>
      </c>
      <c r="T14" s="298">
        <v>9.0728480000000005</v>
      </c>
      <c r="U14" s="298">
        <v>9.0041829999999994</v>
      </c>
      <c r="V14" s="298">
        <v>8.8329439999999995</v>
      </c>
      <c r="W14" s="298">
        <v>8.6696600000000004</v>
      </c>
      <c r="X14" s="298">
        <v>8.5159219999999998</v>
      </c>
      <c r="Y14" s="298">
        <v>8.3804160000000003</v>
      </c>
      <c r="Z14" s="298">
        <v>8.3047140000000006</v>
      </c>
      <c r="AA14" s="298">
        <v>8.1595440000000004</v>
      </c>
      <c r="AB14" s="298">
        <v>8.0727349999999998</v>
      </c>
      <c r="AC14" s="298">
        <v>8.0446790000000004</v>
      </c>
      <c r="AD14" s="298">
        <v>7.984591</v>
      </c>
      <c r="AE14" s="298">
        <v>7.8722690000000002</v>
      </c>
      <c r="AF14" s="298">
        <v>7.7546290000000004</v>
      </c>
      <c r="AG14" s="298">
        <v>7.6994870000000004</v>
      </c>
      <c r="AH14" s="298">
        <v>7.5588430000000004</v>
      </c>
      <c r="AI14" s="298">
        <v>7.5302829999999998</v>
      </c>
      <c r="AJ14" s="298">
        <v>7.4801669999999998</v>
      </c>
      <c r="AK14" s="299">
        <v>5.0000000000000001E-3</v>
      </c>
    </row>
    <row r="15" spans="1:37">
      <c r="A15" s="6" t="s">
        <v>180</v>
      </c>
      <c r="B15" s="353">
        <v>0.74099999666214</v>
      </c>
      <c r="C15" s="353">
        <v>0.71899998188018799</v>
      </c>
      <c r="D15" s="353">
        <v>0.68000000715255704</v>
      </c>
      <c r="E15" s="353">
        <v>0.73478877544403098</v>
      </c>
      <c r="F15" s="354">
        <v>0.68565064668655396</v>
      </c>
      <c r="G15" s="298">
        <v>0.57199999999999995</v>
      </c>
      <c r="H15" s="298">
        <v>0.53</v>
      </c>
      <c r="I15" s="298">
        <v>0.51</v>
      </c>
      <c r="J15" s="298">
        <v>0.4738</v>
      </c>
      <c r="K15" s="298">
        <v>0.462835</v>
      </c>
      <c r="L15" s="298">
        <v>0.46215800000000001</v>
      </c>
      <c r="M15" s="298">
        <v>0.46993800000000002</v>
      </c>
      <c r="N15" s="298">
        <v>0.47195500000000001</v>
      </c>
      <c r="O15" s="298">
        <v>0.45399899999999999</v>
      </c>
      <c r="P15" s="298">
        <v>0.43714199999999998</v>
      </c>
      <c r="Q15" s="298">
        <v>0.41283700000000001</v>
      </c>
      <c r="R15" s="298">
        <v>0.388714</v>
      </c>
      <c r="S15" s="298">
        <v>0.36631000000000002</v>
      </c>
      <c r="T15" s="298">
        <v>0.34568500000000002</v>
      </c>
      <c r="U15" s="298">
        <v>0.32666899999999999</v>
      </c>
      <c r="V15" s="298">
        <v>0.30766500000000002</v>
      </c>
      <c r="W15" s="298">
        <v>0.28877399999999998</v>
      </c>
      <c r="X15" s="298">
        <v>0.27134900000000001</v>
      </c>
      <c r="Y15" s="298">
        <v>0.25525500000000001</v>
      </c>
      <c r="Z15" s="298">
        <v>0.240371</v>
      </c>
      <c r="AA15" s="298">
        <v>0.22658700000000001</v>
      </c>
      <c r="AB15" s="298">
        <v>0.273065</v>
      </c>
      <c r="AC15" s="298">
        <v>0.34021099999999999</v>
      </c>
      <c r="AD15" s="298">
        <v>0.38843800000000001</v>
      </c>
      <c r="AE15" s="298">
        <v>0.378168</v>
      </c>
      <c r="AF15" s="298">
        <v>0.36859700000000001</v>
      </c>
      <c r="AG15" s="298">
        <v>0.35966500000000001</v>
      </c>
      <c r="AH15" s="298">
        <v>0.321691</v>
      </c>
      <c r="AI15" s="298">
        <v>0.28870200000000001</v>
      </c>
      <c r="AJ15" s="298">
        <v>0.25998700000000002</v>
      </c>
      <c r="AK15" s="299">
        <v>-2.5000000000000001E-2</v>
      </c>
    </row>
    <row r="16" spans="1:37">
      <c r="A16" s="6" t="s">
        <v>179</v>
      </c>
      <c r="B16" s="353">
        <v>4.3610000610351598</v>
      </c>
      <c r="C16" s="353">
        <v>4.34800004959106</v>
      </c>
      <c r="D16" s="353">
        <v>4.2739996910095197</v>
      </c>
      <c r="E16" s="353">
        <v>4.6451601982116699</v>
      </c>
      <c r="F16" s="354">
        <v>4.9238753318786603</v>
      </c>
      <c r="G16" s="298">
        <v>5.0860000000000003</v>
      </c>
      <c r="H16" s="298">
        <v>5.9640000000000004</v>
      </c>
      <c r="I16" s="298">
        <v>7.2119999999999997</v>
      </c>
      <c r="J16" s="298">
        <v>8.0549999999999997</v>
      </c>
      <c r="K16" s="298">
        <v>8.5749659999999999</v>
      </c>
      <c r="L16" s="298">
        <v>9.0796240000000008</v>
      </c>
      <c r="M16" s="298">
        <v>9.0868660000000006</v>
      </c>
      <c r="N16" s="298">
        <v>9.1035310000000003</v>
      </c>
      <c r="O16" s="298">
        <v>9.1542469999999998</v>
      </c>
      <c r="P16" s="298">
        <v>9.1153980000000008</v>
      </c>
      <c r="Q16" s="298">
        <v>9.0036670000000001</v>
      </c>
      <c r="R16" s="298">
        <v>8.9001110000000008</v>
      </c>
      <c r="S16" s="298">
        <v>8.8244249999999997</v>
      </c>
      <c r="T16" s="298">
        <v>8.7271629999999991</v>
      </c>
      <c r="U16" s="298">
        <v>8.6775140000000004</v>
      </c>
      <c r="V16" s="298">
        <v>8.5252789999999994</v>
      </c>
      <c r="W16" s="298">
        <v>8.3808860000000003</v>
      </c>
      <c r="X16" s="298">
        <v>8.2445730000000008</v>
      </c>
      <c r="Y16" s="298">
        <v>8.1251610000000003</v>
      </c>
      <c r="Z16" s="298">
        <v>8.0643429999999992</v>
      </c>
      <c r="AA16" s="298">
        <v>7.932957</v>
      </c>
      <c r="AB16" s="298">
        <v>7.7996699999999999</v>
      </c>
      <c r="AC16" s="298">
        <v>7.7044680000000003</v>
      </c>
      <c r="AD16" s="298">
        <v>7.5961540000000003</v>
      </c>
      <c r="AE16" s="298">
        <v>7.4941009999999997</v>
      </c>
      <c r="AF16" s="298">
        <v>7.3860330000000003</v>
      </c>
      <c r="AG16" s="298">
        <v>7.3398209999999997</v>
      </c>
      <c r="AH16" s="298">
        <v>7.2371509999999999</v>
      </c>
      <c r="AI16" s="298">
        <v>7.241581</v>
      </c>
      <c r="AJ16" s="298">
        <v>7.2201810000000002</v>
      </c>
      <c r="AK16" s="299">
        <v>7.0000000000000001E-3</v>
      </c>
    </row>
    <row r="17" spans="1:38">
      <c r="A17" s="6" t="s">
        <v>178</v>
      </c>
      <c r="B17" s="353">
        <v>10.093000411987299</v>
      </c>
      <c r="C17" s="353">
        <v>10.003999710083001</v>
      </c>
      <c r="D17" s="353">
        <v>9.7010002136230504</v>
      </c>
      <c r="E17" s="353">
        <v>8.9919996261596697</v>
      </c>
      <c r="F17" s="354">
        <v>8.3191394805908203</v>
      </c>
      <c r="G17" s="298">
        <v>8.8879999999999999</v>
      </c>
      <c r="H17" s="298">
        <v>8.4319989999999994</v>
      </c>
      <c r="I17" s="298">
        <v>7.3609999999999998</v>
      </c>
      <c r="J17" s="298">
        <v>6.452</v>
      </c>
      <c r="K17" s="298">
        <v>6.1656769999999996</v>
      </c>
      <c r="L17" s="298">
        <v>5.7677230000000002</v>
      </c>
      <c r="M17" s="298">
        <v>5.8143669999999998</v>
      </c>
      <c r="N17" s="298">
        <v>5.8087150000000003</v>
      </c>
      <c r="O17" s="298">
        <v>5.7589199999999998</v>
      </c>
      <c r="P17" s="298">
        <v>5.7870730000000004</v>
      </c>
      <c r="Q17" s="298">
        <v>5.8889449999999997</v>
      </c>
      <c r="R17" s="298">
        <v>5.9421790000000003</v>
      </c>
      <c r="S17" s="298">
        <v>5.9748789999999996</v>
      </c>
      <c r="T17" s="298">
        <v>6.0359290000000003</v>
      </c>
      <c r="U17" s="298">
        <v>6.0526869999999997</v>
      </c>
      <c r="V17" s="298">
        <v>6.1879960000000001</v>
      </c>
      <c r="W17" s="298">
        <v>6.3329610000000001</v>
      </c>
      <c r="X17" s="298">
        <v>6.455387</v>
      </c>
      <c r="Y17" s="298">
        <v>6.5668860000000002</v>
      </c>
      <c r="Z17" s="298">
        <v>6.635491</v>
      </c>
      <c r="AA17" s="298">
        <v>6.7795449999999997</v>
      </c>
      <c r="AB17" s="298">
        <v>6.8623289999999999</v>
      </c>
      <c r="AC17" s="298">
        <v>6.8977040000000001</v>
      </c>
      <c r="AD17" s="298">
        <v>6.9983430000000002</v>
      </c>
      <c r="AE17" s="298">
        <v>7.1493440000000001</v>
      </c>
      <c r="AF17" s="298">
        <v>7.303795</v>
      </c>
      <c r="AG17" s="298">
        <v>7.4063970000000001</v>
      </c>
      <c r="AH17" s="298">
        <v>7.6181229999999998</v>
      </c>
      <c r="AI17" s="298">
        <v>7.6624980000000003</v>
      </c>
      <c r="AJ17" s="298">
        <v>7.742801</v>
      </c>
      <c r="AK17" s="299">
        <v>-3.0000000000000001E-3</v>
      </c>
    </row>
    <row r="18" spans="1:38">
      <c r="A18" s="6" t="s">
        <v>177</v>
      </c>
      <c r="B18" s="353">
        <v>10.118000030517599</v>
      </c>
      <c r="C18" s="353">
        <v>10.0310001373291</v>
      </c>
      <c r="D18" s="353">
        <v>9.7280006408691406</v>
      </c>
      <c r="E18" s="353">
        <v>9.0190000534057599</v>
      </c>
      <c r="F18" s="354">
        <v>8.3490304946899396</v>
      </c>
      <c r="G18" s="298">
        <v>8.9350000000000005</v>
      </c>
      <c r="H18" s="298">
        <v>8.4920000000000009</v>
      </c>
      <c r="I18" s="298">
        <v>7.4809999999999999</v>
      </c>
      <c r="J18" s="298">
        <v>6.585</v>
      </c>
      <c r="K18" s="298">
        <v>6.3116139999999996</v>
      </c>
      <c r="L18" s="298">
        <v>5.9214209999999996</v>
      </c>
      <c r="M18" s="298">
        <v>5.9680070000000001</v>
      </c>
      <c r="N18" s="298">
        <v>5.9630130000000001</v>
      </c>
      <c r="O18" s="298">
        <v>5.9123679999999998</v>
      </c>
      <c r="P18" s="298">
        <v>5.9393659999999997</v>
      </c>
      <c r="Q18" s="298">
        <v>6.0361729999999998</v>
      </c>
      <c r="R18" s="298">
        <v>6.0801559999999997</v>
      </c>
      <c r="S18" s="298">
        <v>6.1090929999999997</v>
      </c>
      <c r="T18" s="298">
        <v>6.1684799999999997</v>
      </c>
      <c r="U18" s="298">
        <v>6.1836919999999997</v>
      </c>
      <c r="V18" s="298">
        <v>6.31792</v>
      </c>
      <c r="W18" s="298">
        <v>6.4623739999999996</v>
      </c>
      <c r="X18" s="298">
        <v>6.5838710000000003</v>
      </c>
      <c r="Y18" s="298">
        <v>6.6953279999999999</v>
      </c>
      <c r="Z18" s="298">
        <v>6.7654339999999999</v>
      </c>
      <c r="AA18" s="298">
        <v>6.9090009999999999</v>
      </c>
      <c r="AB18" s="298">
        <v>6.9898129999999998</v>
      </c>
      <c r="AC18" s="298">
        <v>7.0234620000000003</v>
      </c>
      <c r="AD18" s="298">
        <v>7.1230440000000002</v>
      </c>
      <c r="AE18" s="298">
        <v>7.2727890000000004</v>
      </c>
      <c r="AF18" s="298">
        <v>7.4277439999999997</v>
      </c>
      <c r="AG18" s="298">
        <v>7.5305350000000004</v>
      </c>
      <c r="AH18" s="298">
        <v>7.7422449999999996</v>
      </c>
      <c r="AI18" s="298">
        <v>7.7863189999999998</v>
      </c>
      <c r="AJ18" s="298">
        <v>7.866511</v>
      </c>
      <c r="AK18" s="299">
        <v>-3.0000000000000001E-3</v>
      </c>
    </row>
    <row r="19" spans="1:38">
      <c r="A19" s="6" t="s">
        <v>168</v>
      </c>
      <c r="B19" s="353">
        <v>2.5000000372528999E-2</v>
      </c>
      <c r="C19" s="353">
        <v>2.70000007003546E-2</v>
      </c>
      <c r="D19" s="353">
        <v>2.70000007003546E-2</v>
      </c>
      <c r="E19" s="353">
        <v>2.70000007003546E-2</v>
      </c>
      <c r="F19" s="354">
        <v>2.9890902340412102E-2</v>
      </c>
      <c r="G19" s="298">
        <v>4.7E-2</v>
      </c>
      <c r="H19" s="298">
        <v>0.06</v>
      </c>
      <c r="I19" s="298">
        <v>0.12</v>
      </c>
      <c r="J19" s="298">
        <v>0.13300000000000001</v>
      </c>
      <c r="K19" s="298">
        <v>0.14593700000000001</v>
      </c>
      <c r="L19" s="298">
        <v>0.153697</v>
      </c>
      <c r="M19" s="298">
        <v>0.15364</v>
      </c>
      <c r="N19" s="298">
        <v>0.15429799999999999</v>
      </c>
      <c r="O19" s="298">
        <v>0.153447</v>
      </c>
      <c r="P19" s="298">
        <v>0.15229300000000001</v>
      </c>
      <c r="Q19" s="298">
        <v>0.147228</v>
      </c>
      <c r="R19" s="298">
        <v>0.13797699999999999</v>
      </c>
      <c r="S19" s="298">
        <v>0.134215</v>
      </c>
      <c r="T19" s="298">
        <v>0.132551</v>
      </c>
      <c r="U19" s="298">
        <v>0.13100500000000001</v>
      </c>
      <c r="V19" s="298">
        <v>0.12992400000000001</v>
      </c>
      <c r="W19" s="298">
        <v>0.129414</v>
      </c>
      <c r="X19" s="298">
        <v>0.12848499999999999</v>
      </c>
      <c r="Y19" s="298">
        <v>0.128441</v>
      </c>
      <c r="Z19" s="298">
        <v>0.129943</v>
      </c>
      <c r="AA19" s="298">
        <v>0.12945599999999999</v>
      </c>
      <c r="AB19" s="298">
        <v>0.12748399999999999</v>
      </c>
      <c r="AC19" s="298">
        <v>0.12575900000000001</v>
      </c>
      <c r="AD19" s="298">
        <v>0.12470100000000001</v>
      </c>
      <c r="AE19" s="298">
        <v>0.123445</v>
      </c>
      <c r="AF19" s="298">
        <v>0.123949</v>
      </c>
      <c r="AG19" s="298">
        <v>0.124137</v>
      </c>
      <c r="AH19" s="298">
        <v>0.124122</v>
      </c>
      <c r="AI19" s="298">
        <v>0.123821</v>
      </c>
      <c r="AJ19" s="298">
        <v>0.12371</v>
      </c>
      <c r="AK19" s="299">
        <v>2.5999999999999999E-2</v>
      </c>
    </row>
    <row r="20" spans="1:38">
      <c r="A20" s="6" t="s">
        <v>176</v>
      </c>
      <c r="B20" s="353">
        <v>4.80000004172325E-2</v>
      </c>
      <c r="C20" s="353">
        <v>8.79999995231628E-2</v>
      </c>
      <c r="D20" s="353">
        <v>-2.9999997466802601E-2</v>
      </c>
      <c r="E20" s="353">
        <v>1.9999999552965199E-2</v>
      </c>
      <c r="F20" s="354">
        <v>0</v>
      </c>
      <c r="G20" s="298">
        <v>0.26600000000000001</v>
      </c>
      <c r="H20" s="298">
        <v>8.6999999999999994E-2</v>
      </c>
      <c r="I20" s="298">
        <v>0.23400000000000001</v>
      </c>
      <c r="J20" s="298">
        <v>0.161</v>
      </c>
      <c r="K20" s="298">
        <v>0</v>
      </c>
      <c r="L20" s="298">
        <v>0</v>
      </c>
      <c r="M20" s="298">
        <v>0</v>
      </c>
      <c r="N20" s="298">
        <v>0</v>
      </c>
      <c r="O20" s="298">
        <v>0</v>
      </c>
      <c r="P20" s="298">
        <v>0</v>
      </c>
      <c r="Q20" s="298">
        <v>0</v>
      </c>
      <c r="R20" s="298">
        <v>0</v>
      </c>
      <c r="S20" s="298">
        <v>0</v>
      </c>
      <c r="T20" s="298">
        <v>0</v>
      </c>
      <c r="U20" s="298">
        <v>0</v>
      </c>
      <c r="V20" s="298">
        <v>0</v>
      </c>
      <c r="W20" s="298">
        <v>0</v>
      </c>
      <c r="X20" s="298">
        <v>0</v>
      </c>
      <c r="Y20" s="298">
        <v>0</v>
      </c>
      <c r="Z20" s="298">
        <v>0</v>
      </c>
      <c r="AA20" s="298">
        <v>0</v>
      </c>
      <c r="AB20" s="298">
        <v>0</v>
      </c>
      <c r="AC20" s="298">
        <v>0</v>
      </c>
      <c r="AD20" s="298">
        <v>0</v>
      </c>
      <c r="AE20" s="298">
        <v>0</v>
      </c>
      <c r="AF20" s="298">
        <v>0</v>
      </c>
      <c r="AG20" s="298">
        <v>0</v>
      </c>
      <c r="AH20" s="298">
        <v>0</v>
      </c>
      <c r="AI20" s="298">
        <v>0</v>
      </c>
      <c r="AJ20" s="298">
        <v>0</v>
      </c>
      <c r="AK20" s="298" t="s">
        <v>39</v>
      </c>
    </row>
    <row r="21" spans="1:38">
      <c r="A21" s="6" t="s">
        <v>175</v>
      </c>
      <c r="B21" s="353">
        <v>15.2430009841919</v>
      </c>
      <c r="C21" s="353">
        <v>15.158999443054199</v>
      </c>
      <c r="D21" s="353">
        <v>14.625</v>
      </c>
      <c r="E21" s="353">
        <v>14.3919486999512</v>
      </c>
      <c r="F21" s="354">
        <v>13.9286651611328</v>
      </c>
      <c r="G21" s="249">
        <v>14.811999999999999</v>
      </c>
      <c r="H21" s="249">
        <v>15.012999000000001</v>
      </c>
      <c r="I21" s="249">
        <v>15.317</v>
      </c>
      <c r="J21" s="249">
        <v>15.141800999999999</v>
      </c>
      <c r="K21" s="249">
        <v>15.203478</v>
      </c>
      <c r="L21" s="249">
        <v>15.309505</v>
      </c>
      <c r="M21" s="249">
        <v>15.371171</v>
      </c>
      <c r="N21" s="249">
        <v>15.384200999999999</v>
      </c>
      <c r="O21" s="249">
        <v>15.367167</v>
      </c>
      <c r="P21" s="249">
        <v>15.339613999999999</v>
      </c>
      <c r="Q21" s="249">
        <v>15.305448999999999</v>
      </c>
      <c r="R21" s="249">
        <v>15.231005</v>
      </c>
      <c r="S21" s="249">
        <v>15.165613</v>
      </c>
      <c r="T21" s="249">
        <v>15.108777</v>
      </c>
      <c r="U21" s="249">
        <v>15.05687</v>
      </c>
      <c r="V21" s="249">
        <v>15.020941000000001</v>
      </c>
      <c r="W21" s="249">
        <v>15.002621</v>
      </c>
      <c r="X21" s="249">
        <v>14.971308000000001</v>
      </c>
      <c r="Y21" s="249">
        <v>14.947302000000001</v>
      </c>
      <c r="Z21" s="249">
        <v>14.940206</v>
      </c>
      <c r="AA21" s="249">
        <v>14.939088999999999</v>
      </c>
      <c r="AB21" s="249">
        <v>14.935063</v>
      </c>
      <c r="AC21" s="249">
        <v>14.942383</v>
      </c>
      <c r="AD21" s="249">
        <v>14.982934999999999</v>
      </c>
      <c r="AE21" s="249">
        <v>15.021611999999999</v>
      </c>
      <c r="AF21" s="249">
        <v>15.058424</v>
      </c>
      <c r="AG21" s="249">
        <v>15.105885000000001</v>
      </c>
      <c r="AH21" s="249">
        <v>15.176966</v>
      </c>
      <c r="AI21" s="249">
        <v>15.192781</v>
      </c>
      <c r="AJ21" s="249">
        <v>15.222968</v>
      </c>
      <c r="AK21" s="250">
        <v>0</v>
      </c>
    </row>
    <row r="23" spans="1:38">
      <c r="A23" s="6" t="s">
        <v>174</v>
      </c>
    </row>
    <row r="24" spans="1:38" s="252" customFormat="1">
      <c r="A24" s="251" t="s">
        <v>173</v>
      </c>
      <c r="B24" s="353">
        <v>1.7380001544952399</v>
      </c>
      <c r="C24" s="353">
        <v>1.7829999923706099</v>
      </c>
      <c r="D24" s="353">
        <v>1.82499992847443</v>
      </c>
      <c r="E24" s="353">
        <v>1.81299996376038</v>
      </c>
      <c r="F24" s="354">
        <v>1.86609554290771</v>
      </c>
      <c r="G24" s="300">
        <v>2.2160000000000002</v>
      </c>
      <c r="H24" s="300">
        <v>2.4</v>
      </c>
      <c r="I24" s="300">
        <v>2.4900000000000002</v>
      </c>
      <c r="J24" s="300">
        <v>2.5089999999999999</v>
      </c>
      <c r="K24" s="300">
        <v>2.5561180000000001</v>
      </c>
      <c r="L24" s="300">
        <v>2.6337290000000002</v>
      </c>
      <c r="M24" s="300">
        <v>2.6633930000000001</v>
      </c>
      <c r="N24" s="300">
        <v>2.6705079999999999</v>
      </c>
      <c r="O24" s="300">
        <v>2.669905</v>
      </c>
      <c r="P24" s="300">
        <v>2.6458759999999999</v>
      </c>
      <c r="Q24" s="300">
        <v>2.60798</v>
      </c>
      <c r="R24" s="300">
        <v>2.7045080000000001</v>
      </c>
      <c r="S24" s="300">
        <v>2.7930269999999999</v>
      </c>
      <c r="T24" s="300">
        <v>2.8390249999999999</v>
      </c>
      <c r="U24" s="300">
        <v>2.8728980000000002</v>
      </c>
      <c r="V24" s="300">
        <v>2.9033150000000001</v>
      </c>
      <c r="W24" s="300">
        <v>2.9228930000000002</v>
      </c>
      <c r="X24" s="300">
        <v>2.9406509999999999</v>
      </c>
      <c r="Y24" s="300">
        <v>2.9505080000000001</v>
      </c>
      <c r="Z24" s="300">
        <v>2.978853</v>
      </c>
      <c r="AA24" s="300">
        <v>3.0103460000000002</v>
      </c>
      <c r="AB24" s="300">
        <v>3.0288490000000001</v>
      </c>
      <c r="AC24" s="300">
        <v>3.0383969999999998</v>
      </c>
      <c r="AD24" s="300">
        <v>3.0546120000000001</v>
      </c>
      <c r="AE24" s="300">
        <v>3.0492400000000002</v>
      </c>
      <c r="AF24" s="300">
        <v>3.0289980000000001</v>
      </c>
      <c r="AG24" s="300">
        <v>3.058621</v>
      </c>
      <c r="AH24" s="300">
        <v>3.037477</v>
      </c>
      <c r="AI24" s="300">
        <v>3.013617</v>
      </c>
      <c r="AJ24" s="300">
        <v>2.983552</v>
      </c>
      <c r="AK24" s="301">
        <v>8.0000000000000002E-3</v>
      </c>
    </row>
    <row r="25" spans="1:38">
      <c r="A25" s="6" t="s">
        <v>172</v>
      </c>
      <c r="B25" s="353">
        <v>2.3140001296997101</v>
      </c>
      <c r="C25" s="353">
        <v>2.0869998931884801</v>
      </c>
      <c r="D25" s="353">
        <v>1.29999995231628</v>
      </c>
      <c r="E25" s="353">
        <v>1.3280000686645499</v>
      </c>
      <c r="F25" s="354">
        <v>1.6039888858795199</v>
      </c>
      <c r="G25" s="298">
        <v>-0.252</v>
      </c>
      <c r="H25" s="298">
        <v>-0.91600000000000004</v>
      </c>
      <c r="I25" s="298">
        <v>-0.98799999999999999</v>
      </c>
      <c r="J25" s="298">
        <v>-1.0289999999999999</v>
      </c>
      <c r="K25" s="298">
        <v>-0.96462499999999995</v>
      </c>
      <c r="L25" s="298">
        <v>-0.94448699999999997</v>
      </c>
      <c r="M25" s="298">
        <v>-0.93183700000000003</v>
      </c>
      <c r="N25" s="298">
        <v>-0.91123600000000005</v>
      </c>
      <c r="O25" s="298">
        <v>-0.88706300000000005</v>
      </c>
      <c r="P25" s="298">
        <v>-0.85573100000000002</v>
      </c>
      <c r="Q25" s="298">
        <v>-0.83163799999999999</v>
      </c>
      <c r="R25" s="298">
        <v>-0.89107099999999995</v>
      </c>
      <c r="S25" s="298">
        <v>-0.94251600000000002</v>
      </c>
      <c r="T25" s="298">
        <v>-0.97565599999999997</v>
      </c>
      <c r="U25" s="298">
        <v>-1.0068220000000001</v>
      </c>
      <c r="V25" s="298">
        <v>-1.068271</v>
      </c>
      <c r="W25" s="298">
        <v>-1.122708</v>
      </c>
      <c r="X25" s="298">
        <v>-1.1588719999999999</v>
      </c>
      <c r="Y25" s="298">
        <v>-1.2142729999999999</v>
      </c>
      <c r="Z25" s="298">
        <v>-1.293569</v>
      </c>
      <c r="AA25" s="298">
        <v>-1.3683129999999999</v>
      </c>
      <c r="AB25" s="298">
        <v>-1.4270320000000001</v>
      </c>
      <c r="AC25" s="298">
        <v>-1.482378</v>
      </c>
      <c r="AD25" s="298">
        <v>-1.563064</v>
      </c>
      <c r="AE25" s="298">
        <v>-1.613156</v>
      </c>
      <c r="AF25" s="298">
        <v>-1.650264</v>
      </c>
      <c r="AG25" s="298">
        <v>-1.716191</v>
      </c>
      <c r="AH25" s="298">
        <v>-1.7615620000000001</v>
      </c>
      <c r="AI25" s="298">
        <v>-1.7771790000000001</v>
      </c>
      <c r="AJ25" s="298">
        <v>-1.816797</v>
      </c>
      <c r="AK25" s="299">
        <v>2.5000000000000001E-2</v>
      </c>
    </row>
    <row r="26" spans="1:38">
      <c r="A26" s="6" t="s">
        <v>171</v>
      </c>
      <c r="B26" s="353">
        <v>2.1710000038146999</v>
      </c>
      <c r="C26" s="353">
        <v>1.93800008296967</v>
      </c>
      <c r="D26" s="353">
        <v>1.0240000486373899</v>
      </c>
      <c r="E26" s="353">
        <v>1.06200003623962</v>
      </c>
      <c r="F26" s="354">
        <v>1.54514491558075</v>
      </c>
      <c r="G26" s="298">
        <v>1.151</v>
      </c>
      <c r="H26" s="298">
        <v>0.84799999999999998</v>
      </c>
      <c r="I26" s="298">
        <v>0.70899999999999996</v>
      </c>
      <c r="J26" s="298">
        <v>0.72</v>
      </c>
      <c r="K26" s="298">
        <v>0.81863200000000003</v>
      </c>
      <c r="L26" s="298">
        <v>0.88173000000000001</v>
      </c>
      <c r="M26" s="298">
        <v>0.906914</v>
      </c>
      <c r="N26" s="298">
        <v>0.93180099999999999</v>
      </c>
      <c r="O26" s="298">
        <v>0.95816500000000004</v>
      </c>
      <c r="P26" s="298">
        <v>0.97589599999999999</v>
      </c>
      <c r="Q26" s="298">
        <v>0.98990599999999995</v>
      </c>
      <c r="R26" s="298">
        <v>1.006778</v>
      </c>
      <c r="S26" s="298">
        <v>1.0199199999999999</v>
      </c>
      <c r="T26" s="298">
        <v>1.03091</v>
      </c>
      <c r="U26" s="298">
        <v>1.05515</v>
      </c>
      <c r="V26" s="298">
        <v>1.0587679999999999</v>
      </c>
      <c r="W26" s="298">
        <v>1.0657570000000001</v>
      </c>
      <c r="X26" s="298">
        <v>1.0659179999999999</v>
      </c>
      <c r="Y26" s="298">
        <v>1.061431</v>
      </c>
      <c r="Z26" s="298">
        <v>1.0560160000000001</v>
      </c>
      <c r="AA26" s="298">
        <v>1.05697</v>
      </c>
      <c r="AB26" s="298">
        <v>1.0702149999999999</v>
      </c>
      <c r="AC26" s="298">
        <v>1.072165</v>
      </c>
      <c r="AD26" s="298">
        <v>1.0766100000000001</v>
      </c>
      <c r="AE26" s="298">
        <v>1.0822270000000001</v>
      </c>
      <c r="AF26" s="298">
        <v>1.093154</v>
      </c>
      <c r="AG26" s="298">
        <v>1.095712</v>
      </c>
      <c r="AH26" s="298">
        <v>1.0972550000000001</v>
      </c>
      <c r="AI26" s="298">
        <v>1.1087450000000001</v>
      </c>
      <c r="AJ26" s="298">
        <v>1.0974060000000001</v>
      </c>
      <c r="AK26" s="299">
        <v>8.9999999999999993E-3</v>
      </c>
    </row>
    <row r="27" spans="1:38">
      <c r="A27" s="6" t="s">
        <v>170</v>
      </c>
      <c r="B27" s="353">
        <v>0.68900001049041704</v>
      </c>
      <c r="C27" s="353">
        <v>0.71700000762939498</v>
      </c>
      <c r="D27" s="353">
        <v>0.60663330554962203</v>
      </c>
      <c r="E27" s="353">
        <v>0.60996818542480502</v>
      </c>
      <c r="F27" s="354">
        <v>0.60277581214904796</v>
      </c>
      <c r="G27" s="298">
        <v>0.68700000000000006</v>
      </c>
      <c r="H27" s="298">
        <v>0.60299999999999998</v>
      </c>
      <c r="I27" s="298">
        <v>0.58599999999999997</v>
      </c>
      <c r="J27" s="298">
        <v>0.54400000000000004</v>
      </c>
      <c r="K27" s="298">
        <v>0.540385</v>
      </c>
      <c r="L27" s="298">
        <v>0.53676900000000005</v>
      </c>
      <c r="M27" s="298">
        <v>0.53315299999999999</v>
      </c>
      <c r="N27" s="298">
        <v>0.52953899999999998</v>
      </c>
      <c r="O27" s="298">
        <v>0.52592300000000003</v>
      </c>
      <c r="P27" s="298">
        <v>0.52230699999999997</v>
      </c>
      <c r="Q27" s="298">
        <v>0.51869299999999996</v>
      </c>
      <c r="R27" s="298">
        <v>0.51507700000000001</v>
      </c>
      <c r="S27" s="298">
        <v>0.51146100000000005</v>
      </c>
      <c r="T27" s="298">
        <v>0.50784600000000002</v>
      </c>
      <c r="U27" s="298">
        <v>0.50423099999999998</v>
      </c>
      <c r="V27" s="298">
        <v>0.50061500000000003</v>
      </c>
      <c r="W27" s="298">
        <v>0.497</v>
      </c>
      <c r="X27" s="298">
        <v>0.49338500000000002</v>
      </c>
      <c r="Y27" s="298">
        <v>0.48976900000000001</v>
      </c>
      <c r="Z27" s="298">
        <v>0.48615399999999998</v>
      </c>
      <c r="AA27" s="298">
        <v>0.48253800000000002</v>
      </c>
      <c r="AB27" s="298">
        <v>0.47892299999999999</v>
      </c>
      <c r="AC27" s="298">
        <v>0.47530800000000001</v>
      </c>
      <c r="AD27" s="298">
        <v>0.471692</v>
      </c>
      <c r="AE27" s="298">
        <v>0.46807700000000002</v>
      </c>
      <c r="AF27" s="298">
        <v>0.46446199999999999</v>
      </c>
      <c r="AG27" s="298">
        <v>0.46084599999999998</v>
      </c>
      <c r="AH27" s="298">
        <v>0.45723000000000003</v>
      </c>
      <c r="AI27" s="298">
        <v>0.45361600000000002</v>
      </c>
      <c r="AJ27" s="298">
        <v>0.45</v>
      </c>
      <c r="AK27" s="299">
        <v>-0.01</v>
      </c>
    </row>
    <row r="28" spans="1:38">
      <c r="A28" s="6" t="s">
        <v>169</v>
      </c>
      <c r="B28" s="353">
        <v>0.67700004577636697</v>
      </c>
      <c r="C28" s="353">
        <v>0.75300002098083496</v>
      </c>
      <c r="D28" s="353">
        <v>0.73199999332428001</v>
      </c>
      <c r="E28" s="353">
        <v>0.71799999475479104</v>
      </c>
      <c r="F28" s="354">
        <v>0.62520116567611705</v>
      </c>
      <c r="G28" s="298">
        <v>0.71799999999999997</v>
      </c>
      <c r="H28" s="298">
        <v>0.61599999999999999</v>
      </c>
      <c r="I28" s="298">
        <v>0.61</v>
      </c>
      <c r="J28" s="298">
        <v>0.6</v>
      </c>
      <c r="K28" s="298">
        <v>0.67105999999999999</v>
      </c>
      <c r="L28" s="298">
        <v>0.66229499999999997</v>
      </c>
      <c r="M28" s="298">
        <v>0.65169100000000002</v>
      </c>
      <c r="N28" s="298">
        <v>0.64020900000000003</v>
      </c>
      <c r="O28" s="298">
        <v>0.62541100000000005</v>
      </c>
      <c r="P28" s="298">
        <v>0.61513700000000004</v>
      </c>
      <c r="Q28" s="298">
        <v>0.606742</v>
      </c>
      <c r="R28" s="298">
        <v>0.595522</v>
      </c>
      <c r="S28" s="298">
        <v>0.58620099999999997</v>
      </c>
      <c r="T28" s="298">
        <v>0.57591400000000004</v>
      </c>
      <c r="U28" s="298">
        <v>0.55055799999999999</v>
      </c>
      <c r="V28" s="298">
        <v>0.53803599999999996</v>
      </c>
      <c r="W28" s="298">
        <v>0.524864</v>
      </c>
      <c r="X28" s="298">
        <v>0.51505000000000001</v>
      </c>
      <c r="Y28" s="298">
        <v>0.50508799999999998</v>
      </c>
      <c r="Z28" s="298">
        <v>0.49612200000000001</v>
      </c>
      <c r="AA28" s="298">
        <v>0.48664200000000002</v>
      </c>
      <c r="AB28" s="298">
        <v>0.47747699999999998</v>
      </c>
      <c r="AC28" s="298">
        <v>0.46830300000000002</v>
      </c>
      <c r="AD28" s="298">
        <v>0.45679599999999998</v>
      </c>
      <c r="AE28" s="298">
        <v>0.44836500000000001</v>
      </c>
      <c r="AF28" s="298">
        <v>0.43787900000000002</v>
      </c>
      <c r="AG28" s="298">
        <v>0.42837799999999998</v>
      </c>
      <c r="AH28" s="298">
        <v>0.41841600000000001</v>
      </c>
      <c r="AI28" s="298">
        <v>0.40845399999999998</v>
      </c>
      <c r="AJ28" s="298">
        <v>0.39849099999999998</v>
      </c>
      <c r="AK28" s="299">
        <v>-1.4999999999999999E-2</v>
      </c>
    </row>
    <row r="29" spans="1:38">
      <c r="A29" s="6" t="s">
        <v>168</v>
      </c>
      <c r="B29" s="353">
        <v>1.2150000333786</v>
      </c>
      <c r="C29" s="353">
        <v>1.32100009918213</v>
      </c>
      <c r="D29" s="353">
        <v>1.2150000333786</v>
      </c>
      <c r="E29" s="353">
        <v>1.2150000333786</v>
      </c>
      <c r="F29" s="354">
        <v>1.16913342475891</v>
      </c>
      <c r="G29" s="298">
        <v>2.8079999999999998</v>
      </c>
      <c r="H29" s="298">
        <v>2.9830000000000001</v>
      </c>
      <c r="I29" s="298">
        <v>2.8929999999999998</v>
      </c>
      <c r="J29" s="298">
        <v>2.8929999999999998</v>
      </c>
      <c r="K29" s="298">
        <v>2.9947010000000001</v>
      </c>
      <c r="L29" s="298">
        <v>3.0252810000000001</v>
      </c>
      <c r="M29" s="298">
        <v>3.023596</v>
      </c>
      <c r="N29" s="298">
        <v>3.0127839999999999</v>
      </c>
      <c r="O29" s="298">
        <v>2.9965619999999999</v>
      </c>
      <c r="P29" s="298">
        <v>2.9690720000000002</v>
      </c>
      <c r="Q29" s="298">
        <v>2.9469789999999998</v>
      </c>
      <c r="R29" s="298">
        <v>3.0084490000000002</v>
      </c>
      <c r="S29" s="298">
        <v>3.0600990000000001</v>
      </c>
      <c r="T29" s="298">
        <v>3.090325</v>
      </c>
      <c r="U29" s="298">
        <v>3.1167609999999999</v>
      </c>
      <c r="V29" s="298">
        <v>3.1656900000000001</v>
      </c>
      <c r="W29" s="298">
        <v>3.2103290000000002</v>
      </c>
      <c r="X29" s="298">
        <v>3.2332260000000002</v>
      </c>
      <c r="Y29" s="298">
        <v>3.2705609999999998</v>
      </c>
      <c r="Z29" s="298">
        <v>3.331861</v>
      </c>
      <c r="AA29" s="298">
        <v>3.3944640000000001</v>
      </c>
      <c r="AB29" s="298">
        <v>3.4536470000000001</v>
      </c>
      <c r="AC29" s="298">
        <v>3.498154</v>
      </c>
      <c r="AD29" s="298">
        <v>3.5681620000000001</v>
      </c>
      <c r="AE29" s="298">
        <v>3.6118250000000001</v>
      </c>
      <c r="AF29" s="298">
        <v>3.6457579999999998</v>
      </c>
      <c r="AG29" s="298">
        <v>3.7011270000000001</v>
      </c>
      <c r="AH29" s="298">
        <v>3.7344629999999999</v>
      </c>
      <c r="AI29" s="298">
        <v>3.7479930000000001</v>
      </c>
      <c r="AJ29" s="298">
        <v>3.7626949999999999</v>
      </c>
      <c r="AK29" s="299">
        <v>8.0000000000000002E-3</v>
      </c>
    </row>
    <row r="30" spans="1:38">
      <c r="A30" s="6" t="s">
        <v>167</v>
      </c>
      <c r="B30" s="353">
        <v>0.99400001764297496</v>
      </c>
      <c r="C30" s="353">
        <v>0.99599999189376798</v>
      </c>
      <c r="D30" s="353">
        <v>0.99699997901916504</v>
      </c>
      <c r="E30" s="353">
        <v>0.97899997234344505</v>
      </c>
      <c r="F30" s="354">
        <v>0.97222220897674605</v>
      </c>
      <c r="G30" s="298">
        <v>1.0760000000000001</v>
      </c>
      <c r="H30" s="298">
        <v>1.077</v>
      </c>
      <c r="I30" s="298">
        <v>1.0620000000000001</v>
      </c>
      <c r="J30" s="298">
        <v>1.0549999999999999</v>
      </c>
      <c r="K30" s="298">
        <v>1.1173770000000001</v>
      </c>
      <c r="L30" s="298">
        <v>1.107977</v>
      </c>
      <c r="M30" s="298">
        <v>1.1068800000000001</v>
      </c>
      <c r="N30" s="298">
        <v>1.1013949999999999</v>
      </c>
      <c r="O30" s="298">
        <v>1.0899559999999999</v>
      </c>
      <c r="P30" s="298">
        <v>1.0810919999999999</v>
      </c>
      <c r="Q30" s="298">
        <v>1.070587</v>
      </c>
      <c r="R30" s="298">
        <v>1.0513539999999999</v>
      </c>
      <c r="S30" s="298">
        <v>1.032008</v>
      </c>
      <c r="T30" s="298">
        <v>1.0139609999999999</v>
      </c>
      <c r="U30" s="298">
        <v>0.99733000000000005</v>
      </c>
      <c r="V30" s="298">
        <v>0.98163100000000003</v>
      </c>
      <c r="W30" s="298">
        <v>0.97328499999999996</v>
      </c>
      <c r="X30" s="298">
        <v>0.96382100000000004</v>
      </c>
      <c r="Y30" s="298">
        <v>0.95674199999999998</v>
      </c>
      <c r="Z30" s="298">
        <v>0.95704199999999995</v>
      </c>
      <c r="AA30" s="298">
        <v>0.95328999999999997</v>
      </c>
      <c r="AB30" s="298">
        <v>0.95369499999999996</v>
      </c>
      <c r="AC30" s="298">
        <v>0.949291</v>
      </c>
      <c r="AD30" s="298">
        <v>0.94474999999999998</v>
      </c>
      <c r="AE30" s="298">
        <v>0.94433999999999996</v>
      </c>
      <c r="AF30" s="298">
        <v>0.94618999999999998</v>
      </c>
      <c r="AG30" s="298">
        <v>0.94669300000000001</v>
      </c>
      <c r="AH30" s="298">
        <v>0.95018899999999995</v>
      </c>
      <c r="AI30" s="298">
        <v>0.95436399999999999</v>
      </c>
      <c r="AJ30" s="298">
        <v>0.95464199999999999</v>
      </c>
      <c r="AK30" s="299">
        <v>-4.0000000000000001E-3</v>
      </c>
    </row>
    <row r="31" spans="1:38">
      <c r="A31" s="6" t="s">
        <v>651</v>
      </c>
      <c r="B31" s="353">
        <v>0.40835106372833302</v>
      </c>
      <c r="C31" s="353">
        <v>0.74303030967712402</v>
      </c>
      <c r="D31" s="353">
        <v>0.90019965171813998</v>
      </c>
      <c r="E31" s="353">
        <v>0.90936332941055298</v>
      </c>
      <c r="F31" s="354">
        <v>1.2169610261917101</v>
      </c>
      <c r="G31" s="298">
        <v>0.87458199999999997</v>
      </c>
      <c r="H31" s="298">
        <v>0.88629000000000002</v>
      </c>
      <c r="I31" s="298">
        <v>0.91131799999999996</v>
      </c>
      <c r="J31" s="298">
        <v>0.94543999999999995</v>
      </c>
      <c r="K31" s="298">
        <v>0.95931299999999997</v>
      </c>
      <c r="L31" s="298">
        <v>0.96406000000000003</v>
      </c>
      <c r="M31" s="298">
        <v>0.97751200000000005</v>
      </c>
      <c r="N31" s="298">
        <v>0.98974300000000004</v>
      </c>
      <c r="O31" s="298">
        <v>1.0016430000000001</v>
      </c>
      <c r="P31" s="298">
        <v>1.014486</v>
      </c>
      <c r="Q31" s="298">
        <v>1.026421</v>
      </c>
      <c r="R31" s="298">
        <v>1.04257</v>
      </c>
      <c r="S31" s="298">
        <v>1.0409060000000001</v>
      </c>
      <c r="T31" s="298">
        <v>1.042815</v>
      </c>
      <c r="U31" s="298">
        <v>1.0410189999999999</v>
      </c>
      <c r="V31" s="298">
        <v>1.0405869999999999</v>
      </c>
      <c r="W31" s="298">
        <v>1.0406690000000001</v>
      </c>
      <c r="X31" s="298">
        <v>1.0407820000000001</v>
      </c>
      <c r="Y31" s="298">
        <v>1.0402199999999999</v>
      </c>
      <c r="Z31" s="298">
        <v>1.0406690000000001</v>
      </c>
      <c r="AA31" s="298">
        <v>1.0418559999999999</v>
      </c>
      <c r="AB31" s="298">
        <v>1.0410980000000001</v>
      </c>
      <c r="AC31" s="298">
        <v>1.041115</v>
      </c>
      <c r="AD31" s="298">
        <v>1.0421020000000001</v>
      </c>
      <c r="AE31" s="298">
        <v>1.0415099999999999</v>
      </c>
      <c r="AF31" s="298">
        <v>1.039404</v>
      </c>
      <c r="AG31" s="298">
        <v>1.038624</v>
      </c>
      <c r="AH31" s="298">
        <v>1.041671</v>
      </c>
      <c r="AI31" s="298">
        <v>1.0532999999999999</v>
      </c>
      <c r="AJ31" s="298">
        <v>1.0676890000000001</v>
      </c>
      <c r="AK31" s="299">
        <v>7.0000000000000001E-3</v>
      </c>
    </row>
    <row r="32" spans="1:38" s="18" customFormat="1">
      <c r="A32" s="17" t="s">
        <v>166</v>
      </c>
      <c r="B32" s="355">
        <v>0.31900000572204601</v>
      </c>
      <c r="C32" s="355">
        <v>0.42500001192092901</v>
      </c>
      <c r="D32" s="355">
        <v>0.60299998521804798</v>
      </c>
      <c r="E32" s="355">
        <v>0.68500006198883101</v>
      </c>
      <c r="F32" s="356">
        <v>0.84147453308105502</v>
      </c>
      <c r="G32" s="298">
        <v>0.81834200000000001</v>
      </c>
      <c r="H32" s="298">
        <v>0.82725800000000005</v>
      </c>
      <c r="I32" s="298">
        <v>0.825187</v>
      </c>
      <c r="J32" s="298">
        <v>0.85004199999999996</v>
      </c>
      <c r="K32" s="298">
        <v>0.865282</v>
      </c>
      <c r="L32" s="298">
        <v>0.869251</v>
      </c>
      <c r="M32" s="298">
        <v>0.88145200000000001</v>
      </c>
      <c r="N32" s="298">
        <v>0.88586200000000004</v>
      </c>
      <c r="O32" s="298">
        <v>0.88890000000000002</v>
      </c>
      <c r="P32" s="298">
        <v>0.89585899999999996</v>
      </c>
      <c r="Q32" s="298">
        <v>0.89987200000000001</v>
      </c>
      <c r="R32" s="298">
        <v>0.91550900000000002</v>
      </c>
      <c r="S32" s="298">
        <v>0.91492399999999996</v>
      </c>
      <c r="T32" s="298">
        <v>0.91555299999999995</v>
      </c>
      <c r="U32" s="298">
        <v>0.91523600000000005</v>
      </c>
      <c r="V32" s="298">
        <v>0.91508800000000001</v>
      </c>
      <c r="W32" s="298">
        <v>0.91518600000000006</v>
      </c>
      <c r="X32" s="298">
        <v>0.91533399999999998</v>
      </c>
      <c r="Y32" s="298">
        <v>0.91476000000000002</v>
      </c>
      <c r="Z32" s="298">
        <v>0.91483099999999995</v>
      </c>
      <c r="AA32" s="298">
        <v>0.91463499999999998</v>
      </c>
      <c r="AB32" s="298">
        <v>0.91389500000000001</v>
      </c>
      <c r="AC32" s="298">
        <v>0.91388999999999998</v>
      </c>
      <c r="AD32" s="298">
        <v>0.91484699999999997</v>
      </c>
      <c r="AE32" s="298">
        <v>0.91425800000000002</v>
      </c>
      <c r="AF32" s="298">
        <v>0.91217999999999999</v>
      </c>
      <c r="AG32" s="298">
        <v>0.91165499999999999</v>
      </c>
      <c r="AH32" s="298">
        <v>0.91445399999999999</v>
      </c>
      <c r="AI32" s="298">
        <v>0.92887299999999995</v>
      </c>
      <c r="AJ32" s="298">
        <v>0.94600499999999998</v>
      </c>
      <c r="AK32" s="299">
        <v>5.0000000000000001E-3</v>
      </c>
      <c r="AL32" s="51">
        <f>C32*(1+AK32)^23</f>
        <v>0.4766596202229666</v>
      </c>
    </row>
    <row r="33" spans="1:38" s="18" customFormat="1">
      <c r="A33" s="17" t="s">
        <v>164</v>
      </c>
      <c r="B33" s="355">
        <v>0.273288995027542</v>
      </c>
      <c r="C33" s="355">
        <v>0.40336400270461997</v>
      </c>
      <c r="D33" s="355">
        <v>0.58252400159835804</v>
      </c>
      <c r="E33" s="355">
        <v>0.68972003459930398</v>
      </c>
      <c r="F33" s="356">
        <v>0.84179353713989302</v>
      </c>
      <c r="G33" s="298">
        <v>0.88597599999999999</v>
      </c>
      <c r="H33" s="298">
        <v>0.84365599999999996</v>
      </c>
      <c r="I33" s="298">
        <v>0.83595299999999995</v>
      </c>
      <c r="J33" s="298">
        <v>0.86998399999999998</v>
      </c>
      <c r="K33" s="298">
        <v>0.82013999999999998</v>
      </c>
      <c r="L33" s="298">
        <v>0.82233599999999996</v>
      </c>
      <c r="M33" s="298">
        <v>0.83316999999999997</v>
      </c>
      <c r="N33" s="298">
        <v>0.834866</v>
      </c>
      <c r="O33" s="298">
        <v>0.83494199999999996</v>
      </c>
      <c r="P33" s="298">
        <v>0.84040599999999999</v>
      </c>
      <c r="Q33" s="298">
        <v>0.83868500000000001</v>
      </c>
      <c r="R33" s="298">
        <v>0.84875</v>
      </c>
      <c r="S33" s="298">
        <v>0.85439200000000004</v>
      </c>
      <c r="T33" s="298">
        <v>0.85437700000000005</v>
      </c>
      <c r="U33" s="298">
        <v>0.85438800000000004</v>
      </c>
      <c r="V33" s="298">
        <v>0.85439200000000004</v>
      </c>
      <c r="W33" s="298">
        <v>0.85523000000000005</v>
      </c>
      <c r="X33" s="298">
        <v>0.85584700000000002</v>
      </c>
      <c r="Y33" s="298">
        <v>0.85583500000000001</v>
      </c>
      <c r="Z33" s="298">
        <v>0.85584700000000002</v>
      </c>
      <c r="AA33" s="298">
        <v>0.85584700000000002</v>
      </c>
      <c r="AB33" s="298">
        <v>0.85583500000000001</v>
      </c>
      <c r="AC33" s="298">
        <v>0.85583500000000001</v>
      </c>
      <c r="AD33" s="298">
        <v>0.85583500000000001</v>
      </c>
      <c r="AE33" s="298">
        <v>0.85358400000000001</v>
      </c>
      <c r="AF33" s="298">
        <v>0.84983299999999995</v>
      </c>
      <c r="AG33" s="298">
        <v>0.84757499999999997</v>
      </c>
      <c r="AH33" s="298">
        <v>0.84855400000000003</v>
      </c>
      <c r="AI33" s="298">
        <v>0.85902400000000001</v>
      </c>
      <c r="AJ33" s="298">
        <v>0.86278500000000002</v>
      </c>
      <c r="AK33" s="299">
        <v>1E-3</v>
      </c>
      <c r="AL33" s="51" t="s">
        <v>0</v>
      </c>
    </row>
    <row r="34" spans="1:38">
      <c r="A34" s="6" t="s">
        <v>163</v>
      </c>
      <c r="B34" s="353">
        <v>4.5710995793342597E-2</v>
      </c>
      <c r="C34" s="353">
        <v>2.1635998040437698E-2</v>
      </c>
      <c r="D34" s="353">
        <v>2.0475998520851101E-2</v>
      </c>
      <c r="E34" s="353">
        <v>-4.7199996188283001E-3</v>
      </c>
      <c r="F34" s="354">
        <v>-3.1897879671305402E-4</v>
      </c>
      <c r="G34" s="298">
        <v>-6.6753999999999994E-2</v>
      </c>
      <c r="H34" s="298">
        <v>-1.6397999999999999E-2</v>
      </c>
      <c r="I34" s="298">
        <v>-1.0766E-2</v>
      </c>
      <c r="J34" s="298">
        <v>-1.9942000000000001E-2</v>
      </c>
      <c r="K34" s="298">
        <v>4.5142000000000002E-2</v>
      </c>
      <c r="L34" s="298">
        <v>4.6915999999999999E-2</v>
      </c>
      <c r="M34" s="298">
        <v>4.8281999999999999E-2</v>
      </c>
      <c r="N34" s="298">
        <v>5.0996E-2</v>
      </c>
      <c r="O34" s="298">
        <v>5.3957999999999999E-2</v>
      </c>
      <c r="P34" s="298">
        <v>5.5452000000000001E-2</v>
      </c>
      <c r="Q34" s="298">
        <v>6.1186999999999998E-2</v>
      </c>
      <c r="R34" s="298">
        <v>6.6758999999999999E-2</v>
      </c>
      <c r="S34" s="298">
        <v>6.0532000000000002E-2</v>
      </c>
      <c r="T34" s="298">
        <v>6.1176000000000001E-2</v>
      </c>
      <c r="U34" s="298">
        <v>6.0847999999999999E-2</v>
      </c>
      <c r="V34" s="298">
        <v>6.0696E-2</v>
      </c>
      <c r="W34" s="298">
        <v>5.9957000000000003E-2</v>
      </c>
      <c r="X34" s="298">
        <v>5.9486999999999998E-2</v>
      </c>
      <c r="Y34" s="298">
        <v>5.8924999999999998E-2</v>
      </c>
      <c r="Z34" s="298">
        <v>5.8984000000000002E-2</v>
      </c>
      <c r="AA34" s="298">
        <v>5.8788E-2</v>
      </c>
      <c r="AB34" s="298">
        <v>5.806E-2</v>
      </c>
      <c r="AC34" s="298">
        <v>5.8056000000000003E-2</v>
      </c>
      <c r="AD34" s="298">
        <v>5.9012000000000002E-2</v>
      </c>
      <c r="AE34" s="298">
        <v>6.0673999999999999E-2</v>
      </c>
      <c r="AF34" s="298">
        <v>6.2348000000000001E-2</v>
      </c>
      <c r="AG34" s="298">
        <v>6.4079999999999998E-2</v>
      </c>
      <c r="AH34" s="298">
        <v>6.59E-2</v>
      </c>
      <c r="AI34" s="298">
        <v>6.9848999999999994E-2</v>
      </c>
      <c r="AJ34" s="298">
        <v>8.3220000000000002E-2</v>
      </c>
      <c r="AK34" s="298" t="s">
        <v>39</v>
      </c>
    </row>
    <row r="35" spans="1:38" s="18" customFormat="1">
      <c r="A35" s="17" t="s">
        <v>165</v>
      </c>
      <c r="B35" s="355">
        <v>1.6338998451829002E-2</v>
      </c>
      <c r="C35" s="355">
        <v>3.2029997557401699E-2</v>
      </c>
      <c r="D35" s="355">
        <v>5.1199223846197101E-2</v>
      </c>
      <c r="E35" s="355">
        <v>6.0358572751283597E-2</v>
      </c>
      <c r="F35" s="356">
        <v>6.3932694494724301E-2</v>
      </c>
      <c r="G35" s="298">
        <v>5.6239999999999998E-2</v>
      </c>
      <c r="H35" s="298">
        <v>5.9032000000000001E-2</v>
      </c>
      <c r="I35" s="298">
        <v>8.6099999999999996E-2</v>
      </c>
      <c r="J35" s="298">
        <v>9.0199000000000001E-2</v>
      </c>
      <c r="K35" s="298">
        <v>9.0070999999999998E-2</v>
      </c>
      <c r="L35" s="298">
        <v>8.6830000000000004E-2</v>
      </c>
      <c r="M35" s="298">
        <v>8.6858000000000005E-2</v>
      </c>
      <c r="N35" s="298">
        <v>8.5750999999999994E-2</v>
      </c>
      <c r="O35" s="298">
        <v>8.7317000000000006E-2</v>
      </c>
      <c r="P35" s="298">
        <v>8.8449E-2</v>
      </c>
      <c r="Q35" s="298">
        <v>8.8486999999999996E-2</v>
      </c>
      <c r="R35" s="298">
        <v>8.8999999999999996E-2</v>
      </c>
      <c r="S35" s="298">
        <v>8.8025000000000006E-2</v>
      </c>
      <c r="T35" s="298">
        <v>8.9304999999999995E-2</v>
      </c>
      <c r="U35" s="298">
        <v>8.7721999999999994E-2</v>
      </c>
      <c r="V35" s="298">
        <v>8.7541999999999995E-2</v>
      </c>
      <c r="W35" s="298">
        <v>8.7525000000000006E-2</v>
      </c>
      <c r="X35" s="298">
        <v>8.7489999999999998E-2</v>
      </c>
      <c r="Y35" s="298">
        <v>8.7501999999999996E-2</v>
      </c>
      <c r="Z35" s="298">
        <v>8.788E-2</v>
      </c>
      <c r="AA35" s="298">
        <v>8.9262999999999995E-2</v>
      </c>
      <c r="AB35" s="298">
        <v>8.9245000000000005E-2</v>
      </c>
      <c r="AC35" s="298">
        <v>8.9370000000000005E-2</v>
      </c>
      <c r="AD35" s="298">
        <v>8.9401999999999995E-2</v>
      </c>
      <c r="AE35" s="298">
        <v>8.9397000000000004E-2</v>
      </c>
      <c r="AF35" s="298">
        <v>8.9370000000000005E-2</v>
      </c>
      <c r="AG35" s="298">
        <v>8.9115E-2</v>
      </c>
      <c r="AH35" s="298">
        <v>8.9362999999999998E-2</v>
      </c>
      <c r="AI35" s="298">
        <v>8.9108000000000007E-2</v>
      </c>
      <c r="AJ35" s="298">
        <v>8.9448E-2</v>
      </c>
      <c r="AK35" s="298" t="s">
        <v>39</v>
      </c>
    </row>
    <row r="36" spans="1:38" s="18" customFormat="1">
      <c r="A36" s="17" t="s">
        <v>164</v>
      </c>
      <c r="B36" s="355">
        <v>1.6338998451829002E-2</v>
      </c>
      <c r="C36" s="355">
        <v>3.2029997557401699E-2</v>
      </c>
      <c r="D36" s="355">
        <v>5.1199223846197101E-2</v>
      </c>
      <c r="E36" s="355">
        <v>6.0358572751283597E-2</v>
      </c>
      <c r="F36" s="356">
        <v>6.3932694494724301E-2</v>
      </c>
      <c r="G36" s="298">
        <v>6.3100000000000003E-2</v>
      </c>
      <c r="H36" s="298">
        <v>6.3100000000000003E-2</v>
      </c>
      <c r="I36" s="298">
        <v>8.1100000000000005E-2</v>
      </c>
      <c r="J36" s="298">
        <v>8.7099999999999997E-2</v>
      </c>
      <c r="K36" s="298">
        <v>7.9580999999999999E-2</v>
      </c>
      <c r="L36" s="298">
        <v>7.6044E-2</v>
      </c>
      <c r="M36" s="298">
        <v>7.5939000000000006E-2</v>
      </c>
      <c r="N36" s="298">
        <v>7.4647000000000005E-2</v>
      </c>
      <c r="O36" s="298">
        <v>7.6071E-2</v>
      </c>
      <c r="P36" s="298">
        <v>7.6998999999999998E-2</v>
      </c>
      <c r="Q36" s="298">
        <v>7.6729000000000006E-2</v>
      </c>
      <c r="R36" s="298">
        <v>7.7030000000000001E-2</v>
      </c>
      <c r="S36" s="298">
        <v>7.5851000000000002E-2</v>
      </c>
      <c r="T36" s="298">
        <v>7.7146000000000006E-2</v>
      </c>
      <c r="U36" s="298">
        <v>7.5544E-2</v>
      </c>
      <c r="V36" s="298">
        <v>7.5385999999999995E-2</v>
      </c>
      <c r="W36" s="298">
        <v>7.5385999999999995E-2</v>
      </c>
      <c r="X36" s="298">
        <v>7.5385999999999995E-2</v>
      </c>
      <c r="Y36" s="298">
        <v>7.5385999999999995E-2</v>
      </c>
      <c r="Z36" s="298">
        <v>7.5749999999999998E-2</v>
      </c>
      <c r="AA36" s="298">
        <v>7.7146000000000006E-2</v>
      </c>
      <c r="AB36" s="298">
        <v>7.7146000000000006E-2</v>
      </c>
      <c r="AC36" s="298">
        <v>7.7260999999999996E-2</v>
      </c>
      <c r="AD36" s="298">
        <v>7.7260999999999996E-2</v>
      </c>
      <c r="AE36" s="298">
        <v>7.7260999999999996E-2</v>
      </c>
      <c r="AF36" s="298">
        <v>7.7260999999999996E-2</v>
      </c>
      <c r="AG36" s="298">
        <v>7.7010999999999996E-2</v>
      </c>
      <c r="AH36" s="298">
        <v>7.7260999999999996E-2</v>
      </c>
      <c r="AI36" s="298">
        <v>7.7010999999999996E-2</v>
      </c>
      <c r="AJ36" s="298">
        <v>7.7376E-2</v>
      </c>
      <c r="AK36" s="299">
        <v>7.0000000000000001E-3</v>
      </c>
    </row>
    <row r="37" spans="1:38">
      <c r="A37" s="6" t="s">
        <v>163</v>
      </c>
      <c r="B37" s="353">
        <v>0</v>
      </c>
      <c r="C37" s="353">
        <v>0</v>
      </c>
      <c r="D37" s="353">
        <v>0</v>
      </c>
      <c r="E37" s="353">
        <v>0</v>
      </c>
      <c r="F37" s="354">
        <v>0</v>
      </c>
      <c r="G37" s="298">
        <v>-3.4629999999999999E-3</v>
      </c>
      <c r="H37" s="298">
        <v>-4.0679999999999996E-3</v>
      </c>
      <c r="I37" s="298">
        <v>5.0000000000000001E-3</v>
      </c>
      <c r="J37" s="298">
        <v>3.0990000000000002E-3</v>
      </c>
      <c r="K37" s="298">
        <v>1.0489999999999999E-2</v>
      </c>
      <c r="L37" s="298">
        <v>1.0786E-2</v>
      </c>
      <c r="M37" s="298">
        <v>1.0919E-2</v>
      </c>
      <c r="N37" s="298">
        <v>1.1103999999999999E-2</v>
      </c>
      <c r="O37" s="298">
        <v>1.1247E-2</v>
      </c>
      <c r="P37" s="298">
        <v>1.145E-2</v>
      </c>
      <c r="Q37" s="298">
        <v>1.1757999999999999E-2</v>
      </c>
      <c r="R37" s="298">
        <v>1.197E-2</v>
      </c>
      <c r="S37" s="298">
        <v>1.2174000000000001E-2</v>
      </c>
      <c r="T37" s="298">
        <v>1.2159E-2</v>
      </c>
      <c r="U37" s="298">
        <v>1.2178E-2</v>
      </c>
      <c r="V37" s="298">
        <v>1.2154999999999999E-2</v>
      </c>
      <c r="W37" s="298">
        <v>1.2139E-2</v>
      </c>
      <c r="X37" s="298">
        <v>1.2104E-2</v>
      </c>
      <c r="Y37" s="298">
        <v>1.2116E-2</v>
      </c>
      <c r="Z37" s="298">
        <v>1.2130999999999999E-2</v>
      </c>
      <c r="AA37" s="298">
        <v>1.2118E-2</v>
      </c>
      <c r="AB37" s="298">
        <v>1.21E-2</v>
      </c>
      <c r="AC37" s="298">
        <v>1.2109999999999999E-2</v>
      </c>
      <c r="AD37" s="298">
        <v>1.2141000000000001E-2</v>
      </c>
      <c r="AE37" s="298">
        <v>1.2137E-2</v>
      </c>
      <c r="AF37" s="298">
        <v>1.2109E-2</v>
      </c>
      <c r="AG37" s="298">
        <v>1.2102999999999999E-2</v>
      </c>
      <c r="AH37" s="298">
        <v>1.2102E-2</v>
      </c>
      <c r="AI37" s="298">
        <v>1.2096000000000001E-2</v>
      </c>
      <c r="AJ37" s="298">
        <v>1.2071999999999999E-2</v>
      </c>
      <c r="AK37" s="298" t="s">
        <v>39</v>
      </c>
    </row>
    <row r="38" spans="1:38">
      <c r="A38" s="6" t="s">
        <v>162</v>
      </c>
      <c r="B38" s="353">
        <v>0</v>
      </c>
      <c r="C38" s="353">
        <v>0</v>
      </c>
      <c r="D38" s="353">
        <v>0</v>
      </c>
      <c r="E38" s="353">
        <v>0</v>
      </c>
      <c r="F38" s="354">
        <v>0</v>
      </c>
      <c r="G38" s="298">
        <v>2.2160000000000002</v>
      </c>
      <c r="H38" s="298">
        <v>2.4</v>
      </c>
      <c r="I38" s="298">
        <v>2.4900000000000002</v>
      </c>
      <c r="J38" s="298">
        <v>2.5089999999999999</v>
      </c>
      <c r="K38" s="298">
        <v>2.5561180000000001</v>
      </c>
      <c r="L38" s="298">
        <v>2.6337290000000002</v>
      </c>
      <c r="M38" s="298">
        <v>2.6633930000000001</v>
      </c>
      <c r="N38" s="298">
        <v>2.6705079999999999</v>
      </c>
      <c r="O38" s="298">
        <v>2.669905</v>
      </c>
      <c r="P38" s="298">
        <v>2.6458759999999999</v>
      </c>
      <c r="Q38" s="298">
        <v>2.60798</v>
      </c>
      <c r="R38" s="298">
        <v>2.7045080000000001</v>
      </c>
      <c r="S38" s="298">
        <v>2.7930269999999999</v>
      </c>
      <c r="T38" s="298">
        <v>2.8390249999999999</v>
      </c>
      <c r="U38" s="298">
        <v>2.8728980000000002</v>
      </c>
      <c r="V38" s="298">
        <v>2.9033150000000001</v>
      </c>
      <c r="W38" s="298">
        <v>2.9228930000000002</v>
      </c>
      <c r="X38" s="298">
        <v>2.9406509999999999</v>
      </c>
      <c r="Y38" s="298">
        <v>2.9505080000000001</v>
      </c>
      <c r="Z38" s="298">
        <v>2.978853</v>
      </c>
      <c r="AA38" s="298">
        <v>3.0103460000000002</v>
      </c>
      <c r="AB38" s="298">
        <v>3.0288490000000001</v>
      </c>
      <c r="AC38" s="298">
        <v>3.0383969999999998</v>
      </c>
      <c r="AD38" s="298">
        <v>3.0546120000000001</v>
      </c>
      <c r="AE38" s="298">
        <v>3.0492400000000002</v>
      </c>
      <c r="AF38" s="298">
        <v>3.0289980000000001</v>
      </c>
      <c r="AG38" s="298">
        <v>3.058621</v>
      </c>
      <c r="AH38" s="298">
        <v>3.037477</v>
      </c>
      <c r="AI38" s="298">
        <v>3.013617</v>
      </c>
      <c r="AJ38" s="298">
        <v>2.983552</v>
      </c>
      <c r="AK38" s="299">
        <v>8.0000000000000002E-3</v>
      </c>
    </row>
    <row r="39" spans="1:38">
      <c r="A39" s="6" t="s">
        <v>161</v>
      </c>
      <c r="B39" s="353">
        <v>0</v>
      </c>
      <c r="C39" s="353">
        <v>0</v>
      </c>
      <c r="D39" s="353">
        <v>0</v>
      </c>
      <c r="E39" s="353">
        <v>0</v>
      </c>
      <c r="F39" s="354">
        <v>0</v>
      </c>
      <c r="G39" s="298">
        <v>0</v>
      </c>
      <c r="H39" s="298">
        <v>0</v>
      </c>
      <c r="I39" s="298">
        <v>0</v>
      </c>
      <c r="J39" s="298">
        <v>0</v>
      </c>
      <c r="K39" s="298">
        <v>0</v>
      </c>
      <c r="L39" s="298">
        <v>0</v>
      </c>
      <c r="M39" s="298">
        <v>0</v>
      </c>
      <c r="N39" s="298">
        <v>0</v>
      </c>
      <c r="O39" s="298">
        <v>0</v>
      </c>
      <c r="P39" s="298">
        <v>0</v>
      </c>
      <c r="Q39" s="298">
        <v>0</v>
      </c>
      <c r="R39" s="298">
        <v>0</v>
      </c>
      <c r="S39" s="298">
        <v>0</v>
      </c>
      <c r="T39" s="298">
        <v>0</v>
      </c>
      <c r="U39" s="298">
        <v>0</v>
      </c>
      <c r="V39" s="298">
        <v>0</v>
      </c>
      <c r="W39" s="298">
        <v>0</v>
      </c>
      <c r="X39" s="298">
        <v>0</v>
      </c>
      <c r="Y39" s="298">
        <v>0</v>
      </c>
      <c r="Z39" s="298">
        <v>0</v>
      </c>
      <c r="AA39" s="298">
        <v>0</v>
      </c>
      <c r="AB39" s="298">
        <v>0</v>
      </c>
      <c r="AC39" s="298">
        <v>0</v>
      </c>
      <c r="AD39" s="298">
        <v>0</v>
      </c>
      <c r="AE39" s="298">
        <v>0</v>
      </c>
      <c r="AF39" s="298">
        <v>0</v>
      </c>
      <c r="AG39" s="298">
        <v>0</v>
      </c>
      <c r="AH39" s="298">
        <v>0</v>
      </c>
      <c r="AI39" s="298">
        <v>0</v>
      </c>
      <c r="AJ39" s="298">
        <v>0</v>
      </c>
      <c r="AK39" s="298" t="s">
        <v>39</v>
      </c>
    </row>
    <row r="40" spans="1:38" s="271" customFormat="1">
      <c r="A40" s="270" t="s">
        <v>160</v>
      </c>
      <c r="B40" s="355">
        <v>0</v>
      </c>
      <c r="C40" s="355">
        <v>0</v>
      </c>
      <c r="D40" s="355">
        <v>0</v>
      </c>
      <c r="E40" s="355">
        <v>0</v>
      </c>
      <c r="F40" s="356">
        <v>0</v>
      </c>
      <c r="G40" s="306">
        <v>0</v>
      </c>
      <c r="H40" s="306">
        <v>3.4809526987373799E-3</v>
      </c>
      <c r="I40" s="306">
        <v>5.2319555543363103E-3</v>
      </c>
      <c r="J40" s="306">
        <v>7.8436248004436493E-3</v>
      </c>
      <c r="K40" s="306">
        <v>1.17142805829644E-2</v>
      </c>
      <c r="L40" s="306">
        <v>1.7396988347172699E-2</v>
      </c>
      <c r="M40" s="306">
        <v>2.5625614449381801E-2</v>
      </c>
      <c r="N40" s="306">
        <v>3.7305567413568497E-2</v>
      </c>
      <c r="O40" s="306">
        <v>5.34236840903759E-2</v>
      </c>
      <c r="P40" s="306">
        <v>7.4822284281253801E-2</v>
      </c>
      <c r="Q40" s="306">
        <v>0.10181753337383299</v>
      </c>
      <c r="R40" s="306">
        <v>0.133762747049332</v>
      </c>
      <c r="S40" s="306">
        <v>0.16882437467575101</v>
      </c>
      <c r="T40" s="306">
        <v>0.204265296459198</v>
      </c>
      <c r="U40" s="306">
        <v>0.237230360507965</v>
      </c>
      <c r="V40" s="306">
        <v>0.26560345292091397</v>
      </c>
      <c r="W40" s="306">
        <v>0.28843852877616899</v>
      </c>
      <c r="X40" s="306">
        <v>0.30584391951561002</v>
      </c>
      <c r="Y40" s="306">
        <v>0.31856861710548401</v>
      </c>
      <c r="Z40" s="306">
        <v>0.32759037613868702</v>
      </c>
      <c r="AA40" s="306"/>
      <c r="AB40" s="306"/>
      <c r="AC40" s="306"/>
      <c r="AD40" s="306"/>
      <c r="AE40" s="306"/>
      <c r="AF40" s="306"/>
      <c r="AG40" s="306"/>
      <c r="AH40" s="306"/>
      <c r="AI40" s="306"/>
      <c r="AJ40" s="306"/>
      <c r="AK40" s="307" t="s">
        <v>39</v>
      </c>
    </row>
    <row r="41" spans="1:38">
      <c r="A41" s="6" t="s">
        <v>652</v>
      </c>
      <c r="B41" s="353">
        <v>7.3012053966522203E-2</v>
      </c>
      <c r="C41" s="353">
        <v>0.28600034117698703</v>
      </c>
      <c r="D41" s="353">
        <v>0.24600045382976499</v>
      </c>
      <c r="E41" s="353">
        <v>0.16400466859340701</v>
      </c>
      <c r="F41" s="354">
        <v>0.31155380606651301</v>
      </c>
      <c r="G41" s="298">
        <v>0.182</v>
      </c>
      <c r="H41" s="298">
        <v>0.191</v>
      </c>
      <c r="I41" s="298">
        <v>0.193</v>
      </c>
      <c r="J41" s="298">
        <v>0.193</v>
      </c>
      <c r="K41" s="298">
        <v>0.28578500000000001</v>
      </c>
      <c r="L41" s="298">
        <v>0.28816599999999998</v>
      </c>
      <c r="M41" s="298">
        <v>0.290412</v>
      </c>
      <c r="N41" s="298">
        <v>0.29299799999999998</v>
      </c>
      <c r="O41" s="298">
        <v>0.293852</v>
      </c>
      <c r="P41" s="298">
        <v>0.29503000000000001</v>
      </c>
      <c r="Q41" s="298">
        <v>0.298292</v>
      </c>
      <c r="R41" s="298">
        <v>0.29944399999999999</v>
      </c>
      <c r="S41" s="298">
        <v>0.29972700000000002</v>
      </c>
      <c r="T41" s="298">
        <v>0.301095</v>
      </c>
      <c r="U41" s="298">
        <v>0.30102299999999999</v>
      </c>
      <c r="V41" s="298">
        <v>0.30064000000000002</v>
      </c>
      <c r="W41" s="298">
        <v>0.30251600000000001</v>
      </c>
      <c r="X41" s="298">
        <v>0.30219699999999999</v>
      </c>
      <c r="Y41" s="298">
        <v>0.30013899999999999</v>
      </c>
      <c r="Z41" s="298">
        <v>0.30297200000000002</v>
      </c>
      <c r="AA41" s="298">
        <v>0.30451</v>
      </c>
      <c r="AB41" s="298">
        <v>0.306419</v>
      </c>
      <c r="AC41" s="298">
        <v>0.30664000000000002</v>
      </c>
      <c r="AD41" s="298">
        <v>0.30698399999999998</v>
      </c>
      <c r="AE41" s="298">
        <v>0.308342</v>
      </c>
      <c r="AF41" s="298">
        <v>0.30915900000000002</v>
      </c>
      <c r="AG41" s="298">
        <v>0.30972699999999997</v>
      </c>
      <c r="AH41" s="298">
        <v>0.31073899999999999</v>
      </c>
      <c r="AI41" s="298">
        <v>0.31163999999999997</v>
      </c>
      <c r="AJ41" s="298">
        <v>0.31290899999999999</v>
      </c>
      <c r="AK41" s="299">
        <v>1.7999999999999999E-2</v>
      </c>
    </row>
    <row r="42" spans="1:38">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row>
    <row r="43" spans="1:38" s="18" customFormat="1">
      <c r="A43" s="17" t="s">
        <v>653</v>
      </c>
      <c r="B43" s="355">
        <v>20.697353363037099</v>
      </c>
      <c r="C43" s="355">
        <v>20.768030166626001</v>
      </c>
      <c r="D43" s="355">
        <v>19.647199630737301</v>
      </c>
      <c r="E43" s="355">
        <v>19.421310424804702</v>
      </c>
      <c r="F43" s="356">
        <v>19.587932586669901</v>
      </c>
      <c r="G43" s="249">
        <v>18.938583000000001</v>
      </c>
      <c r="H43" s="249">
        <v>18.592289000000001</v>
      </c>
      <c r="I43" s="249">
        <v>18.985319</v>
      </c>
      <c r="J43" s="249">
        <v>18.815241</v>
      </c>
      <c r="K43" s="249">
        <v>19.157446</v>
      </c>
      <c r="L43" s="249">
        <v>19.35895</v>
      </c>
      <c r="M43" s="249">
        <v>19.477530000000002</v>
      </c>
      <c r="N43" s="249">
        <v>19.527609000000002</v>
      </c>
      <c r="O43" s="249">
        <v>19.535461000000002</v>
      </c>
      <c r="P43" s="249">
        <v>19.520367</v>
      </c>
      <c r="Q43" s="249">
        <v>19.477088999999999</v>
      </c>
      <c r="R43" s="249">
        <v>19.437809000000001</v>
      </c>
      <c r="S43" s="249">
        <v>19.388767000000001</v>
      </c>
      <c r="T43" s="249">
        <v>19.330017000000002</v>
      </c>
      <c r="U43" s="249">
        <v>19.262318</v>
      </c>
      <c r="V43" s="249">
        <v>19.178843000000001</v>
      </c>
      <c r="W43" s="249">
        <v>19.119274000000001</v>
      </c>
      <c r="X43" s="249">
        <v>19.059887</v>
      </c>
      <c r="Y43" s="249">
        <v>18.980637000000002</v>
      </c>
      <c r="Z43" s="249">
        <v>18.926172000000001</v>
      </c>
      <c r="AA43" s="249">
        <v>18.880776999999998</v>
      </c>
      <c r="AB43" s="249">
        <v>18.838093000000001</v>
      </c>
      <c r="AC43" s="249">
        <v>18.795445999999998</v>
      </c>
      <c r="AD43" s="249">
        <v>18.768318000000001</v>
      </c>
      <c r="AE43" s="249">
        <v>18.751888000000001</v>
      </c>
      <c r="AF43" s="249">
        <v>18.731911</v>
      </c>
      <c r="AG43" s="249">
        <v>18.743359000000002</v>
      </c>
      <c r="AH43" s="249">
        <v>18.755479999999999</v>
      </c>
      <c r="AI43" s="249">
        <v>18.748524</v>
      </c>
      <c r="AJ43" s="249">
        <v>18.724962000000001</v>
      </c>
      <c r="AK43" s="250">
        <v>0</v>
      </c>
    </row>
    <row r="44" spans="1:38" s="260" customFormat="1">
      <c r="A44" s="259" t="s">
        <v>195</v>
      </c>
      <c r="B44" s="357">
        <f t="shared" ref="B44:H44" si="0">B43*365</f>
        <v>7554.5339775085413</v>
      </c>
      <c r="C44" s="357">
        <f t="shared" si="0"/>
        <v>7580.3310108184905</v>
      </c>
      <c r="D44" s="357">
        <f t="shared" si="0"/>
        <v>7171.2278652191153</v>
      </c>
      <c r="E44" s="357">
        <f t="shared" si="0"/>
        <v>7088.7783050537164</v>
      </c>
      <c r="F44" s="358">
        <f t="shared" si="0"/>
        <v>7149.5953941345133</v>
      </c>
      <c r="G44" s="308">
        <f t="shared" si="0"/>
        <v>6912.5827950000003</v>
      </c>
      <c r="H44" s="308">
        <f t="shared" si="0"/>
        <v>6786.185485</v>
      </c>
      <c r="I44" s="308">
        <f t="shared" ref="I44:AJ44" si="1">I43*365</f>
        <v>6929.6414350000005</v>
      </c>
      <c r="J44" s="308">
        <f t="shared" si="1"/>
        <v>6867.5629650000001</v>
      </c>
      <c r="K44" s="308">
        <f t="shared" si="1"/>
        <v>6992.4677899999997</v>
      </c>
      <c r="L44" s="308">
        <f t="shared" si="1"/>
        <v>7066.0167499999998</v>
      </c>
      <c r="M44" s="308">
        <f t="shared" si="1"/>
        <v>7109.2984500000002</v>
      </c>
      <c r="N44" s="308">
        <f t="shared" si="1"/>
        <v>7127.5772850000003</v>
      </c>
      <c r="O44" s="308">
        <f t="shared" si="1"/>
        <v>7130.4432650000008</v>
      </c>
      <c r="P44" s="308">
        <f t="shared" si="1"/>
        <v>7124.9339550000004</v>
      </c>
      <c r="Q44" s="308">
        <f t="shared" si="1"/>
        <v>7109.1374850000002</v>
      </c>
      <c r="R44" s="308">
        <f t="shared" si="1"/>
        <v>7094.8002850000003</v>
      </c>
      <c r="S44" s="308">
        <f t="shared" si="1"/>
        <v>7076.8999550000008</v>
      </c>
      <c r="T44" s="308">
        <f t="shared" si="1"/>
        <v>7055.4562050000004</v>
      </c>
      <c r="U44" s="308">
        <f t="shared" si="1"/>
        <v>7030.7460700000001</v>
      </c>
      <c r="V44" s="308">
        <f t="shared" si="1"/>
        <v>7000.2776949999998</v>
      </c>
      <c r="W44" s="308">
        <f t="shared" si="1"/>
        <v>6978.5350100000005</v>
      </c>
      <c r="X44" s="308">
        <f t="shared" si="1"/>
        <v>6956.8587550000002</v>
      </c>
      <c r="Y44" s="308">
        <f t="shared" si="1"/>
        <v>6927.9325050000007</v>
      </c>
      <c r="Z44" s="308">
        <f t="shared" si="1"/>
        <v>6908.05278</v>
      </c>
      <c r="AA44" s="308">
        <f t="shared" si="1"/>
        <v>6891.4836049999994</v>
      </c>
      <c r="AB44" s="308">
        <f t="shared" si="1"/>
        <v>6875.903945</v>
      </c>
      <c r="AC44" s="308">
        <f t="shared" si="1"/>
        <v>6860.3377899999996</v>
      </c>
      <c r="AD44" s="308">
        <f t="shared" si="1"/>
        <v>6850.4360700000007</v>
      </c>
      <c r="AE44" s="308">
        <f t="shared" si="1"/>
        <v>6844.43912</v>
      </c>
      <c r="AF44" s="308">
        <f t="shared" si="1"/>
        <v>6837.1475149999997</v>
      </c>
      <c r="AG44" s="308">
        <f t="shared" si="1"/>
        <v>6841.326035000001</v>
      </c>
      <c r="AH44" s="308">
        <f t="shared" si="1"/>
        <v>6845.7501999999995</v>
      </c>
      <c r="AI44" s="308">
        <f t="shared" si="1"/>
        <v>6843.21126</v>
      </c>
      <c r="AJ44" s="308">
        <f t="shared" si="1"/>
        <v>6834.6111300000002</v>
      </c>
      <c r="AK44" s="309"/>
    </row>
    <row r="45" spans="1:38" s="264" customFormat="1">
      <c r="A45" s="263" t="s">
        <v>186</v>
      </c>
      <c r="B45" s="359">
        <f>SUM(B33,B36,B40)</f>
        <v>0.28962799347937102</v>
      </c>
      <c r="C45" s="359">
        <f t="shared" ref="C45:AJ45" si="2">SUM(C33,C36,C40)</f>
        <v>0.43539400026202169</v>
      </c>
      <c r="D45" s="359">
        <f t="shared" si="2"/>
        <v>0.63372322544455517</v>
      </c>
      <c r="E45" s="359">
        <f t="shared" si="2"/>
        <v>0.75007860735058762</v>
      </c>
      <c r="F45" s="360">
        <f t="shared" si="2"/>
        <v>0.9057262316346173</v>
      </c>
      <c r="G45" s="310">
        <f t="shared" si="2"/>
        <v>0.94907600000000003</v>
      </c>
      <c r="H45" s="310">
        <f t="shared" si="2"/>
        <v>0.91023695269873739</v>
      </c>
      <c r="I45" s="310">
        <f t="shared" si="2"/>
        <v>0.92228495555433621</v>
      </c>
      <c r="J45" s="310">
        <f t="shared" si="2"/>
        <v>0.96492762480044358</v>
      </c>
      <c r="K45" s="310">
        <f t="shared" si="2"/>
        <v>0.91143528058296441</v>
      </c>
      <c r="L45" s="310">
        <f t="shared" si="2"/>
        <v>0.91577698834717269</v>
      </c>
      <c r="M45" s="310">
        <f t="shared" si="2"/>
        <v>0.93473461444938177</v>
      </c>
      <c r="N45" s="310">
        <f t="shared" si="2"/>
        <v>0.94681856741356851</v>
      </c>
      <c r="O45" s="310">
        <f t="shared" si="2"/>
        <v>0.96443668409037586</v>
      </c>
      <c r="P45" s="310">
        <f t="shared" si="2"/>
        <v>0.99222728428125384</v>
      </c>
      <c r="Q45" s="310">
        <f t="shared" si="2"/>
        <v>1.0172315333738331</v>
      </c>
      <c r="R45" s="310">
        <f t="shared" si="2"/>
        <v>1.0595427470493322</v>
      </c>
      <c r="S45" s="310">
        <f t="shared" si="2"/>
        <v>1.0990673746757511</v>
      </c>
      <c r="T45" s="310">
        <f t="shared" si="2"/>
        <v>1.1357882964591981</v>
      </c>
      <c r="U45" s="310">
        <f t="shared" si="2"/>
        <v>1.1671623605079651</v>
      </c>
      <c r="V45" s="310">
        <f t="shared" si="2"/>
        <v>1.1953814529209139</v>
      </c>
      <c r="W45" s="310">
        <f t="shared" si="2"/>
        <v>1.2190545287761689</v>
      </c>
      <c r="X45" s="310">
        <f t="shared" si="2"/>
        <v>1.2370769195156099</v>
      </c>
      <c r="Y45" s="310">
        <f t="shared" si="2"/>
        <v>1.2497896171054839</v>
      </c>
      <c r="Z45" s="310">
        <f t="shared" si="2"/>
        <v>1.2591873761386871</v>
      </c>
      <c r="AA45" s="310">
        <f t="shared" si="2"/>
        <v>0.93299300000000007</v>
      </c>
      <c r="AB45" s="310">
        <f t="shared" si="2"/>
        <v>0.93298100000000006</v>
      </c>
      <c r="AC45" s="310">
        <f t="shared" si="2"/>
        <v>0.93309600000000004</v>
      </c>
      <c r="AD45" s="310">
        <f t="shared" si="2"/>
        <v>0.93309600000000004</v>
      </c>
      <c r="AE45" s="310">
        <f t="shared" si="2"/>
        <v>0.93084500000000003</v>
      </c>
      <c r="AF45" s="310">
        <f t="shared" si="2"/>
        <v>0.92709399999999997</v>
      </c>
      <c r="AG45" s="310">
        <f t="shared" si="2"/>
        <v>0.92458599999999991</v>
      </c>
      <c r="AH45" s="310">
        <f t="shared" si="2"/>
        <v>0.92581500000000005</v>
      </c>
      <c r="AI45" s="310">
        <f t="shared" si="2"/>
        <v>0.93603499999999995</v>
      </c>
      <c r="AJ45" s="310">
        <f t="shared" si="2"/>
        <v>0.94016100000000002</v>
      </c>
      <c r="AK45" s="311"/>
    </row>
    <row r="46" spans="1:38" s="260" customFormat="1">
      <c r="A46" s="265" t="s">
        <v>192</v>
      </c>
      <c r="B46" s="355">
        <f>B45*365</f>
        <v>105.71421761997043</v>
      </c>
      <c r="C46" s="355">
        <f t="shared" ref="C46:AJ46" si="3">C45*365</f>
        <v>158.91881009563792</v>
      </c>
      <c r="D46" s="355">
        <f t="shared" si="3"/>
        <v>231.30897728726265</v>
      </c>
      <c r="E46" s="355">
        <f t="shared" si="3"/>
        <v>273.77869168296451</v>
      </c>
      <c r="F46" s="356">
        <f t="shared" si="3"/>
        <v>330.59007454663532</v>
      </c>
      <c r="G46" s="312">
        <f t="shared" si="3"/>
        <v>346.41273999999999</v>
      </c>
      <c r="H46" s="312">
        <f t="shared" si="3"/>
        <v>332.23648773503913</v>
      </c>
      <c r="I46" s="312">
        <f t="shared" si="3"/>
        <v>336.63400877733272</v>
      </c>
      <c r="J46" s="312">
        <f t="shared" si="3"/>
        <v>352.19858305216189</v>
      </c>
      <c r="K46" s="312">
        <f t="shared" si="3"/>
        <v>332.67387741278202</v>
      </c>
      <c r="L46" s="312">
        <f t="shared" si="3"/>
        <v>334.25860074671806</v>
      </c>
      <c r="M46" s="312">
        <f t="shared" si="3"/>
        <v>341.17813427402433</v>
      </c>
      <c r="N46" s="312">
        <f t="shared" si="3"/>
        <v>345.58877710595249</v>
      </c>
      <c r="O46" s="312">
        <f t="shared" si="3"/>
        <v>352.0193896929872</v>
      </c>
      <c r="P46" s="312">
        <f t="shared" si="3"/>
        <v>362.16295876265764</v>
      </c>
      <c r="Q46" s="312">
        <f t="shared" si="3"/>
        <v>371.28950968144909</v>
      </c>
      <c r="R46" s="312">
        <f t="shared" si="3"/>
        <v>386.73310267300621</v>
      </c>
      <c r="S46" s="312">
        <f t="shared" si="3"/>
        <v>401.15959175664915</v>
      </c>
      <c r="T46" s="312">
        <f t="shared" si="3"/>
        <v>414.56272820760728</v>
      </c>
      <c r="U46" s="312">
        <f t="shared" si="3"/>
        <v>426.01426158540727</v>
      </c>
      <c r="V46" s="312">
        <f t="shared" si="3"/>
        <v>436.3142303161336</v>
      </c>
      <c r="W46" s="312">
        <f t="shared" si="3"/>
        <v>444.95490300330164</v>
      </c>
      <c r="X46" s="312">
        <f t="shared" si="3"/>
        <v>451.53307562319765</v>
      </c>
      <c r="Y46" s="312">
        <f t="shared" si="3"/>
        <v>456.17321024350161</v>
      </c>
      <c r="Z46" s="312">
        <f t="shared" si="3"/>
        <v>459.60339229062083</v>
      </c>
      <c r="AA46" s="312">
        <f t="shared" si="3"/>
        <v>340.54244500000004</v>
      </c>
      <c r="AB46" s="312">
        <f t="shared" si="3"/>
        <v>340.53806500000002</v>
      </c>
      <c r="AC46" s="312">
        <f t="shared" si="3"/>
        <v>340.58004</v>
      </c>
      <c r="AD46" s="312">
        <f t="shared" si="3"/>
        <v>340.58004</v>
      </c>
      <c r="AE46" s="312">
        <f t="shared" si="3"/>
        <v>339.75842499999999</v>
      </c>
      <c r="AF46" s="312">
        <f t="shared" si="3"/>
        <v>338.38930999999997</v>
      </c>
      <c r="AG46" s="312">
        <f t="shared" si="3"/>
        <v>337.47388999999998</v>
      </c>
      <c r="AH46" s="312">
        <f t="shared" si="3"/>
        <v>337.92247500000002</v>
      </c>
      <c r="AI46" s="312">
        <f t="shared" si="3"/>
        <v>341.65277499999996</v>
      </c>
      <c r="AJ46" s="312">
        <f t="shared" si="3"/>
        <v>343.15876500000002</v>
      </c>
      <c r="AK46" s="309"/>
    </row>
    <row r="47" spans="1:38" s="260" customFormat="1">
      <c r="A47" s="265" t="s">
        <v>191</v>
      </c>
      <c r="B47" s="355"/>
      <c r="C47" s="361">
        <f>C46/B46-1</f>
        <v>0.50328700976562524</v>
      </c>
      <c r="D47" s="361">
        <f t="shared" ref="D47:Z47" si="4">D46/C46-1</f>
        <v>0.45551667010381003</v>
      </c>
      <c r="E47" s="361">
        <f t="shared" si="4"/>
        <v>0.1836059927019551</v>
      </c>
      <c r="F47" s="362">
        <f t="shared" si="4"/>
        <v>0.20750841679621423</v>
      </c>
      <c r="G47" s="313"/>
      <c r="H47" s="313">
        <f t="shared" si="4"/>
        <v>-4.0923010698050155E-2</v>
      </c>
      <c r="I47" s="313">
        <f t="shared" si="4"/>
        <v>1.32361170570785E-2</v>
      </c>
      <c r="J47" s="313">
        <f t="shared" si="4"/>
        <v>4.6235893786727766E-2</v>
      </c>
      <c r="K47" s="313">
        <f t="shared" si="4"/>
        <v>-5.5436638813757488E-2</v>
      </c>
      <c r="L47" s="313">
        <f t="shared" si="4"/>
        <v>4.7635941428900708E-3</v>
      </c>
      <c r="M47" s="313">
        <f t="shared" si="4"/>
        <v>2.0701138315807999E-2</v>
      </c>
      <c r="N47" s="313">
        <f t="shared" si="4"/>
        <v>1.2927683191988004E-2</v>
      </c>
      <c r="O47" s="313">
        <f t="shared" si="4"/>
        <v>1.8607700866001275E-2</v>
      </c>
      <c r="P47" s="313">
        <f t="shared" si="4"/>
        <v>2.8815370308201249E-2</v>
      </c>
      <c r="Q47" s="313">
        <f t="shared" si="4"/>
        <v>2.5200122480699472E-2</v>
      </c>
      <c r="R47" s="313">
        <f t="shared" si="4"/>
        <v>4.1594477055942436E-2</v>
      </c>
      <c r="S47" s="313">
        <f t="shared" si="4"/>
        <v>3.730347618016272E-2</v>
      </c>
      <c r="T47" s="313">
        <f t="shared" si="4"/>
        <v>3.3410983375137038E-2</v>
      </c>
      <c r="U47" s="313">
        <f t="shared" si="4"/>
        <v>2.762316194538661E-2</v>
      </c>
      <c r="V47" s="313">
        <f t="shared" si="4"/>
        <v>2.4177520941188968E-2</v>
      </c>
      <c r="W47" s="313">
        <f t="shared" si="4"/>
        <v>1.9803783802575969E-2</v>
      </c>
      <c r="X47" s="313">
        <f t="shared" si="4"/>
        <v>1.4783908606232909E-2</v>
      </c>
      <c r="Y47" s="313">
        <f t="shared" si="4"/>
        <v>1.0276400270123665E-2</v>
      </c>
      <c r="Z47" s="313">
        <f t="shared" si="4"/>
        <v>7.5194728013252554E-3</v>
      </c>
      <c r="AA47" s="313">
        <f t="shared" ref="AA47:AJ47" si="5">AA46/Z46-1</f>
        <v>-0.25905149806930716</v>
      </c>
      <c r="AB47" s="313">
        <f t="shared" si="5"/>
        <v>-1.2861832832666842E-5</v>
      </c>
      <c r="AC47" s="313">
        <f t="shared" si="5"/>
        <v>1.2326081667257682E-4</v>
      </c>
      <c r="AD47" s="313">
        <f t="shared" si="5"/>
        <v>0</v>
      </c>
      <c r="AE47" s="313">
        <f t="shared" si="5"/>
        <v>-2.412399152927458E-3</v>
      </c>
      <c r="AF47" s="313">
        <f t="shared" si="5"/>
        <v>-4.0296719647202606E-3</v>
      </c>
      <c r="AG47" s="313">
        <f t="shared" si="5"/>
        <v>-2.7052273016543449E-3</v>
      </c>
      <c r="AH47" s="313">
        <f t="shared" si="5"/>
        <v>1.3292435749623355E-3</v>
      </c>
      <c r="AI47" s="313">
        <f t="shared" si="5"/>
        <v>1.1038922462910827E-2</v>
      </c>
      <c r="AJ47" s="313">
        <f t="shared" si="5"/>
        <v>4.4079548307489613E-3</v>
      </c>
      <c r="AK47" s="309"/>
    </row>
    <row r="48" spans="1:38" s="266" customFormat="1">
      <c r="A48" s="263" t="s">
        <v>194</v>
      </c>
      <c r="B48" s="363">
        <f>SUM(B33,B36,B40)/B43</f>
        <v>1.3993479668594277E-2</v>
      </c>
      <c r="C48" s="363">
        <f t="shared" ref="C48:AJ48" si="6">SUM(C33,C36,C40)/C43</f>
        <v>2.0964626725248844E-2</v>
      </c>
      <c r="D48" s="363">
        <f t="shared" si="6"/>
        <v>3.2255142582921545E-2</v>
      </c>
      <c r="E48" s="363">
        <f t="shared" si="6"/>
        <v>3.8621421054708789E-2</v>
      </c>
      <c r="F48" s="364">
        <f t="shared" si="6"/>
        <v>4.6238990645239793E-2</v>
      </c>
      <c r="G48" s="314">
        <f t="shared" si="6"/>
        <v>5.0113358533740354E-2</v>
      </c>
      <c r="H48" s="314">
        <f t="shared" si="6"/>
        <v>4.8957766991398283E-2</v>
      </c>
      <c r="I48" s="314">
        <f t="shared" si="6"/>
        <v>4.8578849560248959E-2</v>
      </c>
      <c r="J48" s="314">
        <f t="shared" si="6"/>
        <v>5.1284361693822764E-2</v>
      </c>
      <c r="K48" s="314">
        <f t="shared" si="6"/>
        <v>4.7576032869045506E-2</v>
      </c>
      <c r="L48" s="314">
        <f t="shared" si="6"/>
        <v>4.7305096007127075E-2</v>
      </c>
      <c r="M48" s="314">
        <f t="shared" si="6"/>
        <v>4.7990408149769591E-2</v>
      </c>
      <c r="N48" s="314">
        <f t="shared" si="6"/>
        <v>4.8486149400757073E-2</v>
      </c>
      <c r="O48" s="314">
        <f t="shared" si="6"/>
        <v>4.9368514215783074E-2</v>
      </c>
      <c r="P48" s="314">
        <f t="shared" si="6"/>
        <v>5.0830360119830421E-2</v>
      </c>
      <c r="Q48" s="314">
        <f t="shared" si="6"/>
        <v>5.2227082464624625E-2</v>
      </c>
      <c r="R48" s="315">
        <f t="shared" si="6"/>
        <v>5.4509371249060634E-2</v>
      </c>
      <c r="S48" s="314">
        <f t="shared" si="6"/>
        <v>5.6685779692733994E-2</v>
      </c>
      <c r="T48" s="314">
        <f t="shared" si="6"/>
        <v>5.8757749486676503E-2</v>
      </c>
      <c r="U48" s="314">
        <f t="shared" si="6"/>
        <v>6.059303768673973E-2</v>
      </c>
      <c r="V48" s="314">
        <f t="shared" si="6"/>
        <v>6.2328131729370427E-2</v>
      </c>
      <c r="W48" s="314">
        <f t="shared" si="6"/>
        <v>6.3760503080617439E-2</v>
      </c>
      <c r="X48" s="314">
        <f t="shared" si="6"/>
        <v>6.4904735244002754E-2</v>
      </c>
      <c r="Y48" s="314">
        <f t="shared" si="6"/>
        <v>6.5845504400378327E-2</v>
      </c>
      <c r="Z48" s="315">
        <f t="shared" si="6"/>
        <v>6.6531540352623181E-2</v>
      </c>
      <c r="AA48" s="315">
        <f t="shared" si="6"/>
        <v>4.9414968462367842E-2</v>
      </c>
      <c r="AB48" s="315">
        <f t="shared" si="6"/>
        <v>4.9526297592861444E-2</v>
      </c>
      <c r="AC48" s="315">
        <f t="shared" si="6"/>
        <v>4.9644791616011673E-2</v>
      </c>
      <c r="AD48" s="315">
        <f t="shared" si="6"/>
        <v>4.9716548920366761E-2</v>
      </c>
      <c r="AE48" s="315">
        <f t="shared" si="6"/>
        <v>4.9640068242728409E-2</v>
      </c>
      <c r="AF48" s="315">
        <f t="shared" si="6"/>
        <v>4.9492761309831122E-2</v>
      </c>
      <c r="AG48" s="315">
        <f t="shared" si="6"/>
        <v>4.932872490998011E-2</v>
      </c>
      <c r="AH48" s="315">
        <f t="shared" si="6"/>
        <v>4.9362373023777592E-2</v>
      </c>
      <c r="AI48" s="315">
        <f t="shared" si="6"/>
        <v>4.9925796825392763E-2</v>
      </c>
      <c r="AJ48" s="315">
        <f t="shared" si="6"/>
        <v>5.0208967046234856E-2</v>
      </c>
      <c r="AK48" s="316"/>
    </row>
    <row r="49" spans="1:37" s="266" customFormat="1">
      <c r="A49" s="266" t="s">
        <v>185</v>
      </c>
      <c r="B49" s="365">
        <f>B33*365 * 42/1000</f>
        <v>4.1895202937722189</v>
      </c>
      <c r="C49" s="365">
        <f t="shared" ref="C49:AJ49" si="7">C33*365 * 42/1000</f>
        <v>6.1835701614618239</v>
      </c>
      <c r="D49" s="365">
        <f t="shared" si="7"/>
        <v>8.9300929445028281</v>
      </c>
      <c r="E49" s="365">
        <f t="shared" si="7"/>
        <v>10.57340813040733</v>
      </c>
      <c r="F49" s="366">
        <f t="shared" si="7"/>
        <v>12.90469492435456</v>
      </c>
      <c r="G49" s="317">
        <f t="shared" si="7"/>
        <v>13.58201208</v>
      </c>
      <c r="H49" s="317">
        <f t="shared" si="7"/>
        <v>12.933246479999999</v>
      </c>
      <c r="I49" s="317">
        <f t="shared" si="7"/>
        <v>12.815159489999999</v>
      </c>
      <c r="J49" s="317">
        <f t="shared" si="7"/>
        <v>13.33685472</v>
      </c>
      <c r="K49" s="317">
        <f t="shared" si="7"/>
        <v>12.572746199999999</v>
      </c>
      <c r="L49" s="317">
        <f t="shared" si="7"/>
        <v>12.606410879999997</v>
      </c>
      <c r="M49" s="317">
        <f t="shared" si="7"/>
        <v>12.7724961</v>
      </c>
      <c r="N49" s="317">
        <f t="shared" si="7"/>
        <v>12.79849578</v>
      </c>
      <c r="O49" s="317">
        <f t="shared" si="7"/>
        <v>12.799660859999999</v>
      </c>
      <c r="P49" s="317">
        <f t="shared" si="7"/>
        <v>12.883423980000002</v>
      </c>
      <c r="Q49" s="317">
        <f t="shared" si="7"/>
        <v>12.857041049999999</v>
      </c>
      <c r="R49" s="317">
        <f t="shared" si="7"/>
        <v>13.0113375</v>
      </c>
      <c r="S49" s="317">
        <f t="shared" si="7"/>
        <v>13.097829360000002</v>
      </c>
      <c r="T49" s="317">
        <f t="shared" si="7"/>
        <v>13.097599410000003</v>
      </c>
      <c r="U49" s="317">
        <f t="shared" si="7"/>
        <v>13.09776804</v>
      </c>
      <c r="V49" s="317">
        <f t="shared" si="7"/>
        <v>13.097829360000002</v>
      </c>
      <c r="W49" s="317">
        <f t="shared" si="7"/>
        <v>13.1106759</v>
      </c>
      <c r="X49" s="317">
        <f t="shared" si="7"/>
        <v>13.120134510000002</v>
      </c>
      <c r="Y49" s="317">
        <f t="shared" si="7"/>
        <v>13.11995055</v>
      </c>
      <c r="Z49" s="317">
        <f t="shared" si="7"/>
        <v>13.120134510000002</v>
      </c>
      <c r="AA49" s="317">
        <f t="shared" si="7"/>
        <v>13.120134510000002</v>
      </c>
      <c r="AB49" s="317">
        <f t="shared" si="7"/>
        <v>13.11995055</v>
      </c>
      <c r="AC49" s="317">
        <f t="shared" si="7"/>
        <v>13.11995055</v>
      </c>
      <c r="AD49" s="317">
        <f t="shared" si="7"/>
        <v>13.11995055</v>
      </c>
      <c r="AE49" s="317">
        <f t="shared" si="7"/>
        <v>13.08544272</v>
      </c>
      <c r="AF49" s="317">
        <f t="shared" si="7"/>
        <v>13.027939889999997</v>
      </c>
      <c r="AG49" s="317">
        <f t="shared" si="7"/>
        <v>12.993324749999999</v>
      </c>
      <c r="AH49" s="317">
        <f t="shared" si="7"/>
        <v>13.008332820000001</v>
      </c>
      <c r="AI49" s="317">
        <f t="shared" si="7"/>
        <v>13.168837920000001</v>
      </c>
      <c r="AJ49" s="317">
        <f t="shared" si="7"/>
        <v>13.226494050000001</v>
      </c>
      <c r="AK49" s="318"/>
    </row>
    <row r="50" spans="1:37">
      <c r="A50" s="6" t="s">
        <v>159</v>
      </c>
      <c r="R50" s="304" t="s">
        <v>0</v>
      </c>
    </row>
    <row r="51" spans="1:37">
      <c r="A51" s="6" t="s">
        <v>158</v>
      </c>
    </row>
    <row r="52" spans="1:37">
      <c r="A52" s="6" t="s">
        <v>655</v>
      </c>
      <c r="B52" s="353">
        <v>2.0520000457763699</v>
      </c>
      <c r="C52" s="353">
        <v>2.08500003814697</v>
      </c>
      <c r="D52" s="353">
        <v>2.02300000190735</v>
      </c>
      <c r="E52" s="353">
        <v>1.9900000095367401</v>
      </c>
      <c r="F52" s="354">
        <v>1.9984494447708101</v>
      </c>
      <c r="G52" s="298">
        <v>2.3039999999999998</v>
      </c>
      <c r="H52" s="298">
        <v>2.3239999999999998</v>
      </c>
      <c r="I52" s="298">
        <v>2.407</v>
      </c>
      <c r="J52" s="298">
        <v>2.4159999999999999</v>
      </c>
      <c r="K52" s="298">
        <v>2.4498690000000001</v>
      </c>
      <c r="L52" s="298">
        <v>2.5403880000000001</v>
      </c>
      <c r="M52" s="298">
        <v>2.599494</v>
      </c>
      <c r="N52" s="298">
        <v>2.6464240000000001</v>
      </c>
      <c r="O52" s="298">
        <v>2.693587</v>
      </c>
      <c r="P52" s="298">
        <v>2.7283230000000001</v>
      </c>
      <c r="Q52" s="298">
        <v>2.742324</v>
      </c>
      <c r="R52" s="298">
        <v>2.7799209999999999</v>
      </c>
      <c r="S52" s="298">
        <v>2.8150529999999998</v>
      </c>
      <c r="T52" s="298">
        <v>2.8347359999999999</v>
      </c>
      <c r="U52" s="298">
        <v>2.8433090000000001</v>
      </c>
      <c r="V52" s="298">
        <v>2.840814</v>
      </c>
      <c r="W52" s="298">
        <v>2.844868</v>
      </c>
      <c r="X52" s="298">
        <v>2.8578079999999999</v>
      </c>
      <c r="Y52" s="298">
        <v>2.8486820000000002</v>
      </c>
      <c r="Z52" s="298">
        <v>2.8402569999999998</v>
      </c>
      <c r="AA52" s="298">
        <v>2.8361179999999999</v>
      </c>
      <c r="AB52" s="298">
        <v>2.8308490000000002</v>
      </c>
      <c r="AC52" s="298">
        <v>2.8180170000000002</v>
      </c>
      <c r="AD52" s="298">
        <v>2.7924669999999998</v>
      </c>
      <c r="AE52" s="298">
        <v>2.7826710000000001</v>
      </c>
      <c r="AF52" s="298">
        <v>2.76675</v>
      </c>
      <c r="AG52" s="298">
        <v>2.7715809999999999</v>
      </c>
      <c r="AH52" s="298">
        <v>2.7629000000000001</v>
      </c>
      <c r="AI52" s="298">
        <v>2.7495129999999999</v>
      </c>
      <c r="AJ52" s="298">
        <v>2.7286790000000001</v>
      </c>
      <c r="AK52" s="299">
        <v>6.0000000000000001E-3</v>
      </c>
    </row>
    <row r="53" spans="1:37">
      <c r="A53" s="6" t="s">
        <v>654</v>
      </c>
      <c r="B53" s="353">
        <v>8.6600880604237296E-4</v>
      </c>
      <c r="C53" s="353">
        <v>1.0510511929169299E-3</v>
      </c>
      <c r="D53" s="353">
        <v>8.0768426414579196E-4</v>
      </c>
      <c r="E53" s="353">
        <v>4.3171385186724403E-4</v>
      </c>
      <c r="F53" s="354">
        <v>1.8219171324744801E-3</v>
      </c>
      <c r="G53" s="298">
        <v>1.882E-3</v>
      </c>
      <c r="H53" s="298">
        <v>9.8740000000000008E-3</v>
      </c>
      <c r="I53" s="298">
        <v>1.3136999999999999E-2</v>
      </c>
      <c r="J53" s="298">
        <v>1.4973999999999999E-2</v>
      </c>
      <c r="K53" s="298">
        <v>1.2047E-2</v>
      </c>
      <c r="L53" s="298">
        <v>2.5141E-2</v>
      </c>
      <c r="M53" s="298">
        <v>5.3563E-2</v>
      </c>
      <c r="N53" s="298">
        <v>8.0305000000000001E-2</v>
      </c>
      <c r="O53" s="298">
        <v>0.10901</v>
      </c>
      <c r="P53" s="298">
        <v>0.13106100000000001</v>
      </c>
      <c r="Q53" s="298">
        <v>0.162138</v>
      </c>
      <c r="R53" s="298">
        <v>0.20447299999999999</v>
      </c>
      <c r="S53" s="298">
        <v>0.22256600000000001</v>
      </c>
      <c r="T53" s="298">
        <v>0.242672</v>
      </c>
      <c r="U53" s="298">
        <v>0.26248500000000002</v>
      </c>
      <c r="V53" s="298">
        <v>0.279335</v>
      </c>
      <c r="W53" s="298">
        <v>0.29406700000000002</v>
      </c>
      <c r="X53" s="298">
        <v>0.30546400000000001</v>
      </c>
      <c r="Y53" s="298">
        <v>0.31323699999999999</v>
      </c>
      <c r="Z53" s="298">
        <v>0.31872699999999998</v>
      </c>
      <c r="AA53" s="298">
        <v>0.321052</v>
      </c>
      <c r="AB53" s="298">
        <v>0.31902700000000001</v>
      </c>
      <c r="AC53" s="298">
        <v>0.31467200000000001</v>
      </c>
      <c r="AD53" s="298">
        <v>0.30996699999999999</v>
      </c>
      <c r="AE53" s="298">
        <v>0.29748400000000003</v>
      </c>
      <c r="AF53" s="298">
        <v>0.28148600000000001</v>
      </c>
      <c r="AG53" s="298">
        <v>0.26450099999999999</v>
      </c>
      <c r="AH53" s="298">
        <v>0.245667</v>
      </c>
      <c r="AI53" s="298">
        <v>0.23741399999999999</v>
      </c>
      <c r="AJ53" s="298">
        <v>0.22813</v>
      </c>
      <c r="AK53" s="299">
        <v>0.11899999999999999</v>
      </c>
    </row>
    <row r="54" spans="1:37">
      <c r="A54" s="6" t="s">
        <v>656</v>
      </c>
      <c r="B54" s="353">
        <v>9.2527751922607404</v>
      </c>
      <c r="C54" s="353">
        <v>9.2857265472412092</v>
      </c>
      <c r="D54" s="353">
        <v>9.0097904205322301</v>
      </c>
      <c r="E54" s="353">
        <v>8.9638872146606392</v>
      </c>
      <c r="F54" s="354">
        <v>9.3608798980712908</v>
      </c>
      <c r="G54" s="298">
        <v>8.7543939999999996</v>
      </c>
      <c r="H54" s="298">
        <v>8.7103070000000002</v>
      </c>
      <c r="I54" s="298">
        <v>8.7047209999999993</v>
      </c>
      <c r="J54" s="298">
        <v>8.6720810000000004</v>
      </c>
      <c r="K54" s="298">
        <v>8.7711889999999997</v>
      </c>
      <c r="L54" s="298">
        <v>8.7249210000000001</v>
      </c>
      <c r="M54" s="298">
        <v>8.665521</v>
      </c>
      <c r="N54" s="298">
        <v>8.5782380000000007</v>
      </c>
      <c r="O54" s="298">
        <v>8.4654989999999994</v>
      </c>
      <c r="P54" s="298">
        <v>8.3493230000000001</v>
      </c>
      <c r="Q54" s="298">
        <v>8.2274130000000003</v>
      </c>
      <c r="R54" s="298">
        <v>8.1002519999999993</v>
      </c>
      <c r="S54" s="298">
        <v>7.9630890000000001</v>
      </c>
      <c r="T54" s="298">
        <v>7.8215009999999996</v>
      </c>
      <c r="U54" s="298">
        <v>7.6724129999999997</v>
      </c>
      <c r="V54" s="298">
        <v>7.5382249999999997</v>
      </c>
      <c r="W54" s="298">
        <v>7.4181600000000003</v>
      </c>
      <c r="X54" s="298">
        <v>7.3157300000000003</v>
      </c>
      <c r="Y54" s="298">
        <v>7.224996</v>
      </c>
      <c r="Z54" s="298">
        <v>7.1462729999999999</v>
      </c>
      <c r="AA54" s="298">
        <v>7.080946</v>
      </c>
      <c r="AB54" s="298">
        <v>7.0268600000000001</v>
      </c>
      <c r="AC54" s="298">
        <v>6.9825390000000001</v>
      </c>
      <c r="AD54" s="298">
        <v>6.943378</v>
      </c>
      <c r="AE54" s="298">
        <v>6.9093359999999997</v>
      </c>
      <c r="AF54" s="298">
        <v>6.8818789999999996</v>
      </c>
      <c r="AG54" s="298">
        <v>6.8622290000000001</v>
      </c>
      <c r="AH54" s="298">
        <v>6.8497510000000004</v>
      </c>
      <c r="AI54" s="298">
        <v>6.8444979999999997</v>
      </c>
      <c r="AJ54" s="298">
        <v>6.8408179999999996</v>
      </c>
      <c r="AK54" s="299">
        <v>-8.9999999999999993E-3</v>
      </c>
    </row>
    <row r="55" spans="1:37">
      <c r="A55" s="6" t="s">
        <v>657</v>
      </c>
      <c r="B55" s="353">
        <v>1.63300001621246</v>
      </c>
      <c r="C55" s="353">
        <v>1.6219999790191699</v>
      </c>
      <c r="D55" s="353">
        <v>1.5329999923706099</v>
      </c>
      <c r="E55" s="353">
        <v>1.47300004959106</v>
      </c>
      <c r="F55" s="354">
        <v>1.45558297634125</v>
      </c>
      <c r="G55" s="298">
        <v>1.425</v>
      </c>
      <c r="H55" s="298">
        <v>1.399</v>
      </c>
      <c r="I55" s="298">
        <v>1.4039999999999999</v>
      </c>
      <c r="J55" s="298">
        <v>1.4059999999999999</v>
      </c>
      <c r="K55" s="298">
        <v>1.459821</v>
      </c>
      <c r="L55" s="298">
        <v>1.466666</v>
      </c>
      <c r="M55" s="298">
        <v>1.4738910000000001</v>
      </c>
      <c r="N55" s="298">
        <v>1.4802960000000001</v>
      </c>
      <c r="O55" s="298">
        <v>1.4860789999999999</v>
      </c>
      <c r="P55" s="298">
        <v>1.491026</v>
      </c>
      <c r="Q55" s="298">
        <v>1.496483</v>
      </c>
      <c r="R55" s="298">
        <v>1.5023390000000001</v>
      </c>
      <c r="S55" s="298">
        <v>1.5080819999999999</v>
      </c>
      <c r="T55" s="298">
        <v>1.514818</v>
      </c>
      <c r="U55" s="298">
        <v>1.5222910000000001</v>
      </c>
      <c r="V55" s="298">
        <v>1.529134</v>
      </c>
      <c r="W55" s="298">
        <v>1.5350699999999999</v>
      </c>
      <c r="X55" s="298">
        <v>1.540705</v>
      </c>
      <c r="Y55" s="298">
        <v>1.5457909999999999</v>
      </c>
      <c r="Z55" s="298">
        <v>1.550583</v>
      </c>
      <c r="AA55" s="298">
        <v>1.555024</v>
      </c>
      <c r="AB55" s="298">
        <v>1.559142</v>
      </c>
      <c r="AC55" s="298">
        <v>1.562889</v>
      </c>
      <c r="AD55" s="298">
        <v>1.5661639999999999</v>
      </c>
      <c r="AE55" s="298">
        <v>1.5691090000000001</v>
      </c>
      <c r="AF55" s="298">
        <v>1.5733360000000001</v>
      </c>
      <c r="AG55" s="298">
        <v>1.577515</v>
      </c>
      <c r="AH55" s="298">
        <v>1.5816300000000001</v>
      </c>
      <c r="AI55" s="298">
        <v>1.585529</v>
      </c>
      <c r="AJ55" s="298">
        <v>1.5896079999999999</v>
      </c>
      <c r="AK55" s="299">
        <v>5.0000000000000001E-3</v>
      </c>
    </row>
    <row r="56" spans="1:37">
      <c r="A56" s="6" t="s">
        <v>658</v>
      </c>
      <c r="B56" s="353">
        <v>4.1690001487731898</v>
      </c>
      <c r="C56" s="353">
        <v>4.1960000991821298</v>
      </c>
      <c r="D56" s="353">
        <v>3.9430000782012899</v>
      </c>
      <c r="E56" s="353">
        <v>3.90199995040894</v>
      </c>
      <c r="F56" s="354">
        <v>4.0923304557800302</v>
      </c>
      <c r="G56" s="298">
        <v>3.899</v>
      </c>
      <c r="H56" s="298">
        <v>3.7429999999999999</v>
      </c>
      <c r="I56" s="298">
        <v>3.859</v>
      </c>
      <c r="J56" s="298">
        <v>3.9089999999999998</v>
      </c>
      <c r="K56" s="298">
        <v>4.0858679999999996</v>
      </c>
      <c r="L56" s="298">
        <v>4.177359</v>
      </c>
      <c r="M56" s="298">
        <v>4.228364</v>
      </c>
      <c r="N56" s="298">
        <v>4.2508220000000003</v>
      </c>
      <c r="O56" s="298">
        <v>4.2730649999999999</v>
      </c>
      <c r="P56" s="298">
        <v>4.295331</v>
      </c>
      <c r="Q56" s="298">
        <v>4.319947</v>
      </c>
      <c r="R56" s="298">
        <v>4.3484850000000002</v>
      </c>
      <c r="S56" s="298">
        <v>4.3784619999999999</v>
      </c>
      <c r="T56" s="298">
        <v>4.4044730000000003</v>
      </c>
      <c r="U56" s="298">
        <v>4.436998</v>
      </c>
      <c r="V56" s="298">
        <v>4.460839</v>
      </c>
      <c r="W56" s="298">
        <v>4.4796500000000004</v>
      </c>
      <c r="X56" s="298">
        <v>4.4870289999999997</v>
      </c>
      <c r="Y56" s="298">
        <v>4.4989540000000003</v>
      </c>
      <c r="Z56" s="298">
        <v>4.5163840000000004</v>
      </c>
      <c r="AA56" s="298">
        <v>4.5280180000000003</v>
      </c>
      <c r="AB56" s="298">
        <v>4.5344899999999999</v>
      </c>
      <c r="AC56" s="298">
        <v>4.5444589999999998</v>
      </c>
      <c r="AD56" s="298">
        <v>4.5662190000000002</v>
      </c>
      <c r="AE56" s="298">
        <v>4.5865479999999996</v>
      </c>
      <c r="AF56" s="298">
        <v>4.5978500000000002</v>
      </c>
      <c r="AG56" s="298">
        <v>4.6070399999999996</v>
      </c>
      <c r="AH56" s="298">
        <v>4.6156879999999996</v>
      </c>
      <c r="AI56" s="298">
        <v>4.6224400000000001</v>
      </c>
      <c r="AJ56" s="298">
        <v>4.6207630000000002</v>
      </c>
      <c r="AK56" s="299">
        <v>8.0000000000000002E-3</v>
      </c>
    </row>
    <row r="57" spans="1:37">
      <c r="A57" s="6" t="s">
        <v>157</v>
      </c>
      <c r="B57" s="353">
        <v>3.21000003814697</v>
      </c>
      <c r="C57" s="353">
        <v>3.4670000076293901</v>
      </c>
      <c r="D57" s="353">
        <v>3.46799993515015</v>
      </c>
      <c r="E57" s="353">
        <v>3.4189999103546098</v>
      </c>
      <c r="F57" s="354">
        <v>3.47832202911377</v>
      </c>
      <c r="G57" s="298">
        <v>3.5059999999999998</v>
      </c>
      <c r="H57" s="298">
        <v>3.448</v>
      </c>
      <c r="I57" s="298">
        <v>3.5550000000000002</v>
      </c>
      <c r="J57" s="298">
        <v>3.601</v>
      </c>
      <c r="K57" s="298">
        <v>3.6780590000000002</v>
      </c>
      <c r="L57" s="298">
        <v>3.788999</v>
      </c>
      <c r="M57" s="298">
        <v>3.841418</v>
      </c>
      <c r="N57" s="298">
        <v>3.888255</v>
      </c>
      <c r="O57" s="298">
        <v>3.9148960000000002</v>
      </c>
      <c r="P57" s="298">
        <v>3.942434</v>
      </c>
      <c r="Q57" s="298">
        <v>3.9721639999999998</v>
      </c>
      <c r="R57" s="298">
        <v>4.005528</v>
      </c>
      <c r="S57" s="298">
        <v>4.0400039999999997</v>
      </c>
      <c r="T57" s="298">
        <v>4.0698509999999999</v>
      </c>
      <c r="U57" s="298">
        <v>4.1063919999999996</v>
      </c>
      <c r="V57" s="298">
        <v>4.1354759999999997</v>
      </c>
      <c r="W57" s="298">
        <v>4.1591009999999997</v>
      </c>
      <c r="X57" s="298">
        <v>4.1709329999999998</v>
      </c>
      <c r="Y57" s="298">
        <v>4.1869290000000001</v>
      </c>
      <c r="Z57" s="298">
        <v>4.2079300000000002</v>
      </c>
      <c r="AA57" s="298">
        <v>4.2245819999999998</v>
      </c>
      <c r="AB57" s="298">
        <v>4.2349610000000002</v>
      </c>
      <c r="AC57" s="298">
        <v>4.2486269999999999</v>
      </c>
      <c r="AD57" s="298">
        <v>4.2736000000000001</v>
      </c>
      <c r="AE57" s="298">
        <v>4.2970110000000004</v>
      </c>
      <c r="AF57" s="298">
        <v>4.3111389999999998</v>
      </c>
      <c r="AG57" s="298">
        <v>4.3229870000000004</v>
      </c>
      <c r="AH57" s="298">
        <v>4.3342970000000003</v>
      </c>
      <c r="AI57" s="298">
        <v>4.3436260000000004</v>
      </c>
      <c r="AJ57" s="298">
        <v>4.344544</v>
      </c>
      <c r="AK57" s="299">
        <v>8.0000000000000002E-3</v>
      </c>
    </row>
    <row r="58" spans="1:37">
      <c r="A58" s="6" t="s">
        <v>156</v>
      </c>
      <c r="B58" s="353">
        <v>0.68900001049041704</v>
      </c>
      <c r="C58" s="353">
        <v>0.72299998998642001</v>
      </c>
      <c r="D58" s="353">
        <v>0.60799998044967696</v>
      </c>
      <c r="E58" s="353">
        <v>0.58099997043609597</v>
      </c>
      <c r="F58" s="354">
        <v>0.63298153877258301</v>
      </c>
      <c r="G58" s="298">
        <v>0.46100000000000002</v>
      </c>
      <c r="H58" s="298">
        <v>0.34499999999999997</v>
      </c>
      <c r="I58" s="298">
        <v>0.32200000000000001</v>
      </c>
      <c r="J58" s="298">
        <v>0.35</v>
      </c>
      <c r="K58" s="298">
        <v>0.38553500000000002</v>
      </c>
      <c r="L58" s="298">
        <v>0.39021600000000001</v>
      </c>
      <c r="M58" s="298">
        <v>0.38447300000000001</v>
      </c>
      <c r="N58" s="298">
        <v>0.390044</v>
      </c>
      <c r="O58" s="298">
        <v>0.38984200000000002</v>
      </c>
      <c r="P58" s="298">
        <v>0.38874799999999998</v>
      </c>
      <c r="Q58" s="298">
        <v>0.38986300000000002</v>
      </c>
      <c r="R58" s="298">
        <v>0.38962000000000002</v>
      </c>
      <c r="S58" s="298">
        <v>0.390509</v>
      </c>
      <c r="T58" s="298">
        <v>0.392071</v>
      </c>
      <c r="U58" s="298">
        <v>0.392706</v>
      </c>
      <c r="V58" s="298">
        <v>0.39272899999999999</v>
      </c>
      <c r="W58" s="298">
        <v>0.39312000000000002</v>
      </c>
      <c r="X58" s="298">
        <v>0.39413599999999999</v>
      </c>
      <c r="Y58" s="298">
        <v>0.39485900000000002</v>
      </c>
      <c r="Z58" s="298">
        <v>0.396202</v>
      </c>
      <c r="AA58" s="298">
        <v>0.39659499999999998</v>
      </c>
      <c r="AB58" s="298">
        <v>0.39696300000000001</v>
      </c>
      <c r="AC58" s="298">
        <v>0.398011</v>
      </c>
      <c r="AD58" s="298">
        <v>0.39871400000000001</v>
      </c>
      <c r="AE58" s="298">
        <v>0.39992499999999997</v>
      </c>
      <c r="AF58" s="298">
        <v>0.40121899999999999</v>
      </c>
      <c r="AG58" s="298">
        <v>0.40172999999999998</v>
      </c>
      <c r="AH58" s="298">
        <v>0.402443</v>
      </c>
      <c r="AI58" s="298">
        <v>0.40342099999999997</v>
      </c>
      <c r="AJ58" s="298">
        <v>0.40445900000000001</v>
      </c>
      <c r="AK58" s="299">
        <v>6.0000000000000001E-3</v>
      </c>
    </row>
    <row r="59" spans="1:37">
      <c r="A59" s="6" t="s">
        <v>659</v>
      </c>
      <c r="B59" s="353">
        <v>2.8580451011657702</v>
      </c>
      <c r="C59" s="353">
        <v>2.73703241348267</v>
      </c>
      <c r="D59" s="353">
        <v>2.4269983768463099</v>
      </c>
      <c r="E59" s="353">
        <v>2.3350048065185498</v>
      </c>
      <c r="F59" s="354">
        <v>2.2457344532012899</v>
      </c>
      <c r="G59" s="298">
        <v>2.0800260000000002</v>
      </c>
      <c r="H59" s="298">
        <v>1.965076</v>
      </c>
      <c r="I59" s="298">
        <v>1.942002</v>
      </c>
      <c r="J59" s="298">
        <v>1.9470000000000001</v>
      </c>
      <c r="K59" s="298">
        <v>2.0148790000000001</v>
      </c>
      <c r="L59" s="298">
        <v>2.0685479999999998</v>
      </c>
      <c r="M59" s="298">
        <v>2.1349170000000002</v>
      </c>
      <c r="N59" s="298">
        <v>2.1911809999999998</v>
      </c>
      <c r="O59" s="298">
        <v>2.2368299999999999</v>
      </c>
      <c r="P59" s="298">
        <v>2.276913</v>
      </c>
      <c r="Q59" s="298">
        <v>2.3108819999999999</v>
      </c>
      <c r="R59" s="298">
        <v>2.3269329999999999</v>
      </c>
      <c r="S59" s="298">
        <v>2.343264</v>
      </c>
      <c r="T59" s="298">
        <v>2.3722750000000001</v>
      </c>
      <c r="U59" s="298">
        <v>2.404312</v>
      </c>
      <c r="V59" s="298">
        <v>2.4265159999999999</v>
      </c>
      <c r="W59" s="298">
        <v>2.458132</v>
      </c>
      <c r="X59" s="298">
        <v>2.474024</v>
      </c>
      <c r="Y59" s="298">
        <v>2.4762659999999999</v>
      </c>
      <c r="Z59" s="298">
        <v>2.4857459999999998</v>
      </c>
      <c r="AA59" s="298">
        <v>2.4935139999999998</v>
      </c>
      <c r="AB59" s="298">
        <v>2.4994040000000002</v>
      </c>
      <c r="AC59" s="298">
        <v>2.4986790000000001</v>
      </c>
      <c r="AD59" s="298">
        <v>2.5103719999999998</v>
      </c>
      <c r="AE59" s="298">
        <v>2.5131139999999998</v>
      </c>
      <c r="AF59" s="298">
        <v>2.519142</v>
      </c>
      <c r="AG59" s="298">
        <v>2.531539</v>
      </c>
      <c r="AH59" s="298">
        <v>2.5507759999999999</v>
      </c>
      <c r="AI59" s="298">
        <v>2.550128</v>
      </c>
      <c r="AJ59" s="298">
        <v>2.5471759999999999</v>
      </c>
      <c r="AK59" s="299">
        <v>8.9999999999999993E-3</v>
      </c>
    </row>
    <row r="60" spans="1:37">
      <c r="A60" s="6" t="s">
        <v>155</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row>
    <row r="61" spans="1:37">
      <c r="A61" s="6" t="s">
        <v>154</v>
      </c>
      <c r="B61" s="353">
        <v>1.0618205070495601</v>
      </c>
      <c r="C61" s="353">
        <v>1.1093590259552</v>
      </c>
      <c r="D61" s="353">
        <v>1.0993635654449501</v>
      </c>
      <c r="E61" s="353">
        <v>1.10606873035431</v>
      </c>
      <c r="F61" s="354">
        <v>1.0538341999053999</v>
      </c>
      <c r="G61" s="298">
        <v>0.96948900000000005</v>
      </c>
      <c r="H61" s="298">
        <v>0.94076099999999996</v>
      </c>
      <c r="I61" s="298">
        <v>0.95062599999999997</v>
      </c>
      <c r="J61" s="298">
        <v>0.94062699999999999</v>
      </c>
      <c r="K61" s="298">
        <v>0.91689699999999996</v>
      </c>
      <c r="L61" s="298">
        <v>0.91578099999999996</v>
      </c>
      <c r="M61" s="298">
        <v>0.90966899999999995</v>
      </c>
      <c r="N61" s="298">
        <v>0.90114399999999995</v>
      </c>
      <c r="O61" s="298">
        <v>0.89199799999999996</v>
      </c>
      <c r="P61" s="298">
        <v>0.88283199999999995</v>
      </c>
      <c r="Q61" s="298">
        <v>0.87347300000000005</v>
      </c>
      <c r="R61" s="298">
        <v>0.86438899999999996</v>
      </c>
      <c r="S61" s="298">
        <v>0.85625499999999999</v>
      </c>
      <c r="T61" s="298">
        <v>0.84867599999999999</v>
      </c>
      <c r="U61" s="298">
        <v>0.84107299999999996</v>
      </c>
      <c r="V61" s="298">
        <v>0.83371399999999996</v>
      </c>
      <c r="W61" s="298">
        <v>0.82639200000000002</v>
      </c>
      <c r="X61" s="298">
        <v>0.81992799999999999</v>
      </c>
      <c r="Y61" s="298">
        <v>0.81319300000000005</v>
      </c>
      <c r="Z61" s="298">
        <v>0.80710899999999997</v>
      </c>
      <c r="AA61" s="298">
        <v>0.80122000000000004</v>
      </c>
      <c r="AB61" s="298">
        <v>0.795458</v>
      </c>
      <c r="AC61" s="298">
        <v>0.79006900000000002</v>
      </c>
      <c r="AD61" s="298">
        <v>0.78411900000000001</v>
      </c>
      <c r="AE61" s="298">
        <v>0.77970600000000001</v>
      </c>
      <c r="AF61" s="298">
        <v>0.77555200000000002</v>
      </c>
      <c r="AG61" s="298">
        <v>0.771922</v>
      </c>
      <c r="AH61" s="298">
        <v>0.76868800000000004</v>
      </c>
      <c r="AI61" s="298">
        <v>0.76499200000000001</v>
      </c>
      <c r="AJ61" s="298">
        <v>0.76103399999999999</v>
      </c>
      <c r="AK61" s="299">
        <v>-8.0000000000000002E-3</v>
      </c>
    </row>
    <row r="62" spans="1:37">
      <c r="A62" s="6" t="s">
        <v>660</v>
      </c>
      <c r="B62" s="353">
        <v>5.3221449851989702</v>
      </c>
      <c r="C62" s="353">
        <v>5.2595095634460396</v>
      </c>
      <c r="D62" s="353">
        <v>4.9765362739562997</v>
      </c>
      <c r="E62" s="353">
        <v>4.70910596847534</v>
      </c>
      <c r="F62" s="354">
        <v>4.5219602584838903</v>
      </c>
      <c r="G62" s="298">
        <v>4.4511919999999998</v>
      </c>
      <c r="H62" s="298">
        <v>4.421297</v>
      </c>
      <c r="I62" s="298">
        <v>4.5209929999999998</v>
      </c>
      <c r="J62" s="298">
        <v>4.6163509999999999</v>
      </c>
      <c r="K62" s="298">
        <v>4.7672689999999998</v>
      </c>
      <c r="L62" s="298">
        <v>4.940448</v>
      </c>
      <c r="M62" s="298">
        <v>5.0828059999999997</v>
      </c>
      <c r="N62" s="298">
        <v>5.1973799999999999</v>
      </c>
      <c r="O62" s="298">
        <v>5.2962569999999998</v>
      </c>
      <c r="P62" s="298">
        <v>5.3737599999999999</v>
      </c>
      <c r="Q62" s="298">
        <v>5.42516</v>
      </c>
      <c r="R62" s="298">
        <v>5.4817600000000004</v>
      </c>
      <c r="S62" s="298">
        <v>5.536664</v>
      </c>
      <c r="T62" s="298">
        <v>5.5895760000000001</v>
      </c>
      <c r="U62" s="298">
        <v>5.635637</v>
      </c>
      <c r="V62" s="298">
        <v>5.6575449999999998</v>
      </c>
      <c r="W62" s="298">
        <v>5.6945290000000002</v>
      </c>
      <c r="X62" s="298">
        <v>5.724005</v>
      </c>
      <c r="Y62" s="298">
        <v>5.7184200000000001</v>
      </c>
      <c r="Z62" s="298">
        <v>5.7229380000000001</v>
      </c>
      <c r="AA62" s="298">
        <v>5.7270849999999998</v>
      </c>
      <c r="AB62" s="298">
        <v>5.7279549999999997</v>
      </c>
      <c r="AC62" s="298">
        <v>5.7151949999999996</v>
      </c>
      <c r="AD62" s="298">
        <v>5.7039289999999996</v>
      </c>
      <c r="AE62" s="298">
        <v>5.6985010000000003</v>
      </c>
      <c r="AF62" s="298">
        <v>5.6904269999999997</v>
      </c>
      <c r="AG62" s="298">
        <v>5.7088890000000001</v>
      </c>
      <c r="AH62" s="298">
        <v>5.7191020000000004</v>
      </c>
      <c r="AI62" s="298">
        <v>5.7061400000000004</v>
      </c>
      <c r="AJ62" s="298">
        <v>5.6839209999999998</v>
      </c>
      <c r="AK62" s="299">
        <v>8.9999999999999993E-3</v>
      </c>
    </row>
    <row r="63" spans="1:37">
      <c r="A63" s="6" t="s">
        <v>153</v>
      </c>
      <c r="B63" s="353">
        <v>14.205528259277299</v>
      </c>
      <c r="C63" s="353">
        <v>14.253752708435099</v>
      </c>
      <c r="D63" s="353">
        <v>13.661909103393601</v>
      </c>
      <c r="E63" s="353">
        <v>13.477608680725099</v>
      </c>
      <c r="F63" s="354">
        <v>13.9932947158813</v>
      </c>
      <c r="G63" s="298">
        <v>13.653123000000001</v>
      </c>
      <c r="H63" s="298">
        <v>13.443807</v>
      </c>
      <c r="I63" s="298">
        <v>13.46326</v>
      </c>
      <c r="J63" s="298">
        <v>13.410075000000001</v>
      </c>
      <c r="K63" s="298">
        <v>13.391593</v>
      </c>
      <c r="L63" s="298">
        <v>13.423278</v>
      </c>
      <c r="M63" s="298">
        <v>13.416093</v>
      </c>
      <c r="N63" s="298">
        <v>13.359128999999999</v>
      </c>
      <c r="O63" s="298">
        <v>13.277658000000001</v>
      </c>
      <c r="P63" s="298">
        <v>13.193913999999999</v>
      </c>
      <c r="Q63" s="298">
        <v>13.108468</v>
      </c>
      <c r="R63" s="298">
        <v>13.021044</v>
      </c>
      <c r="S63" s="298">
        <v>12.924597</v>
      </c>
      <c r="T63" s="298">
        <v>12.819832</v>
      </c>
      <c r="U63" s="298">
        <v>12.713536</v>
      </c>
      <c r="V63" s="298">
        <v>12.616394</v>
      </c>
      <c r="W63" s="298">
        <v>12.527696000000001</v>
      </c>
      <c r="X63" s="298">
        <v>12.445028000000001</v>
      </c>
      <c r="Y63" s="298">
        <v>12.377145000000001</v>
      </c>
      <c r="Z63" s="298">
        <v>12.324268</v>
      </c>
      <c r="AA63" s="298">
        <v>12.281888</v>
      </c>
      <c r="AB63" s="298">
        <v>12.244210000000001</v>
      </c>
      <c r="AC63" s="298">
        <v>12.219082999999999</v>
      </c>
      <c r="AD63" s="298">
        <v>12.208591999999999</v>
      </c>
      <c r="AE63" s="298">
        <v>12.201549</v>
      </c>
      <c r="AF63" s="298">
        <v>12.192887000000001</v>
      </c>
      <c r="AG63" s="298">
        <v>12.189211999999999</v>
      </c>
      <c r="AH63" s="298">
        <v>12.193395000000001</v>
      </c>
      <c r="AI63" s="298">
        <v>12.201965</v>
      </c>
      <c r="AJ63" s="298">
        <v>12.203708000000001</v>
      </c>
      <c r="AK63" s="299">
        <v>-3.0000000000000001E-3</v>
      </c>
    </row>
    <row r="64" spans="1:37">
      <c r="A64" s="6" t="s">
        <v>661</v>
      </c>
      <c r="B64" s="353">
        <v>0.28576692938804599</v>
      </c>
      <c r="C64" s="353">
        <v>0.295045405626297</v>
      </c>
      <c r="D64" s="353">
        <v>0.215673848986626</v>
      </c>
      <c r="E64" s="353">
        <v>0.21838557720184301</v>
      </c>
      <c r="F64" s="354">
        <v>0.21773074567317999</v>
      </c>
      <c r="G64" s="298">
        <v>0.13995199999999999</v>
      </c>
      <c r="H64" s="298">
        <v>0.10258100000000001</v>
      </c>
      <c r="I64" s="298">
        <v>9.1968999999999995E-2</v>
      </c>
      <c r="J64" s="298">
        <v>9.2428999999999997E-2</v>
      </c>
      <c r="K64" s="298">
        <v>9.2261999999999997E-2</v>
      </c>
      <c r="L64" s="298">
        <v>8.9524000000000006E-2</v>
      </c>
      <c r="M64" s="298">
        <v>7.9076999999999995E-2</v>
      </c>
      <c r="N64" s="298">
        <v>8.0381999999999995E-2</v>
      </c>
      <c r="O64" s="298">
        <v>8.0076999999999995E-2</v>
      </c>
      <c r="P64" s="298">
        <v>8.0298999999999995E-2</v>
      </c>
      <c r="Q64" s="298">
        <v>8.0979999999999996E-2</v>
      </c>
      <c r="R64" s="298">
        <v>8.1548999999999996E-2</v>
      </c>
      <c r="S64" s="298">
        <v>8.2155000000000006E-2</v>
      </c>
      <c r="T64" s="298">
        <v>8.3019999999999997E-2</v>
      </c>
      <c r="U64" s="298">
        <v>8.3024000000000001E-2</v>
      </c>
      <c r="V64" s="298">
        <v>8.1849000000000005E-2</v>
      </c>
      <c r="W64" s="298">
        <v>8.1641000000000005E-2</v>
      </c>
      <c r="X64" s="298">
        <v>8.1735000000000002E-2</v>
      </c>
      <c r="Y64" s="298">
        <v>8.2040000000000002E-2</v>
      </c>
      <c r="Z64" s="298">
        <v>8.2365999999999995E-2</v>
      </c>
      <c r="AA64" s="298">
        <v>8.1250000000000003E-2</v>
      </c>
      <c r="AB64" s="298">
        <v>8.1303E-2</v>
      </c>
      <c r="AC64" s="298">
        <v>8.1448999999999994E-2</v>
      </c>
      <c r="AD64" s="298">
        <v>8.1864999999999993E-2</v>
      </c>
      <c r="AE64" s="298">
        <v>8.2123000000000002E-2</v>
      </c>
      <c r="AF64" s="298">
        <v>8.2472000000000004E-2</v>
      </c>
      <c r="AG64" s="298">
        <v>8.2769999999999996E-2</v>
      </c>
      <c r="AH64" s="298">
        <v>8.3155000000000007E-2</v>
      </c>
      <c r="AI64" s="298">
        <v>8.3571999999999994E-2</v>
      </c>
      <c r="AJ64" s="298">
        <v>8.3961999999999995E-2</v>
      </c>
      <c r="AK64" s="299">
        <v>-7.0000000000000001E-3</v>
      </c>
    </row>
    <row r="65" spans="1:37">
      <c r="A65" s="6" t="s">
        <v>152</v>
      </c>
      <c r="B65" s="353">
        <v>20.654685974121101</v>
      </c>
      <c r="C65" s="353">
        <v>20.6498107910156</v>
      </c>
      <c r="D65" s="353">
        <v>19.5445957183838</v>
      </c>
      <c r="E65" s="353">
        <v>19.245325088501001</v>
      </c>
      <c r="F65" s="354">
        <v>19.787778854370099</v>
      </c>
      <c r="G65" s="249">
        <v>18.92342</v>
      </c>
      <c r="H65" s="249">
        <v>18.486381999999999</v>
      </c>
      <c r="I65" s="249">
        <v>18.638722999999999</v>
      </c>
      <c r="J65" s="249">
        <v>18.700082999999999</v>
      </c>
      <c r="K65" s="249">
        <v>19.167159999999999</v>
      </c>
      <c r="L65" s="249">
        <v>19.368099000000001</v>
      </c>
      <c r="M65" s="249">
        <v>19.486657999999998</v>
      </c>
      <c r="N65" s="249">
        <v>19.537004</v>
      </c>
      <c r="O65" s="249">
        <v>19.544903000000001</v>
      </c>
      <c r="P65" s="249">
        <v>19.529665000000001</v>
      </c>
      <c r="Q65" s="249">
        <v>19.486916000000001</v>
      </c>
      <c r="R65" s="249">
        <v>19.44755</v>
      </c>
      <c r="S65" s="249">
        <v>19.398457000000001</v>
      </c>
      <c r="T65" s="249">
        <v>19.339873999999998</v>
      </c>
      <c r="U65" s="249">
        <v>19.272027999999999</v>
      </c>
      <c r="V65" s="249">
        <v>19.188255000000002</v>
      </c>
      <c r="W65" s="249">
        <v>19.129000000000001</v>
      </c>
      <c r="X65" s="249">
        <v>19.069431000000002</v>
      </c>
      <c r="Y65" s="249">
        <v>18.989547999999999</v>
      </c>
      <c r="Z65" s="249">
        <v>18.935445999999999</v>
      </c>
      <c r="AA65" s="249">
        <v>18.890217</v>
      </c>
      <c r="AB65" s="249">
        <v>18.847709999999999</v>
      </c>
      <c r="AC65" s="249">
        <v>18.804594000000002</v>
      </c>
      <c r="AD65" s="249">
        <v>18.777315000000002</v>
      </c>
      <c r="AE65" s="249">
        <v>18.760704</v>
      </c>
      <c r="AF65" s="249">
        <v>18.740176999999999</v>
      </c>
      <c r="AG65" s="249">
        <v>18.751633000000002</v>
      </c>
      <c r="AH65" s="249">
        <v>18.763190999999999</v>
      </c>
      <c r="AI65" s="249">
        <v>18.755531000000001</v>
      </c>
      <c r="AJ65" s="249">
        <v>18.731504000000001</v>
      </c>
      <c r="AK65" s="250">
        <v>0</v>
      </c>
    </row>
    <row r="66" spans="1:37">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row>
    <row r="67" spans="1:37">
      <c r="A67" s="6" t="s">
        <v>662</v>
      </c>
      <c r="B67" s="353">
        <v>4.2667388916015597E-2</v>
      </c>
      <c r="C67" s="353">
        <v>0.11821937561035201</v>
      </c>
      <c r="D67" s="353">
        <v>0.102603912353516</v>
      </c>
      <c r="E67" s="353">
        <v>0.17598533630371099</v>
      </c>
      <c r="F67" s="354">
        <v>-0.19984626770019501</v>
      </c>
      <c r="G67" s="298">
        <v>1.5162999999999999E-2</v>
      </c>
      <c r="H67" s="298">
        <v>0.105907</v>
      </c>
      <c r="I67" s="298">
        <v>0.34659600000000002</v>
      </c>
      <c r="J67" s="298">
        <v>0.115158</v>
      </c>
      <c r="K67" s="298">
        <v>-9.7140000000000004E-3</v>
      </c>
      <c r="L67" s="298">
        <v>-9.1500000000000001E-3</v>
      </c>
      <c r="M67" s="298">
        <v>-9.129E-3</v>
      </c>
      <c r="N67" s="298">
        <v>-9.3959999999999998E-3</v>
      </c>
      <c r="O67" s="298">
        <v>-9.4409999999999997E-3</v>
      </c>
      <c r="P67" s="298">
        <v>-9.2980000000000007E-3</v>
      </c>
      <c r="Q67" s="298">
        <v>-9.8270000000000007E-3</v>
      </c>
      <c r="R67" s="298">
        <v>-9.7409999999999997E-3</v>
      </c>
      <c r="S67" s="298">
        <v>-9.6889999999999997E-3</v>
      </c>
      <c r="T67" s="298">
        <v>-9.8569999999999994E-3</v>
      </c>
      <c r="U67" s="298">
        <v>-9.7099999999999999E-3</v>
      </c>
      <c r="V67" s="298">
        <v>-9.4129999999999995E-3</v>
      </c>
      <c r="W67" s="298">
        <v>-9.7260000000000003E-3</v>
      </c>
      <c r="X67" s="298">
        <v>-9.5440000000000004E-3</v>
      </c>
      <c r="Y67" s="298">
        <v>-8.9110000000000005E-3</v>
      </c>
      <c r="Z67" s="298">
        <v>-9.2739999999999993E-3</v>
      </c>
      <c r="AA67" s="298">
        <v>-9.4389999999999995E-3</v>
      </c>
      <c r="AB67" s="298">
        <v>-9.6170000000000005E-3</v>
      </c>
      <c r="AC67" s="298">
        <v>-9.1479999999999999E-3</v>
      </c>
      <c r="AD67" s="298">
        <v>-8.9969999999999998E-3</v>
      </c>
      <c r="AE67" s="298">
        <v>-8.8159999999999992E-3</v>
      </c>
      <c r="AF67" s="298">
        <v>-8.2660000000000008E-3</v>
      </c>
      <c r="AG67" s="298">
        <v>-8.2740000000000001E-3</v>
      </c>
      <c r="AH67" s="298">
        <v>-7.711E-3</v>
      </c>
      <c r="AI67" s="298">
        <v>-7.0080000000000003E-3</v>
      </c>
      <c r="AJ67" s="298">
        <v>-6.5420000000000001E-3</v>
      </c>
      <c r="AK67" s="298" t="s">
        <v>39</v>
      </c>
    </row>
    <row r="68" spans="1:37">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row>
    <row r="69" spans="1:37">
      <c r="A69" s="6" t="s">
        <v>663</v>
      </c>
      <c r="B69" s="367">
        <v>17.3390007019043</v>
      </c>
      <c r="C69" s="367">
        <v>17.4409999847412</v>
      </c>
      <c r="D69" s="367">
        <v>17.5890007019043</v>
      </c>
      <c r="E69" s="367">
        <v>17.5890007019043</v>
      </c>
      <c r="F69" s="368">
        <v>17.994850158691399</v>
      </c>
      <c r="G69" s="298">
        <v>17.704999999999998</v>
      </c>
      <c r="H69" s="298">
        <v>17.315000999999999</v>
      </c>
      <c r="I69" s="298">
        <v>17.818999999999999</v>
      </c>
      <c r="J69" s="298">
        <v>17.818999999999999</v>
      </c>
      <c r="K69" s="298">
        <v>18.114657999999999</v>
      </c>
      <c r="L69" s="298">
        <v>18.129657999999999</v>
      </c>
      <c r="M69" s="298">
        <v>18.129657999999999</v>
      </c>
      <c r="N69" s="298">
        <v>18.129657999999999</v>
      </c>
      <c r="O69" s="298">
        <v>18.129657999999999</v>
      </c>
      <c r="P69" s="298">
        <v>18.129657999999999</v>
      </c>
      <c r="Q69" s="298">
        <v>18.129657999999999</v>
      </c>
      <c r="R69" s="298">
        <v>18.129657999999999</v>
      </c>
      <c r="S69" s="298">
        <v>18.129657999999999</v>
      </c>
      <c r="T69" s="298">
        <v>18.129657999999999</v>
      </c>
      <c r="U69" s="298">
        <v>18.129657999999999</v>
      </c>
      <c r="V69" s="298">
        <v>18.129657999999999</v>
      </c>
      <c r="W69" s="298">
        <v>18.129657999999999</v>
      </c>
      <c r="X69" s="298">
        <v>18.129657999999999</v>
      </c>
      <c r="Y69" s="298">
        <v>18.129657999999999</v>
      </c>
      <c r="Z69" s="298">
        <v>18.129657999999999</v>
      </c>
      <c r="AA69" s="298">
        <v>18.129657999999999</v>
      </c>
      <c r="AB69" s="298">
        <v>18.129657999999999</v>
      </c>
      <c r="AC69" s="298">
        <v>18.129657999999999</v>
      </c>
      <c r="AD69" s="298">
        <v>18.129657999999999</v>
      </c>
      <c r="AE69" s="298">
        <v>18.129657999999999</v>
      </c>
      <c r="AF69" s="298">
        <v>18.129657999999999</v>
      </c>
      <c r="AG69" s="298">
        <v>18.129657999999999</v>
      </c>
      <c r="AH69" s="298">
        <v>18.129657999999999</v>
      </c>
      <c r="AI69" s="298">
        <v>18.129657999999999</v>
      </c>
      <c r="AJ69" s="298">
        <v>18.129657999999999</v>
      </c>
      <c r="AK69" s="299">
        <v>2E-3</v>
      </c>
    </row>
    <row r="70" spans="1:37">
      <c r="A70" s="6" t="s">
        <v>664</v>
      </c>
      <c r="B70" s="367">
        <v>90</v>
      </c>
      <c r="C70" s="367">
        <v>89</v>
      </c>
      <c r="D70" s="367">
        <v>85</v>
      </c>
      <c r="E70" s="367">
        <v>84</v>
      </c>
      <c r="F70" s="368">
        <v>78.951698303222699</v>
      </c>
      <c r="G70" s="298">
        <v>86</v>
      </c>
      <c r="H70" s="298">
        <v>89</v>
      </c>
      <c r="I70" s="298">
        <v>87</v>
      </c>
      <c r="J70" s="298">
        <v>87</v>
      </c>
      <c r="K70" s="298">
        <v>83.929221999999996</v>
      </c>
      <c r="L70" s="298">
        <v>84.444526999999994</v>
      </c>
      <c r="M70" s="298">
        <v>84.784676000000005</v>
      </c>
      <c r="N70" s="298">
        <v>84.856537000000003</v>
      </c>
      <c r="O70" s="298">
        <v>84.762580999999997</v>
      </c>
      <c r="P70" s="298">
        <v>84.610602999999998</v>
      </c>
      <c r="Q70" s="298">
        <v>84.422150000000002</v>
      </c>
      <c r="R70" s="298">
        <v>84.011527999999998</v>
      </c>
      <c r="S70" s="298">
        <v>83.650841</v>
      </c>
      <c r="T70" s="298">
        <v>83.337349000000003</v>
      </c>
      <c r="U70" s="298">
        <v>83.051040999999998</v>
      </c>
      <c r="V70" s="298">
        <v>82.852858999999995</v>
      </c>
      <c r="W70" s="298">
        <v>82.751807999999997</v>
      </c>
      <c r="X70" s="298">
        <v>82.579086000000004</v>
      </c>
      <c r="Y70" s="298">
        <v>82.446686</v>
      </c>
      <c r="Z70" s="298">
        <v>82.407532000000003</v>
      </c>
      <c r="AA70" s="298">
        <v>82.401390000000006</v>
      </c>
      <c r="AB70" s="298">
        <v>82.379172999999994</v>
      </c>
      <c r="AC70" s="298">
        <v>82.419548000000006</v>
      </c>
      <c r="AD70" s="298">
        <v>82.643226999999996</v>
      </c>
      <c r="AE70" s="298">
        <v>82.856575000000007</v>
      </c>
      <c r="AF70" s="298">
        <v>83.059607999999997</v>
      </c>
      <c r="AG70" s="298">
        <v>83.321395999999993</v>
      </c>
      <c r="AH70" s="298">
        <v>83.713463000000004</v>
      </c>
      <c r="AI70" s="298">
        <v>83.800713000000002</v>
      </c>
      <c r="AJ70" s="298">
        <v>83.967208999999997</v>
      </c>
      <c r="AK70" s="299">
        <v>-2E-3</v>
      </c>
    </row>
    <row r="71" spans="1:37">
      <c r="A71" s="6" t="s">
        <v>151</v>
      </c>
      <c r="B71" s="367">
        <v>60.165718078613303</v>
      </c>
      <c r="C71" s="367">
        <v>58.3234672546387</v>
      </c>
      <c r="D71" s="367">
        <v>56.096931457519503</v>
      </c>
      <c r="E71" s="367">
        <v>53.113201141357401</v>
      </c>
      <c r="F71" s="368">
        <v>50.657768249511697</v>
      </c>
      <c r="G71" s="298">
        <v>45.229275000000001</v>
      </c>
      <c r="H71" s="298">
        <v>40.315280999999999</v>
      </c>
      <c r="I71" s="298">
        <v>33.537674000000003</v>
      </c>
      <c r="J71" s="298">
        <v>28.732861</v>
      </c>
      <c r="K71" s="298">
        <v>27.439371000000001</v>
      </c>
      <c r="L71" s="298">
        <v>25.212821999999999</v>
      </c>
      <c r="M71" s="298">
        <v>25.371447</v>
      </c>
      <c r="N71" s="298">
        <v>25.397780999999998</v>
      </c>
      <c r="O71" s="298">
        <v>25.272306</v>
      </c>
      <c r="P71" s="298">
        <v>25.605276</v>
      </c>
      <c r="Q71" s="298">
        <v>26.339932999999998</v>
      </c>
      <c r="R71" s="298">
        <v>26.391024000000002</v>
      </c>
      <c r="S71" s="298">
        <v>26.330031999999999</v>
      </c>
      <c r="T71" s="298">
        <v>26.557704999999999</v>
      </c>
      <c r="U71" s="298">
        <v>26.574638</v>
      </c>
      <c r="V71" s="298">
        <v>27.074511000000001</v>
      </c>
      <c r="W71" s="298">
        <v>27.628391000000001</v>
      </c>
      <c r="X71" s="298">
        <v>28.164417</v>
      </c>
      <c r="Y71" s="298">
        <v>28.574669</v>
      </c>
      <c r="Z71" s="298">
        <v>28.600802999999999</v>
      </c>
      <c r="AA71" s="298">
        <v>29.035553</v>
      </c>
      <c r="AB71" s="298">
        <v>29.225125999999999</v>
      </c>
      <c r="AC71" s="298">
        <v>29.185209</v>
      </c>
      <c r="AD71" s="298">
        <v>29.338975999999999</v>
      </c>
      <c r="AE71" s="298">
        <v>29.911650000000002</v>
      </c>
      <c r="AF71" s="298">
        <v>30.578768</v>
      </c>
      <c r="AG71" s="298">
        <v>30.764973000000001</v>
      </c>
      <c r="AH71" s="298">
        <v>31.641760000000001</v>
      </c>
      <c r="AI71" s="298">
        <v>31.827915000000001</v>
      </c>
      <c r="AJ71" s="298">
        <v>32.156517000000001</v>
      </c>
      <c r="AK71" s="299">
        <v>-8.0000000000000002E-3</v>
      </c>
    </row>
    <row r="72" spans="1:37" s="269" customFormat="1">
      <c r="A72" s="268" t="s">
        <v>150</v>
      </c>
      <c r="B72" s="353">
        <v>15.605100631713899</v>
      </c>
      <c r="C72" s="353">
        <v>15.522489547729499</v>
      </c>
      <c r="D72" s="353">
        <v>14.950650215148899</v>
      </c>
      <c r="E72" s="353">
        <v>14.7747602462769</v>
      </c>
      <c r="F72" s="354">
        <v>14.2072401046753</v>
      </c>
      <c r="G72" s="319">
        <v>14.3342885971069</v>
      </c>
      <c r="H72" s="319">
        <v>14.411810874939</v>
      </c>
      <c r="I72" s="319">
        <v>14.427806854248001</v>
      </c>
      <c r="J72" s="319">
        <v>14.247616767883301</v>
      </c>
      <c r="K72" s="319">
        <v>14.1760416030884</v>
      </c>
      <c r="L72" s="319">
        <v>14.1692085266113</v>
      </c>
      <c r="M72" s="319">
        <v>14.217811584472701</v>
      </c>
      <c r="N72" s="319">
        <v>14.219580650329601</v>
      </c>
      <c r="O72" s="319">
        <v>14.2103576660156</v>
      </c>
      <c r="P72" s="319">
        <v>14.200039863586399</v>
      </c>
      <c r="Q72" s="319">
        <v>14.1303453445435</v>
      </c>
      <c r="R72" s="319">
        <v>14.095740318298301</v>
      </c>
      <c r="S72" s="319">
        <v>14.0861167907715</v>
      </c>
      <c r="T72" s="319">
        <v>14.1125946044922</v>
      </c>
      <c r="U72" s="319">
        <v>14.163477897644</v>
      </c>
      <c r="V72" s="319">
        <v>14.242433547973601</v>
      </c>
      <c r="W72" s="319">
        <v>14.2973442077637</v>
      </c>
      <c r="X72" s="319">
        <v>14.4011936187744</v>
      </c>
      <c r="Y72" s="319">
        <v>14.4425506591797</v>
      </c>
      <c r="Z72" s="319">
        <v>14.573932647705099</v>
      </c>
      <c r="AA72" s="319"/>
      <c r="AB72" s="319"/>
      <c r="AC72" s="319"/>
      <c r="AD72" s="319"/>
      <c r="AE72" s="319"/>
      <c r="AF72" s="319"/>
      <c r="AG72" s="319"/>
      <c r="AH72" s="319"/>
      <c r="AI72" s="319"/>
      <c r="AJ72" s="319"/>
      <c r="AK72" s="320">
        <v>-2.73776054382324E-3</v>
      </c>
    </row>
    <row r="73" spans="1:37">
      <c r="A73" s="6" t="s">
        <v>149</v>
      </c>
    </row>
    <row r="74" spans="1:37">
      <c r="A74" s="6" t="s">
        <v>591</v>
      </c>
      <c r="B74" s="353">
        <v>272.80218505859398</v>
      </c>
      <c r="C74" s="353">
        <v>280.12564086914102</v>
      </c>
      <c r="D74" s="353">
        <v>321.28717041015602</v>
      </c>
      <c r="E74" s="353">
        <v>195.51596069335901</v>
      </c>
      <c r="F74" s="354">
        <v>246.62348937988301</v>
      </c>
      <c r="G74" s="298">
        <v>494.73007200000001</v>
      </c>
      <c r="H74" s="298">
        <v>313.70205700000002</v>
      </c>
      <c r="I74" s="298">
        <v>257.058716</v>
      </c>
      <c r="J74" s="298">
        <v>219.518845</v>
      </c>
      <c r="K74" s="298">
        <v>213.13346899999999</v>
      </c>
      <c r="L74" s="298">
        <v>192.04028299999999</v>
      </c>
      <c r="M74" s="298">
        <v>190.19305399999999</v>
      </c>
      <c r="N74" s="298">
        <v>190.97583</v>
      </c>
      <c r="O74" s="298">
        <v>193.05748</v>
      </c>
      <c r="P74" s="298">
        <v>198.85289</v>
      </c>
      <c r="Q74" s="298">
        <v>207.326324</v>
      </c>
      <c r="R74" s="298">
        <v>214.50224299999999</v>
      </c>
      <c r="S74" s="298">
        <v>220.992096</v>
      </c>
      <c r="T74" s="298">
        <v>228.38960299999999</v>
      </c>
      <c r="U74" s="298">
        <v>234.269226</v>
      </c>
      <c r="V74" s="298">
        <v>243.98199500000001</v>
      </c>
      <c r="W74" s="298">
        <v>254.790054</v>
      </c>
      <c r="X74" s="298">
        <v>263.61831699999999</v>
      </c>
      <c r="Y74" s="298">
        <v>272.543701</v>
      </c>
      <c r="Z74" s="298">
        <v>278.59802200000001</v>
      </c>
      <c r="AA74" s="298">
        <v>289.04888899999997</v>
      </c>
      <c r="AB74" s="298">
        <v>297.603973</v>
      </c>
      <c r="AC74" s="298">
        <v>305.14331099999998</v>
      </c>
      <c r="AD74" s="298">
        <v>315.75491299999999</v>
      </c>
      <c r="AE74" s="298">
        <v>327.328461</v>
      </c>
      <c r="AF74" s="298">
        <v>338.67947400000003</v>
      </c>
      <c r="AG74" s="298">
        <v>347.810272</v>
      </c>
      <c r="AH74" s="298">
        <v>363.35360700000001</v>
      </c>
      <c r="AI74" s="298">
        <v>372.92919899999998</v>
      </c>
      <c r="AJ74" s="298">
        <v>385.39370700000001</v>
      </c>
      <c r="AK74" s="299">
        <v>7.0000000000000001E-3</v>
      </c>
    </row>
    <row r="78" spans="1:37" s="267" customFormat="1" ht="15" customHeight="1">
      <c r="A78" s="560" t="s">
        <v>592</v>
      </c>
      <c r="B78" s="560"/>
      <c r="C78" s="560"/>
      <c r="D78" s="560"/>
      <c r="E78" s="560"/>
      <c r="F78" s="560"/>
      <c r="G78" s="560"/>
      <c r="H78" s="560"/>
      <c r="I78" s="560"/>
      <c r="J78" s="560"/>
      <c r="K78" s="560"/>
      <c r="L78" s="560"/>
      <c r="M78" s="560"/>
      <c r="N78" s="560"/>
      <c r="O78" s="560"/>
      <c r="P78" s="560"/>
      <c r="Q78" s="560"/>
      <c r="R78" s="560"/>
      <c r="S78" s="560"/>
      <c r="T78" s="560"/>
      <c r="U78" s="560"/>
      <c r="V78" s="560"/>
      <c r="W78" s="560"/>
      <c r="X78" s="560"/>
      <c r="Y78" s="560"/>
      <c r="Z78" s="560"/>
      <c r="AA78" s="560"/>
      <c r="AB78" s="560"/>
      <c r="AC78" s="560"/>
      <c r="AD78" s="560"/>
      <c r="AE78" s="560"/>
      <c r="AF78" s="560"/>
      <c r="AG78" s="303"/>
      <c r="AH78" s="303"/>
      <c r="AI78" s="303"/>
      <c r="AJ78" s="303"/>
      <c r="AK78" s="303"/>
    </row>
    <row r="79" spans="1:37" customFormat="1" ht="15" customHeight="1">
      <c r="A79" s="559" t="s">
        <v>593</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302"/>
      <c r="AH79" s="302"/>
      <c r="AI79" s="302"/>
      <c r="AJ79" s="302"/>
      <c r="AK79" s="302"/>
    </row>
    <row r="80" spans="1:37" customFormat="1" ht="15" customHeight="1">
      <c r="A80" s="559" t="s">
        <v>594</v>
      </c>
      <c r="B80" s="559"/>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302"/>
      <c r="AH80" s="302"/>
      <c r="AI80" s="302"/>
      <c r="AJ80" s="302"/>
      <c r="AK80" s="302"/>
    </row>
    <row r="81" spans="1:37" customFormat="1" ht="15" customHeight="1">
      <c r="A81" s="559" t="s">
        <v>595</v>
      </c>
      <c r="B81" s="559"/>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302"/>
      <c r="AH81" s="302"/>
      <c r="AI81" s="302"/>
      <c r="AJ81" s="302"/>
      <c r="AK81" s="302"/>
    </row>
    <row r="82" spans="1:37" customFormat="1" ht="15" customHeight="1">
      <c r="A82" s="559" t="s">
        <v>596</v>
      </c>
      <c r="B82" s="559"/>
      <c r="C82" s="559"/>
      <c r="D82" s="559"/>
      <c r="E82" s="559"/>
      <c r="F82" s="559"/>
      <c r="G82" s="559"/>
      <c r="H82" s="559"/>
      <c r="I82" s="559"/>
      <c r="J82" s="559"/>
      <c r="K82" s="559"/>
      <c r="L82" s="559"/>
      <c r="M82" s="559"/>
      <c r="N82" s="559"/>
      <c r="O82" s="559"/>
      <c r="P82" s="559"/>
      <c r="Q82" s="559"/>
      <c r="R82" s="559"/>
      <c r="S82" s="559"/>
      <c r="T82" s="559"/>
      <c r="U82" s="559"/>
      <c r="V82" s="559"/>
      <c r="W82" s="559"/>
      <c r="X82" s="559"/>
      <c r="Y82" s="559"/>
      <c r="Z82" s="559"/>
      <c r="AA82" s="559"/>
      <c r="AB82" s="559"/>
      <c r="AC82" s="559"/>
      <c r="AD82" s="559"/>
      <c r="AE82" s="559"/>
      <c r="AF82" s="559"/>
      <c r="AG82" s="302"/>
      <c r="AH82" s="302"/>
      <c r="AI82" s="302"/>
      <c r="AJ82" s="302"/>
      <c r="AK82" s="302"/>
    </row>
    <row r="83" spans="1:37" customFormat="1" ht="15" customHeight="1">
      <c r="A83" s="559" t="s">
        <v>597</v>
      </c>
      <c r="B83" s="559"/>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c r="AD83" s="559"/>
      <c r="AE83" s="559"/>
      <c r="AF83" s="559"/>
      <c r="AG83" s="302"/>
      <c r="AH83" s="302"/>
      <c r="AI83" s="302"/>
      <c r="AJ83" s="302"/>
      <c r="AK83" s="302"/>
    </row>
    <row r="84" spans="1:37" customFormat="1" ht="15" customHeight="1">
      <c r="A84" s="559" t="s">
        <v>598</v>
      </c>
      <c r="B84" s="559"/>
      <c r="C84" s="559"/>
      <c r="D84" s="559"/>
      <c r="E84" s="559"/>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c r="AD84" s="559"/>
      <c r="AE84" s="559"/>
      <c r="AF84" s="559"/>
      <c r="AG84" s="302"/>
      <c r="AH84" s="302"/>
      <c r="AI84" s="302"/>
      <c r="AJ84" s="302"/>
      <c r="AK84" s="302"/>
    </row>
    <row r="85" spans="1:37" customFormat="1" ht="15" customHeight="1">
      <c r="A85" s="559" t="s">
        <v>599</v>
      </c>
      <c r="B85" s="559"/>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c r="AD85" s="559"/>
      <c r="AE85" s="559"/>
      <c r="AF85" s="559"/>
      <c r="AG85" s="302"/>
      <c r="AH85" s="302"/>
      <c r="AI85" s="302"/>
      <c r="AJ85" s="302"/>
      <c r="AK85" s="302"/>
    </row>
    <row r="86" spans="1:37" customFormat="1" ht="15" customHeight="1">
      <c r="A86" s="559" t="s">
        <v>600</v>
      </c>
      <c r="B86" s="559"/>
      <c r="C86" s="559"/>
      <c r="D86" s="559"/>
      <c r="E86" s="559"/>
      <c r="F86" s="559"/>
      <c r="G86" s="559"/>
      <c r="H86" s="559"/>
      <c r="I86" s="559"/>
      <c r="J86" s="559"/>
      <c r="K86" s="559"/>
      <c r="L86" s="559"/>
      <c r="M86" s="559"/>
      <c r="N86" s="559"/>
      <c r="O86" s="559"/>
      <c r="P86" s="559"/>
      <c r="Q86" s="559"/>
      <c r="R86" s="559"/>
      <c r="S86" s="559"/>
      <c r="T86" s="559"/>
      <c r="U86" s="559"/>
      <c r="V86" s="559"/>
      <c r="W86" s="559"/>
      <c r="X86" s="559"/>
      <c r="Y86" s="559"/>
      <c r="Z86" s="559"/>
      <c r="AA86" s="559"/>
      <c r="AB86" s="559"/>
      <c r="AC86" s="559"/>
      <c r="AD86" s="559"/>
      <c r="AE86" s="559"/>
      <c r="AF86" s="559"/>
      <c r="AG86" s="302"/>
      <c r="AH86" s="302"/>
      <c r="AI86" s="302"/>
      <c r="AJ86" s="302"/>
      <c r="AK86" s="302"/>
    </row>
    <row r="87" spans="1:37" customFormat="1" ht="15" customHeight="1">
      <c r="A87" s="559" t="s">
        <v>601</v>
      </c>
      <c r="B87" s="559"/>
      <c r="C87" s="559"/>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302"/>
      <c r="AH87" s="302"/>
      <c r="AI87" s="302"/>
      <c r="AJ87" s="302"/>
      <c r="AK87" s="302"/>
    </row>
    <row r="88" spans="1:37" customFormat="1" ht="15" customHeight="1">
      <c r="A88" s="559" t="s">
        <v>602</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302"/>
      <c r="AH88" s="302"/>
      <c r="AI88" s="302"/>
      <c r="AJ88" s="302"/>
      <c r="AK88" s="302"/>
    </row>
    <row r="89" spans="1:37" customFormat="1" ht="15" customHeight="1">
      <c r="A89" s="559" t="s">
        <v>603</v>
      </c>
      <c r="B89" s="559"/>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302"/>
      <c r="AH89" s="302"/>
      <c r="AI89" s="302"/>
      <c r="AJ89" s="302"/>
      <c r="AK89" s="302"/>
    </row>
    <row r="90" spans="1:37" customFormat="1" ht="15" customHeight="1">
      <c r="A90" s="559" t="s">
        <v>604</v>
      </c>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302"/>
      <c r="AH90" s="302"/>
      <c r="AI90" s="302"/>
      <c r="AJ90" s="302"/>
      <c r="AK90" s="302"/>
    </row>
    <row r="91" spans="1:37" customFormat="1" ht="15" customHeight="1">
      <c r="A91" s="559" t="s">
        <v>605</v>
      </c>
      <c r="B91" s="559"/>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c r="AG91" s="302"/>
      <c r="AH91" s="302"/>
      <c r="AI91" s="302"/>
      <c r="AJ91" s="302"/>
      <c r="AK91" s="302"/>
    </row>
    <row r="92" spans="1:37" customFormat="1" ht="15" customHeight="1">
      <c r="A92" s="559" t="s">
        <v>606</v>
      </c>
      <c r="B92" s="559"/>
      <c r="C92" s="559"/>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c r="AG92" s="302"/>
      <c r="AH92" s="302"/>
      <c r="AI92" s="302"/>
      <c r="AJ92" s="302"/>
      <c r="AK92" s="302"/>
    </row>
    <row r="93" spans="1:37" customFormat="1" ht="15" customHeight="1">
      <c r="A93" s="559" t="s">
        <v>607</v>
      </c>
      <c r="B93" s="559"/>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c r="AG93" s="302"/>
      <c r="AH93" s="302"/>
      <c r="AI93" s="302"/>
      <c r="AJ93" s="302"/>
      <c r="AK93" s="302"/>
    </row>
    <row r="94" spans="1:37" customFormat="1" ht="15" customHeight="1">
      <c r="A94" s="559" t="s">
        <v>608</v>
      </c>
      <c r="B94" s="559"/>
      <c r="C94" s="559"/>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c r="AG94" s="302"/>
      <c r="AH94" s="302"/>
      <c r="AI94" s="302"/>
      <c r="AJ94" s="302"/>
      <c r="AK94" s="302"/>
    </row>
    <row r="95" spans="1:37" customFormat="1" ht="15" customHeight="1">
      <c r="A95" s="559" t="s">
        <v>609</v>
      </c>
      <c r="B95" s="559"/>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302"/>
      <c r="AH95" s="302"/>
      <c r="AI95" s="302"/>
      <c r="AJ95" s="302"/>
      <c r="AK95" s="302"/>
    </row>
    <row r="96" spans="1:37" customFormat="1" ht="15" customHeight="1">
      <c r="A96" s="559" t="s">
        <v>610</v>
      </c>
      <c r="B96" s="559"/>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c r="AG96" s="302"/>
      <c r="AH96" s="302"/>
      <c r="AI96" s="302"/>
      <c r="AJ96" s="302"/>
      <c r="AK96" s="302"/>
    </row>
    <row r="97" spans="1:37" customFormat="1" ht="15" customHeight="1">
      <c r="A97" s="559" t="s">
        <v>611</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302"/>
      <c r="AH97" s="302"/>
      <c r="AI97" s="302"/>
      <c r="AJ97" s="302"/>
      <c r="AK97" s="302"/>
    </row>
    <row r="98" spans="1:37" customFormat="1" ht="15" customHeight="1">
      <c r="A98" s="559" t="s">
        <v>612</v>
      </c>
      <c r="B98" s="559"/>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302"/>
      <c r="AH98" s="302"/>
      <c r="AI98" s="302"/>
      <c r="AJ98" s="302"/>
      <c r="AK98" s="302"/>
    </row>
    <row r="99" spans="1:37" customFormat="1" ht="15" customHeight="1">
      <c r="A99" s="559" t="s">
        <v>613</v>
      </c>
      <c r="B99" s="559"/>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302"/>
      <c r="AH99" s="302"/>
      <c r="AI99" s="302"/>
      <c r="AJ99" s="302"/>
      <c r="AK99" s="302"/>
    </row>
    <row r="100" spans="1:37" customFormat="1" ht="15" customHeight="1">
      <c r="A100" s="559" t="s">
        <v>614</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302"/>
      <c r="AH100" s="302"/>
      <c r="AI100" s="302"/>
      <c r="AJ100" s="302"/>
      <c r="AK100" s="302"/>
    </row>
    <row r="101" spans="1:37" customFormat="1" ht="15" customHeight="1">
      <c r="A101" s="559" t="s">
        <v>615</v>
      </c>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302"/>
      <c r="AH101" s="302"/>
      <c r="AI101" s="302"/>
      <c r="AJ101" s="302"/>
      <c r="AK101" s="302"/>
    </row>
    <row r="102" spans="1:37" customFormat="1" ht="15" customHeight="1">
      <c r="A102" s="559" t="s">
        <v>616</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c r="AG102" s="302"/>
      <c r="AH102" s="302"/>
      <c r="AI102" s="302"/>
      <c r="AJ102" s="302"/>
      <c r="AK102" s="302"/>
    </row>
    <row r="103" spans="1:37" customFormat="1" ht="15" customHeight="1">
      <c r="A103" s="559" t="s">
        <v>617</v>
      </c>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302"/>
      <c r="AH103" s="302"/>
      <c r="AI103" s="302"/>
      <c r="AJ103" s="302"/>
      <c r="AK103" s="302"/>
    </row>
    <row r="104" spans="1:37" customFormat="1" ht="15" customHeight="1">
      <c r="A104" s="559" t="s">
        <v>618</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302"/>
      <c r="AH104" s="302"/>
      <c r="AI104" s="302"/>
      <c r="AJ104" s="302"/>
      <c r="AK104" s="302"/>
    </row>
    <row r="105" spans="1:37" customFormat="1" ht="15" customHeight="1">
      <c r="A105" s="559" t="s">
        <v>619</v>
      </c>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c r="AF105" s="559"/>
      <c r="AG105" s="302"/>
      <c r="AH105" s="302"/>
      <c r="AI105" s="302"/>
      <c r="AJ105" s="302"/>
      <c r="AK105" s="302"/>
    </row>
    <row r="106" spans="1:37" customFormat="1" ht="15" customHeight="1">
      <c r="A106" s="559" t="s">
        <v>620</v>
      </c>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302"/>
      <c r="AH106" s="302"/>
      <c r="AI106" s="302"/>
      <c r="AJ106" s="302"/>
      <c r="AK106" s="302"/>
    </row>
    <row r="107" spans="1:37" customFormat="1" ht="15" customHeight="1">
      <c r="A107" s="559" t="s">
        <v>621</v>
      </c>
      <c r="B107" s="559"/>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302"/>
      <c r="AH107" s="302"/>
      <c r="AI107" s="302"/>
      <c r="AJ107" s="302"/>
      <c r="AK107" s="302"/>
    </row>
    <row r="108" spans="1:37" customFormat="1" ht="15" customHeight="1">
      <c r="A108" s="559" t="s">
        <v>622</v>
      </c>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c r="AG108" s="302"/>
      <c r="AH108" s="302"/>
      <c r="AI108" s="302"/>
      <c r="AJ108" s="302"/>
      <c r="AK108" s="302"/>
    </row>
    <row r="109" spans="1:37" customFormat="1" ht="15" customHeight="1">
      <c r="A109" s="559" t="s">
        <v>623</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302"/>
      <c r="AH109" s="302"/>
      <c r="AI109" s="302"/>
      <c r="AJ109" s="302"/>
      <c r="AK109" s="302"/>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525</v>
      </c>
    </row>
    <row r="4" spans="1:2">
      <c r="A4" t="s">
        <v>548</v>
      </c>
    </row>
    <row r="5" spans="1:2">
      <c r="B5" t="s">
        <v>524</v>
      </c>
    </row>
    <row r="7" spans="1:2">
      <c r="A7" t="s">
        <v>676</v>
      </c>
    </row>
    <row r="9" spans="1:2">
      <c r="A9" t="s">
        <v>523</v>
      </c>
    </row>
    <row r="10" spans="1:2">
      <c r="B10" t="s">
        <v>517</v>
      </c>
    </row>
    <row r="12" spans="1:2">
      <c r="A12" t="s">
        <v>670</v>
      </c>
    </row>
    <row r="14" spans="1:2">
      <c r="A14" t="s">
        <v>516</v>
      </c>
    </row>
    <row r="15" spans="1:2">
      <c r="B15" t="s">
        <v>518</v>
      </c>
    </row>
    <row r="17" spans="1:1">
      <c r="A17" t="s">
        <v>521</v>
      </c>
    </row>
    <row r="19" spans="1:1">
      <c r="A19" t="s">
        <v>522</v>
      </c>
    </row>
    <row r="21" spans="1:1">
      <c r="A21" t="s">
        <v>547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3"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32" customWidth="1"/>
    <col min="6" max="6" width="17" style="332" customWidth="1"/>
    <col min="7" max="7" width="15.5" style="332" customWidth="1"/>
    <col min="8" max="8" width="16.1640625" style="405"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6"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3"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1" customWidth="1"/>
    <col min="35" max="35" width="20.6640625" bestFit="1" customWidth="1"/>
    <col min="36" max="36" width="15.33203125" bestFit="1" customWidth="1"/>
    <col min="37" max="37" width="13.33203125" bestFit="1" customWidth="1"/>
    <col min="38" max="38" width="13.83203125" customWidth="1"/>
  </cols>
  <sheetData>
    <row r="1" spans="1:38" hidden="1">
      <c r="A1" s="527"/>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row>
    <row r="2" spans="1:38" hidden="1">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row>
    <row r="3" spans="1:38" hidden="1">
      <c r="A3" s="527"/>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row>
    <row r="4" spans="1:38" hidden="1">
      <c r="A4" s="527"/>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row>
    <row r="5" spans="1:38" hidden="1">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row>
    <row r="6" spans="1:38" hidden="1">
      <c r="A6" s="527"/>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row>
    <row r="7" spans="1:38" ht="23.25" hidden="1" customHeight="1">
      <c r="A7" s="527"/>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row>
    <row r="8" spans="1:38" s="160" customFormat="1" ht="15.75" hidden="1" customHeight="1">
      <c r="A8" s="527"/>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row>
    <row r="9" spans="1:38" ht="21" hidden="1" customHeight="1">
      <c r="A9" s="527"/>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row>
    <row r="10" spans="1:38">
      <c r="A10" t="s">
        <v>187</v>
      </c>
      <c r="B10" s="33" t="s">
        <v>126</v>
      </c>
      <c r="Y10" s="20"/>
      <c r="Z10" s="20"/>
      <c r="AA10" s="20"/>
      <c r="AB10" s="20"/>
      <c r="AC10" s="20"/>
      <c r="AD10" s="20"/>
      <c r="AE10" s="20"/>
      <c r="AF10" s="20"/>
      <c r="AG10" s="20"/>
      <c r="AH10" s="280"/>
    </row>
    <row r="11" spans="1:38" s="1" customFormat="1">
      <c r="B11" s="13"/>
      <c r="C11" s="333">
        <v>2009</v>
      </c>
      <c r="D11" s="333">
        <v>2010</v>
      </c>
      <c r="E11" s="333">
        <v>2011</v>
      </c>
      <c r="F11" s="333">
        <v>2012</v>
      </c>
      <c r="G11" s="333">
        <v>2013</v>
      </c>
      <c r="H11" s="406">
        <v>2014</v>
      </c>
      <c r="I11" s="13">
        <v>2015</v>
      </c>
      <c r="J11" s="13">
        <v>2016</v>
      </c>
      <c r="K11" s="13">
        <v>2017</v>
      </c>
      <c r="L11" s="13">
        <v>2018</v>
      </c>
      <c r="M11" s="13">
        <v>2019</v>
      </c>
      <c r="N11" s="177">
        <v>2020</v>
      </c>
      <c r="O11" s="13">
        <v>2021</v>
      </c>
      <c r="P11" s="13">
        <v>2022</v>
      </c>
      <c r="Q11" s="13">
        <v>2023</v>
      </c>
      <c r="R11" s="13">
        <v>2024</v>
      </c>
      <c r="S11" s="13">
        <v>2025</v>
      </c>
      <c r="T11" s="13">
        <v>2026</v>
      </c>
      <c r="U11" s="13">
        <v>2027</v>
      </c>
      <c r="V11" s="13">
        <v>2028</v>
      </c>
      <c r="W11" s="13">
        <v>2029</v>
      </c>
      <c r="X11" s="177">
        <v>2030</v>
      </c>
      <c r="Y11" s="13">
        <v>2031</v>
      </c>
      <c r="Z11" s="13">
        <v>2032</v>
      </c>
      <c r="AA11" s="13">
        <v>2033</v>
      </c>
      <c r="AB11" s="13">
        <v>2034</v>
      </c>
      <c r="AC11" s="13">
        <v>2035</v>
      </c>
      <c r="AD11" s="13">
        <v>2036</v>
      </c>
      <c r="AE11" s="13">
        <v>2037</v>
      </c>
      <c r="AF11" s="13">
        <v>2038</v>
      </c>
      <c r="AG11" s="13">
        <v>2039</v>
      </c>
      <c r="AH11" s="177">
        <v>2040</v>
      </c>
      <c r="AJ11" s="167">
        <v>1.0299073916679518E-2</v>
      </c>
      <c r="AK11" s="168">
        <f>AJ11/2</f>
        <v>5.1495369583397588E-3</v>
      </c>
    </row>
    <row r="12" spans="1:38" s="1" customFormat="1">
      <c r="A12" s="1" t="s">
        <v>62</v>
      </c>
      <c r="B12" s="33"/>
      <c r="C12" s="333"/>
      <c r="D12" s="333"/>
      <c r="E12" s="333"/>
      <c r="F12" s="333"/>
      <c r="G12" s="333"/>
      <c r="H12" s="406"/>
      <c r="I12" s="13"/>
      <c r="J12" s="13"/>
      <c r="K12" s="13"/>
      <c r="L12" s="13"/>
      <c r="M12" s="13"/>
      <c r="N12" s="176"/>
      <c r="O12" s="13"/>
      <c r="P12" s="13"/>
      <c r="Q12" s="13"/>
      <c r="R12" s="13"/>
      <c r="S12" s="13"/>
      <c r="T12" s="13"/>
      <c r="U12" s="13"/>
      <c r="V12" s="13"/>
      <c r="W12" s="13"/>
      <c r="X12" s="177"/>
      <c r="Y12" s="20"/>
      <c r="Z12" s="20"/>
      <c r="AA12" s="20"/>
      <c r="AB12" s="20"/>
      <c r="AC12" s="20"/>
      <c r="AD12" s="20"/>
      <c r="AE12" s="20"/>
      <c r="AF12" s="20"/>
      <c r="AG12" s="20"/>
      <c r="AH12" s="280"/>
    </row>
    <row r="13" spans="1:38" s="20" customFormat="1">
      <c r="A13" s="20" t="s">
        <v>129</v>
      </c>
      <c r="B13" s="33"/>
      <c r="C13" s="335">
        <f>EIA_electricity_aeo2014!E58*1000</f>
        <v>101857</v>
      </c>
      <c r="D13" s="335">
        <f>EIA_electricity_aeo2014!F58*1000</f>
        <v>112274.99999999999</v>
      </c>
      <c r="E13" s="335">
        <f>EIA_electricity_aeo2014!G58*1000</f>
        <v>86247.062000000005</v>
      </c>
      <c r="F13" s="335">
        <f>EIA_electricity_aeo2014!H58*1000</f>
        <v>85033.845000000001</v>
      </c>
      <c r="G13" s="335">
        <f>EIA_electricity_aeo2014!I58*1000</f>
        <v>91571.886999999988</v>
      </c>
      <c r="H13" s="287">
        <f>EIA_electricity_aeo2014!J58*1000</f>
        <v>96869.864999999991</v>
      </c>
      <c r="I13" s="83">
        <f>EIA_electricity_aeo2014!K58*1000</f>
        <v>100959.728</v>
      </c>
      <c r="J13" s="83">
        <f>EIA_electricity_aeo2014!L58*1000</f>
        <v>99539.822</v>
      </c>
      <c r="K13" s="83">
        <f>EIA_electricity_aeo2014!M58*1000</f>
        <v>96953.925999999978</v>
      </c>
      <c r="L13" s="83">
        <f>EIA_electricity_aeo2014!N58*1000</f>
        <v>97481.407000000007</v>
      </c>
      <c r="M13" s="83">
        <f>EIA_electricity_aeo2014!O58*1000</f>
        <v>97831.773000000001</v>
      </c>
      <c r="N13" s="178">
        <f>EIA_electricity_aeo2014!P58*1000</f>
        <v>98389.851999999999</v>
      </c>
      <c r="O13" s="83">
        <f>EIA_electricity_aeo2014!Q58*1000</f>
        <v>97321.408999999985</v>
      </c>
      <c r="P13" s="83">
        <f>EIA_electricity_aeo2014!R58*1000</f>
        <v>98906.597000000009</v>
      </c>
      <c r="Q13" s="83">
        <f>EIA_electricity_aeo2014!S58*1000</f>
        <v>99064.084000000003</v>
      </c>
      <c r="R13" s="83">
        <f>EIA_electricity_aeo2014!T58*1000</f>
        <v>99989.325000000012</v>
      </c>
      <c r="S13" s="83">
        <f>EIA_electricity_aeo2014!U58*1000</f>
        <v>100930.96500000001</v>
      </c>
      <c r="T13" s="83">
        <f>EIA_electricity_aeo2014!V58*1000</f>
        <v>102655.62300000001</v>
      </c>
      <c r="U13" s="83">
        <f>EIA_electricity_aeo2014!W58*1000</f>
        <v>103603.519</v>
      </c>
      <c r="V13" s="83">
        <f>EIA_electricity_aeo2014!X58*1000</f>
        <v>105375.59100000001</v>
      </c>
      <c r="W13" s="83">
        <f>EIA_electricity_aeo2014!Y58*1000</f>
        <v>105935.98300000001</v>
      </c>
      <c r="X13" s="185">
        <f>EIA_electricity_aeo2014!Z58*1000</f>
        <v>106378.391</v>
      </c>
      <c r="Y13" s="175">
        <f>EIA_electricity_aeo2014!AA58*1000</f>
        <v>106685.007</v>
      </c>
      <c r="Z13" s="175">
        <f>EIA_electricity_aeo2014!AB58*1000</f>
        <v>104801.96200000001</v>
      </c>
      <c r="AA13" s="175">
        <f>EIA_electricity_aeo2014!AC58*1000</f>
        <v>105068.773</v>
      </c>
      <c r="AB13" s="175">
        <f>EIA_electricity_aeo2014!AD58*1000</f>
        <v>104790.73400000001</v>
      </c>
      <c r="AC13" s="175">
        <f>EIA_electricity_aeo2014!AE58*1000</f>
        <v>105118.79800000001</v>
      </c>
      <c r="AD13" s="175">
        <f>EIA_electricity_aeo2014!AF58*1000</f>
        <v>105359.234</v>
      </c>
      <c r="AE13" s="175">
        <f>EIA_electricity_aeo2014!AG58*1000</f>
        <v>104967.32100000001</v>
      </c>
      <c r="AF13" s="175">
        <f>EIA_electricity_aeo2014!AH58*1000</f>
        <v>106482.83200000001</v>
      </c>
      <c r="AG13" s="175">
        <f>EIA_electricity_aeo2014!AI58*1000</f>
        <v>106642.24800000001</v>
      </c>
      <c r="AH13" s="185">
        <f>EIA_electricity_aeo2014!AJ58*1000</f>
        <v>107483.33499999999</v>
      </c>
      <c r="AI13" s="115">
        <f>X13/C13-1</f>
        <v>4.4389595216823619E-2</v>
      </c>
      <c r="AJ13" s="166">
        <f>(1+AJ11)^21-1</f>
        <v>0.24007814276920247</v>
      </c>
      <c r="AK13" s="169">
        <f>(1+AK11)^21-1</f>
        <v>0.11389489977934208</v>
      </c>
      <c r="AL13" s="121"/>
    </row>
    <row r="14" spans="1:38" s="20" customFormat="1">
      <c r="A14" s="20" t="s">
        <v>130</v>
      </c>
      <c r="B14" s="33"/>
      <c r="C14" s="335">
        <f>EIA_electricity_aeo2014!E58 * 1000</f>
        <v>101857</v>
      </c>
      <c r="D14" s="335">
        <f>IF(Inputs!$C$7="BAU",'Output -Jobs vs Yr'!D13,C14+($X$14-$C$14)/($X$11-$C$11) )</f>
        <v>112274.99999999999</v>
      </c>
      <c r="E14" s="335">
        <f>IF(Inputs!$C$7="BAU",'Output -Jobs vs Yr'!E13,D14+($X$14-$C$14)/($X$11-$C$11) )</f>
        <v>86247.062000000005</v>
      </c>
      <c r="F14" s="335">
        <f>IF(Inputs!$C$7="BAU",'Output -Jobs vs Yr'!F13,E14+($X$14-$C$14)/($X$11-$C$11) )</f>
        <v>85033.845000000001</v>
      </c>
      <c r="G14" s="335">
        <f>IF(Inputs!$C$7="BAU",'Output -Jobs vs Yr'!G13,F14+($X$14-$C$14)/($X$11-$C$11) )</f>
        <v>91571.886999999988</v>
      </c>
      <c r="H14" s="287">
        <f>EIA_electricity_aeo2014!J58*1000</f>
        <v>96869.864999999991</v>
      </c>
      <c r="I14" s="83">
        <f>IF(Inputs!$C$7="BAU",'Output -Jobs vs Yr'!I13,H14+($X$14-$C$14)/($X$11-$C$11) )</f>
        <v>100959.728</v>
      </c>
      <c r="J14" s="83">
        <f>IF(Inputs!$C$7="BAU",'Output -Jobs vs Yr'!J13,I14+($X$14-$C$14)/($X$11-$C$11) )</f>
        <v>99539.822</v>
      </c>
      <c r="K14" s="83">
        <f>IF(Inputs!$C$7="BAU",'Output -Jobs vs Yr'!K13,J14+($X$14-$C$14)/($X$11-$C$11) )</f>
        <v>96953.925999999978</v>
      </c>
      <c r="L14" s="83">
        <f>IF(Inputs!$C$7="BAU",'Output -Jobs vs Yr'!L13,K14+($X$14-$C$14)/($X$11-$C$11) )</f>
        <v>97481.407000000007</v>
      </c>
      <c r="M14" s="83">
        <f>IF(Inputs!$C$7="BAU",'Output -Jobs vs Yr'!M13,L14+($X$14-$C$14)/($X$11-$C$11) )</f>
        <v>97831.773000000001</v>
      </c>
      <c r="N14" s="178">
        <f>IF(Inputs!$C$7="BAU",'Output -Jobs vs Yr'!N13,M14+($X$14-$C$14)/($X$11-$C$11) )</f>
        <v>98389.851999999999</v>
      </c>
      <c r="O14" s="83">
        <f>IF(Inputs!$C$7="BAU",'Output -Jobs vs Yr'!O13,N14+($X$14-$C$14)/($X$11-$C$11) )</f>
        <v>97321.408999999985</v>
      </c>
      <c r="P14" s="83">
        <f>IF(Inputs!$C$7="BAU",'Output -Jobs vs Yr'!P13,O14+($X$14-$C$14)/($X$11-$C$11) )</f>
        <v>98906.597000000009</v>
      </c>
      <c r="Q14" s="83">
        <f>IF(Inputs!$C$7="BAU",'Output -Jobs vs Yr'!Q13,P14+($X$14-$C$14)/($X$11-$C$11) )</f>
        <v>99064.084000000003</v>
      </c>
      <c r="R14" s="83">
        <f>IF(Inputs!$C$7="BAU",'Output -Jobs vs Yr'!R13,Q14+($X$14-$C$14)/($X$11-$C$11) )</f>
        <v>99989.325000000012</v>
      </c>
      <c r="S14" s="83">
        <f>IF(Inputs!$C$7="BAU",'Output -Jobs vs Yr'!S13,R14+($X$14-$C$14)/($X$11-$C$11) )</f>
        <v>100930.96500000001</v>
      </c>
      <c r="T14" s="83">
        <f>IF(Inputs!$C$7="BAU",'Output -Jobs vs Yr'!T13,S14+($X$14-$C$14)/($X$11-$C$11) )</f>
        <v>102655.62300000001</v>
      </c>
      <c r="U14" s="83">
        <f>IF(Inputs!$C$7="BAU",'Output -Jobs vs Yr'!U13,T14+($X$14-$C$14)/($X$11-$C$11) )</f>
        <v>103603.519</v>
      </c>
      <c r="V14" s="83">
        <f>IF(Inputs!$C$7="BAU",'Output -Jobs vs Yr'!V13,U14+($X$14-$C$14)/($X$11-$C$11) )</f>
        <v>105375.59100000001</v>
      </c>
      <c r="W14" s="83">
        <f>IF(Inputs!$C$7="BAU",'Output -Jobs vs Yr'!W13,V14+($X$14-$C$14)/($X$11-$C$11) )</f>
        <v>105935.98300000001</v>
      </c>
      <c r="X14" s="185">
        <f>IF(Inputs!$C$7="BAU",'Output -Jobs vs Yr'!X13,C14*(1+Inputs!C7) )</f>
        <v>106378.391</v>
      </c>
      <c r="Y14" s="175">
        <f>IF(Inputs!$C$7="BAU",'Output -Jobs vs Yr'!Y13,D14*(1+Inputs!D7) )</f>
        <v>106685.007</v>
      </c>
      <c r="Z14" s="175">
        <f>IF(Inputs!$C$7="BAU",'Output -Jobs vs Yr'!Z13,E14*(1+Inputs!E7) )</f>
        <v>104801.96200000001</v>
      </c>
      <c r="AA14" s="175">
        <f>IF(Inputs!$C$7="BAU",'Output -Jobs vs Yr'!AA13,F14*(1+Inputs!F7) )</f>
        <v>105068.773</v>
      </c>
      <c r="AB14" s="175">
        <f>IF(Inputs!$C$7="BAU",'Output -Jobs vs Yr'!AB13,G14*(1+Inputs!G7) )</f>
        <v>104790.73400000001</v>
      </c>
      <c r="AC14" s="175">
        <f>IF(Inputs!$C$7="BAU",'Output -Jobs vs Yr'!AC13,H14*(1+Inputs!H7) )</f>
        <v>105118.79800000001</v>
      </c>
      <c r="AD14" s="175">
        <f>IF(Inputs!$C$7="BAU",'Output -Jobs vs Yr'!AD13,I14*(1+Inputs!L7) )</f>
        <v>105359.234</v>
      </c>
      <c r="AE14" s="175">
        <f>IF(Inputs!$C$7="BAU",'Output -Jobs vs Yr'!AE13,J14*(1+Inputs!M7) )</f>
        <v>104967.32100000001</v>
      </c>
      <c r="AF14" s="175">
        <f>IF(Inputs!$C$7="BAU",'Output -Jobs vs Yr'!AF13,K14*(1+Inputs!N7) )</f>
        <v>106482.83200000001</v>
      </c>
      <c r="AG14" s="175">
        <f>IF(Inputs!$C$7="BAU",'Output -Jobs vs Yr'!AG13,L14*(1+Inputs!O7) )</f>
        <v>106642.24800000001</v>
      </c>
      <c r="AH14" s="185">
        <f>IF(Inputs!$C$7="BAU",'Output -Jobs vs Yr'!AH13,M14*(1+Inputs!P7) )</f>
        <v>107483.33499999999</v>
      </c>
      <c r="AI14" s="99"/>
      <c r="AJ14" s="166" t="s">
        <v>0</v>
      </c>
      <c r="AK14" s="30" t="s">
        <v>0</v>
      </c>
      <c r="AL14" s="121"/>
    </row>
    <row r="15" spans="1:38" s="20" customFormat="1">
      <c r="A15" s="20" t="s">
        <v>207</v>
      </c>
      <c r="B15" s="33"/>
      <c r="C15" s="335">
        <f>C14-C13</f>
        <v>0</v>
      </c>
      <c r="D15" s="335">
        <f>D13-D14</f>
        <v>0</v>
      </c>
      <c r="E15" s="335">
        <f t="shared" ref="E15:AH15" si="0">E13-E14</f>
        <v>0</v>
      </c>
      <c r="F15" s="335">
        <f t="shared" si="0"/>
        <v>0</v>
      </c>
      <c r="G15" s="335">
        <f t="shared" si="0"/>
        <v>0</v>
      </c>
      <c r="H15" s="287">
        <f t="shared" si="0"/>
        <v>0</v>
      </c>
      <c r="I15" s="83">
        <f t="shared" si="0"/>
        <v>0</v>
      </c>
      <c r="J15" s="83">
        <f t="shared" si="0"/>
        <v>0</v>
      </c>
      <c r="K15" s="83">
        <f t="shared" si="0"/>
        <v>0</v>
      </c>
      <c r="L15" s="83">
        <f t="shared" si="0"/>
        <v>0</v>
      </c>
      <c r="M15" s="83">
        <f t="shared" si="0"/>
        <v>0</v>
      </c>
      <c r="N15" s="178">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5">
        <f t="shared" si="0"/>
        <v>0</v>
      </c>
      <c r="Y15" s="175">
        <f t="shared" si="0"/>
        <v>0</v>
      </c>
      <c r="Z15" s="175">
        <f t="shared" si="0"/>
        <v>0</v>
      </c>
      <c r="AA15" s="175">
        <f t="shared" si="0"/>
        <v>0</v>
      </c>
      <c r="AB15" s="175">
        <f t="shared" si="0"/>
        <v>0</v>
      </c>
      <c r="AC15" s="175">
        <f t="shared" si="0"/>
        <v>0</v>
      </c>
      <c r="AD15" s="175">
        <f t="shared" si="0"/>
        <v>0</v>
      </c>
      <c r="AE15" s="175">
        <f t="shared" si="0"/>
        <v>0</v>
      </c>
      <c r="AF15" s="175">
        <f t="shared" si="0"/>
        <v>0</v>
      </c>
      <c r="AG15" s="175">
        <f t="shared" si="0"/>
        <v>0</v>
      </c>
      <c r="AH15" s="185">
        <f t="shared" si="0"/>
        <v>0</v>
      </c>
      <c r="AI15" s="120"/>
      <c r="AJ15" s="122"/>
      <c r="AK15" s="30"/>
      <c r="AL15" s="123"/>
    </row>
    <row r="16" spans="1:38" s="385" customFormat="1">
      <c r="A16" s="385" t="s">
        <v>122</v>
      </c>
      <c r="B16" s="386"/>
      <c r="C16" s="387">
        <f t="shared" ref="C16:M16" si="1">C95</f>
        <v>2.5703683595629169E-2</v>
      </c>
      <c r="D16" s="387">
        <f t="shared" si="1"/>
        <v>2.8517761299087518E-2</v>
      </c>
      <c r="E16" s="387">
        <f t="shared" si="1"/>
        <v>3.2204497003598974E-2</v>
      </c>
      <c r="F16" s="387">
        <f t="shared" si="1"/>
        <v>4.4199205403523185E-2</v>
      </c>
      <c r="G16" s="387">
        <f t="shared" si="1"/>
        <v>5.6963705163671746E-2</v>
      </c>
      <c r="H16" s="387">
        <f t="shared" si="1"/>
        <v>4.6187409262932286E-2</v>
      </c>
      <c r="I16" s="387">
        <f t="shared" si="1"/>
        <v>7.5740903786847003E-2</v>
      </c>
      <c r="J16" s="387">
        <f t="shared" si="1"/>
        <v>9.7900438816855603E-2</v>
      </c>
      <c r="K16" s="387">
        <f t="shared" si="1"/>
        <v>0.10186651410085114</v>
      </c>
      <c r="L16" s="387">
        <f t="shared" si="1"/>
        <v>0.10359480896980496</v>
      </c>
      <c r="M16" s="387">
        <f t="shared" si="1"/>
        <v>0.12150454715206983</v>
      </c>
      <c r="N16" s="387">
        <f>Inputs!C11</f>
        <v>0.15</v>
      </c>
      <c r="O16" s="387">
        <f t="shared" ref="O16:W16" si="2">O95</f>
        <v>0.15446010319610731</v>
      </c>
      <c r="P16" s="387">
        <f t="shared" si="2"/>
        <v>0.15897457109874114</v>
      </c>
      <c r="Q16" s="387">
        <f t="shared" si="2"/>
        <v>0.16362169839354526</v>
      </c>
      <c r="R16" s="387">
        <f t="shared" si="2"/>
        <v>0.16840328356068357</v>
      </c>
      <c r="S16" s="387">
        <f t="shared" si="2"/>
        <v>0.17332397390330717</v>
      </c>
      <c r="T16" s="387">
        <f t="shared" si="2"/>
        <v>0.17838688279533543</v>
      </c>
      <c r="U16" s="387">
        <f t="shared" si="2"/>
        <v>0.18359808147361173</v>
      </c>
      <c r="V16" s="387">
        <f t="shared" si="2"/>
        <v>0.18895985021506451</v>
      </c>
      <c r="W16" s="387">
        <f t="shared" si="2"/>
        <v>0.19447936618377232</v>
      </c>
      <c r="X16" s="388">
        <f>Inputs!C12</f>
        <v>0.2</v>
      </c>
      <c r="Y16" s="389">
        <v>0.30875786608400269</v>
      </c>
      <c r="Z16" s="389">
        <v>0.31776940653841135</v>
      </c>
      <c r="AA16" s="389">
        <v>0.32704394692761768</v>
      </c>
      <c r="AB16" s="389">
        <v>0.33658916353100682</v>
      </c>
      <c r="AC16" s="389">
        <v>0.34641295955323526</v>
      </c>
      <c r="AD16" s="389">
        <v>0.35652346547646518</v>
      </c>
      <c r="AE16" s="389">
        <v>0.36692904743417443</v>
      </c>
      <c r="AF16" s="389">
        <v>0.37763831681581805</v>
      </c>
      <c r="AG16" s="389">
        <v>0.38866014018698253</v>
      </c>
      <c r="AH16" s="388">
        <v>0.39999999999999997</v>
      </c>
      <c r="AI16" s="390" t="s">
        <v>0</v>
      </c>
      <c r="AJ16" s="391"/>
      <c r="AK16" s="392"/>
      <c r="AL16" s="393"/>
    </row>
    <row r="17" spans="1:37" s="282" customFormat="1">
      <c r="A17" s="282" t="s">
        <v>114</v>
      </c>
      <c r="B17" s="283"/>
      <c r="C17" s="342"/>
      <c r="D17" s="337">
        <f>D16/C16-1</f>
        <v>0.10948149486001579</v>
      </c>
      <c r="E17" s="337">
        <f t="shared" ref="E17:M17" si="3">E16/D16-1</f>
        <v>0.1292785806657768</v>
      </c>
      <c r="F17" s="337">
        <f t="shared" si="3"/>
        <v>0.37245445561791435</v>
      </c>
      <c r="G17" s="337">
        <f t="shared" si="3"/>
        <v>0.28879477908286288</v>
      </c>
      <c r="H17" s="285"/>
      <c r="I17" s="285">
        <f t="shared" si="3"/>
        <v>0.63986040775040576</v>
      </c>
      <c r="J17" s="285">
        <f t="shared" si="3"/>
        <v>0.29257024833464929</v>
      </c>
      <c r="K17" s="285">
        <f t="shared" si="3"/>
        <v>4.051131263481822E-2</v>
      </c>
      <c r="L17" s="285">
        <f t="shared" si="3"/>
        <v>1.6966270851702436E-2</v>
      </c>
      <c r="M17" s="285">
        <f t="shared" si="3"/>
        <v>0.17288258321403993</v>
      </c>
      <c r="N17" s="285">
        <f>N16/M16-1</f>
        <v>0.23452169911193921</v>
      </c>
      <c r="O17" s="285">
        <f>O16/N16-1</f>
        <v>2.973402130738223E-2</v>
      </c>
      <c r="P17" s="285">
        <f t="shared" ref="P17:X17" si="4">P16/O16-1</f>
        <v>2.9227404418486813E-2</v>
      </c>
      <c r="Q17" s="285">
        <f t="shared" si="4"/>
        <v>2.9231890752626999E-2</v>
      </c>
      <c r="R17" s="285">
        <f t="shared" si="4"/>
        <v>2.9223417273408048E-2</v>
      </c>
      <c r="S17" s="285">
        <f t="shared" si="4"/>
        <v>2.9219681698489319E-2</v>
      </c>
      <c r="T17" s="285">
        <f t="shared" si="4"/>
        <v>2.9210667041668081E-2</v>
      </c>
      <c r="U17" s="285">
        <f t="shared" si="4"/>
        <v>2.9212902858194667E-2</v>
      </c>
      <c r="V17" s="285">
        <f t="shared" si="4"/>
        <v>2.9203838615401878E-2</v>
      </c>
      <c r="W17" s="285">
        <f t="shared" si="4"/>
        <v>2.9209993352692587E-2</v>
      </c>
      <c r="X17" s="284">
        <f t="shared" si="4"/>
        <v>2.8386732868159292E-2</v>
      </c>
      <c r="Y17" s="289">
        <v>2.9000000000000001E-2</v>
      </c>
      <c r="Z17" s="289">
        <v>2.9000000000000001E-2</v>
      </c>
      <c r="AA17" s="289">
        <v>2.9000000000000001E-2</v>
      </c>
      <c r="AB17" s="289">
        <v>2.9000000000000001E-2</v>
      </c>
      <c r="AC17" s="289">
        <v>2.9000000000000001E-2</v>
      </c>
      <c r="AD17" s="289">
        <v>2.9000000000000001E-2</v>
      </c>
      <c r="AE17" s="289">
        <v>2.9000000000000001E-2</v>
      </c>
      <c r="AF17" s="289">
        <v>2.9000000000000001E-2</v>
      </c>
      <c r="AG17" s="289">
        <v>2.9000000000000001E-2</v>
      </c>
      <c r="AH17" s="378">
        <v>2.9000000000000001E-2</v>
      </c>
    </row>
    <row r="18" spans="1:37" s="20" customFormat="1">
      <c r="A18" s="20" t="s">
        <v>134</v>
      </c>
      <c r="B18" s="33"/>
      <c r="C18" s="337">
        <f>C32/C14</f>
        <v>0.21452624758239491</v>
      </c>
      <c r="D18" s="337">
        <f t="shared" ref="D18:G18" si="5">($N$18-$C$18)/($N$11-$C$11)+C18</f>
        <v>0.20832535240198619</v>
      </c>
      <c r="E18" s="337">
        <f t="shared" si="5"/>
        <v>0.20212445722157746</v>
      </c>
      <c r="F18" s="337">
        <f t="shared" si="5"/>
        <v>0.19592356204116873</v>
      </c>
      <c r="G18" s="337">
        <f t="shared" si="5"/>
        <v>0.18972266686076</v>
      </c>
      <c r="H18" s="285">
        <f>H32/H14</f>
        <v>0.14020611053809151</v>
      </c>
      <c r="I18" s="173">
        <f>($N$18-$H$18)/($N$11-$H$11)+H18</f>
        <v>0.14122449221472611</v>
      </c>
      <c r="J18" s="173">
        <f t="shared" ref="J18:M18" si="6">($N$18-$H$18)/($N$11-$H$11)+I18</f>
        <v>0.1422428738913607</v>
      </c>
      <c r="K18" s="173">
        <f t="shared" si="6"/>
        <v>0.14326125556799529</v>
      </c>
      <c r="L18" s="173">
        <f t="shared" si="6"/>
        <v>0.14427963724462989</v>
      </c>
      <c r="M18" s="173">
        <f t="shared" si="6"/>
        <v>0.14529801892126448</v>
      </c>
      <c r="N18" s="181">
        <f>Inputs!C36</f>
        <v>0.14631640059789905</v>
      </c>
      <c r="O18" s="91">
        <f t="shared" ref="O18:W18" si="7">($X$18-$N$18)/($X$11-$N$11)+N18</f>
        <v>0.14521763019770006</v>
      </c>
      <c r="P18" s="91">
        <f t="shared" si="7"/>
        <v>0.14411885979750108</v>
      </c>
      <c r="Q18" s="91">
        <f t="shared" si="7"/>
        <v>0.1430200893973021</v>
      </c>
      <c r="R18" s="91">
        <f t="shared" si="7"/>
        <v>0.14192131899710311</v>
      </c>
      <c r="S18" s="22">
        <f t="shared" si="7"/>
        <v>0.14082254859690413</v>
      </c>
      <c r="T18" s="91">
        <f t="shared" si="7"/>
        <v>0.13972377819670515</v>
      </c>
      <c r="U18" s="91">
        <f t="shared" si="7"/>
        <v>0.13862500779650616</v>
      </c>
      <c r="V18" s="91">
        <f t="shared" si="7"/>
        <v>0.13752623739630718</v>
      </c>
      <c r="W18" s="91">
        <f t="shared" si="7"/>
        <v>0.13642746699610819</v>
      </c>
      <c r="X18" s="186">
        <f>Inputs!F36</f>
        <v>0.13532869659590918</v>
      </c>
      <c r="Y18" s="173">
        <f>($AH$18-$X$18)/($AH$11-$X$11)+X18</f>
        <v>0.13518957676739674</v>
      </c>
      <c r="Z18" s="173">
        <f t="shared" ref="Z18:AG18" si="8">($AH$18-$X$18)/($AH$11-$X$11)+Y18</f>
        <v>0.13505045693888429</v>
      </c>
      <c r="AA18" s="173">
        <f t="shared" si="8"/>
        <v>0.13491133711037184</v>
      </c>
      <c r="AB18" s="173">
        <f t="shared" si="8"/>
        <v>0.1347722172818594</v>
      </c>
      <c r="AC18" s="173">
        <f t="shared" si="8"/>
        <v>0.13463309745334695</v>
      </c>
      <c r="AD18" s="173">
        <f t="shared" si="8"/>
        <v>0.1344939776248345</v>
      </c>
      <c r="AE18" s="173">
        <f t="shared" si="8"/>
        <v>0.13435485779632206</v>
      </c>
      <c r="AF18" s="173">
        <f t="shared" si="8"/>
        <v>0.13421573796780961</v>
      </c>
      <c r="AG18" s="173">
        <f t="shared" si="8"/>
        <v>0.13407661813929717</v>
      </c>
      <c r="AH18" s="186">
        <f>Inputs!H36</f>
        <v>0.13393749831078464</v>
      </c>
      <c r="AK18"/>
    </row>
    <row r="19" spans="1:37" s="282" customFormat="1">
      <c r="A19" s="282" t="s">
        <v>113</v>
      </c>
      <c r="B19" s="286"/>
      <c r="C19" s="335">
        <f t="shared" ref="C19:AH19" si="9">C16*C14</f>
        <v>2618.1001000000001</v>
      </c>
      <c r="D19" s="335">
        <f t="shared" si="9"/>
        <v>3201.8316498550507</v>
      </c>
      <c r="E19" s="335">
        <f t="shared" si="9"/>
        <v>2777.5432497482152</v>
      </c>
      <c r="F19" s="335">
        <f t="shared" si="9"/>
        <v>3758.4283814063529</v>
      </c>
      <c r="G19" s="335">
        <f t="shared" si="9"/>
        <v>5216.2739723490649</v>
      </c>
      <c r="H19" s="287">
        <f t="shared" si="9"/>
        <v>4474.1680999999999</v>
      </c>
      <c r="I19" s="287">
        <f t="shared" si="9"/>
        <v>7646.7810447942438</v>
      </c>
      <c r="J19" s="287">
        <f t="shared" si="9"/>
        <v>9744.992253551698</v>
      </c>
      <c r="K19" s="287">
        <f t="shared" si="9"/>
        <v>9876.3584700118754</v>
      </c>
      <c r="L19" s="287">
        <f t="shared" si="9"/>
        <v>10098.567736272807</v>
      </c>
      <c r="M19" s="287">
        <f t="shared" si="9"/>
        <v>11887.005275449092</v>
      </c>
      <c r="N19" s="288">
        <f t="shared" si="9"/>
        <v>14758.477799999999</v>
      </c>
      <c r="O19" s="287">
        <f t="shared" si="9"/>
        <v>15032.274877330565</v>
      </c>
      <c r="P19" s="287">
        <f t="shared" si="9"/>
        <v>15723.633836911038</v>
      </c>
      <c r="Q19" s="287">
        <f t="shared" si="9"/>
        <v>16209.033673880833</v>
      </c>
      <c r="R19" s="287">
        <f t="shared" si="9"/>
        <v>16838.53065101635</v>
      </c>
      <c r="S19" s="287">
        <f t="shared" si="9"/>
        <v>17493.755943695611</v>
      </c>
      <c r="T19" s="287">
        <f t="shared" si="9"/>
        <v>18312.416588383141</v>
      </c>
      <c r="U19" s="287">
        <f t="shared" si="9"/>
        <v>19021.407322314881</v>
      </c>
      <c r="V19" s="287">
        <f t="shared" si="9"/>
        <v>19911.755891683901</v>
      </c>
      <c r="W19" s="287">
        <f t="shared" si="9"/>
        <v>20602.362829894879</v>
      </c>
      <c r="X19" s="288">
        <f>Inputs!C12*'Output -Jobs vs Yr'!X14</f>
        <v>21275.678200000002</v>
      </c>
      <c r="Y19" s="287">
        <f t="shared" si="9"/>
        <v>32939.835104476886</v>
      </c>
      <c r="Z19" s="287">
        <f t="shared" si="9"/>
        <v>33302.857268801141</v>
      </c>
      <c r="AA19" s="287">
        <f t="shared" si="9"/>
        <v>34362.106220761911</v>
      </c>
      <c r="AB19" s="287">
        <f t="shared" si="9"/>
        <v>35271.425502860242</v>
      </c>
      <c r="AC19" s="287">
        <f t="shared" si="9"/>
        <v>36414.513919858713</v>
      </c>
      <c r="AD19" s="287">
        <f t="shared" si="9"/>
        <v>37563.039225625813</v>
      </c>
      <c r="AE19" s="287">
        <f t="shared" si="9"/>
        <v>38515.559106247216</v>
      </c>
      <c r="AF19" s="287">
        <f t="shared" si="9"/>
        <v>40211.997446261536</v>
      </c>
      <c r="AG19" s="287">
        <f t="shared" si="9"/>
        <v>41447.591057534963</v>
      </c>
      <c r="AH19" s="288">
        <f t="shared" si="9"/>
        <v>42993.333999999995</v>
      </c>
    </row>
    <row r="20" spans="1:37" s="20" customFormat="1">
      <c r="A20" s="20" t="s">
        <v>210</v>
      </c>
      <c r="B20" s="33"/>
      <c r="C20" s="335">
        <f>'Output - Jobs vs Yr (BAU)'!C18</f>
        <v>2618.1001000000001</v>
      </c>
      <c r="D20" s="335">
        <f>'Output - Jobs vs Yr (BAU)'!D18</f>
        <v>2825.1001000000001</v>
      </c>
      <c r="E20" s="335">
        <f>'Output - Jobs vs Yr (BAU)'!E18</f>
        <v>2149.7221</v>
      </c>
      <c r="F20" s="335">
        <f>'Output - Jobs vs Yr (BAU)'!F18</f>
        <v>2929.8400999999994</v>
      </c>
      <c r="G20" s="335">
        <f>'Output - Jobs vs Yr (BAU)'!G18</f>
        <v>4228.2741000000005</v>
      </c>
      <c r="H20" s="287">
        <f>'Output - Jobs vs Yr (BAU)'!H18</f>
        <v>4473.1680999999999</v>
      </c>
      <c r="I20" s="83">
        <f>'Output - Jobs vs Yr (BAU)'!I18</f>
        <v>7377.7690999999995</v>
      </c>
      <c r="J20" s="83">
        <f>'Output - Jobs vs Yr (BAU)'!J18</f>
        <v>9321.6331000000009</v>
      </c>
      <c r="K20" s="83">
        <f>'Output - Jobs vs Yr (BAU)'!K18</f>
        <v>9339.5210999999999</v>
      </c>
      <c r="L20" s="83">
        <f>'Output - Jobs vs Yr (BAU)'!L18</f>
        <v>9314.2150999999994</v>
      </c>
      <c r="M20" s="83">
        <f>'Output - Jobs vs Yr (BAU)'!M18</f>
        <v>9437.5040999999983</v>
      </c>
      <c r="N20" s="178">
        <f>'Output - Jobs vs Yr (BAU)'!N18</f>
        <v>9445.3840999999993</v>
      </c>
      <c r="O20" s="83">
        <f>'Output - Jobs vs Yr (BAU)'!O18</f>
        <v>9523.2331000000013</v>
      </c>
      <c r="P20" s="83">
        <f>'Output - Jobs vs Yr (BAU)'!P18</f>
        <v>9528.0731000000014</v>
      </c>
      <c r="Q20" s="83">
        <f>'Output - Jobs vs Yr (BAU)'!Q18</f>
        <v>9503.4210999999996</v>
      </c>
      <c r="R20" s="83">
        <f>'Output - Jobs vs Yr (BAU)'!R18</f>
        <v>9548.535100000001</v>
      </c>
      <c r="S20" s="83">
        <f>'Output - Jobs vs Yr (BAU)'!S18</f>
        <v>9550.3830999999991</v>
      </c>
      <c r="T20" s="83">
        <f>'Output - Jobs vs Yr (BAU)'!T18</f>
        <v>9530.7841000000008</v>
      </c>
      <c r="U20" s="83">
        <f>'Output - Jobs vs Yr (BAU)'!U18</f>
        <v>9504.2690999999995</v>
      </c>
      <c r="V20" s="83">
        <f>'Output - Jobs vs Yr (BAU)'!V18</f>
        <v>9519.6350999999995</v>
      </c>
      <c r="W20" s="83">
        <f>'Output - Jobs vs Yr (BAU)'!W18</f>
        <v>9544.9220999999998</v>
      </c>
      <c r="X20" s="185">
        <f>'Output - Jobs vs Yr (BAU)'!X18</f>
        <v>9853.3541000000005</v>
      </c>
      <c r="Y20" s="175">
        <f>'Output - Jobs vs Yr (BAU)'!Y18</f>
        <v>10041.4421</v>
      </c>
      <c r="Z20" s="175">
        <f>'Output - Jobs vs Yr (BAU)'!Z18</f>
        <v>10104.599099999999</v>
      </c>
      <c r="AA20" s="175">
        <f>'Output - Jobs vs Yr (BAU)'!AA18</f>
        <v>10126.3691</v>
      </c>
      <c r="AB20" s="175">
        <f>'Output - Jobs vs Yr (BAU)'!AB18</f>
        <v>10141.6751</v>
      </c>
      <c r="AC20" s="175">
        <f>'Output - Jobs vs Yr (BAU)'!AC18</f>
        <v>10139.9051</v>
      </c>
      <c r="AD20" s="175">
        <f>'Output - Jobs vs Yr (BAU)'!AD18</f>
        <v>10141.0461</v>
      </c>
      <c r="AE20" s="175">
        <f>'Output - Jobs vs Yr (BAU)'!AE18</f>
        <v>10162.9061</v>
      </c>
      <c r="AF20" s="175">
        <f>'Output - Jobs vs Yr (BAU)'!AF18</f>
        <v>10173.419099999999</v>
      </c>
      <c r="AG20" s="175">
        <f>'Output - Jobs vs Yr (BAU)'!AG18</f>
        <v>10204.919099999999</v>
      </c>
      <c r="AH20" s="185">
        <f>'Output - Jobs vs Yr (BAU)'!AH18</f>
        <v>10582.257100000001</v>
      </c>
    </row>
    <row r="21" spans="1:37" s="20" customFormat="1">
      <c r="A21" s="20" t="s">
        <v>115</v>
      </c>
      <c r="B21" s="33"/>
      <c r="C21" s="335">
        <f t="shared" ref="C21:AH21" si="10">MAX(C19:C20)</f>
        <v>2618.1001000000001</v>
      </c>
      <c r="D21" s="335">
        <f t="shared" si="10"/>
        <v>3201.8316498550507</v>
      </c>
      <c r="E21" s="335">
        <f t="shared" si="10"/>
        <v>2777.5432497482152</v>
      </c>
      <c r="F21" s="335">
        <f t="shared" si="10"/>
        <v>3758.4283814063529</v>
      </c>
      <c r="G21" s="335">
        <f t="shared" si="10"/>
        <v>5216.2739723490649</v>
      </c>
      <c r="H21" s="287">
        <f t="shared" si="10"/>
        <v>4474.1680999999999</v>
      </c>
      <c r="I21" s="83">
        <f t="shared" si="10"/>
        <v>7646.7810447942438</v>
      </c>
      <c r="J21" s="83">
        <f t="shared" si="10"/>
        <v>9744.992253551698</v>
      </c>
      <c r="K21" s="83">
        <f t="shared" si="10"/>
        <v>9876.3584700118754</v>
      </c>
      <c r="L21" s="83">
        <f t="shared" si="10"/>
        <v>10098.567736272807</v>
      </c>
      <c r="M21" s="83">
        <f t="shared" si="10"/>
        <v>11887.005275449092</v>
      </c>
      <c r="N21" s="178">
        <f t="shared" si="10"/>
        <v>14758.477799999999</v>
      </c>
      <c r="O21" s="83">
        <f t="shared" si="10"/>
        <v>15032.274877330565</v>
      </c>
      <c r="P21" s="83">
        <f t="shared" si="10"/>
        <v>15723.633836911038</v>
      </c>
      <c r="Q21" s="83">
        <f t="shared" si="10"/>
        <v>16209.033673880833</v>
      </c>
      <c r="R21" s="83">
        <f t="shared" si="10"/>
        <v>16838.53065101635</v>
      </c>
      <c r="S21" s="83">
        <f t="shared" si="10"/>
        <v>17493.755943695611</v>
      </c>
      <c r="T21" s="83">
        <f t="shared" si="10"/>
        <v>18312.416588383141</v>
      </c>
      <c r="U21" s="83">
        <f t="shared" si="10"/>
        <v>19021.407322314881</v>
      </c>
      <c r="V21" s="83">
        <f t="shared" si="10"/>
        <v>19911.755891683901</v>
      </c>
      <c r="W21" s="83">
        <f t="shared" si="10"/>
        <v>20602.362829894879</v>
      </c>
      <c r="X21" s="185">
        <f t="shared" si="10"/>
        <v>21275.678200000002</v>
      </c>
      <c r="Y21" s="175">
        <f t="shared" si="10"/>
        <v>32939.835104476886</v>
      </c>
      <c r="Z21" s="175">
        <f t="shared" si="10"/>
        <v>33302.857268801141</v>
      </c>
      <c r="AA21" s="175">
        <f t="shared" si="10"/>
        <v>34362.106220761911</v>
      </c>
      <c r="AB21" s="175">
        <f t="shared" si="10"/>
        <v>35271.425502860242</v>
      </c>
      <c r="AC21" s="175">
        <f t="shared" si="10"/>
        <v>36414.513919858713</v>
      </c>
      <c r="AD21" s="175">
        <f t="shared" si="10"/>
        <v>37563.039225625813</v>
      </c>
      <c r="AE21" s="175">
        <f t="shared" si="10"/>
        <v>38515.559106247216</v>
      </c>
      <c r="AF21" s="175">
        <f t="shared" si="10"/>
        <v>40211.997446261536</v>
      </c>
      <c r="AG21" s="175">
        <f t="shared" si="10"/>
        <v>41447.591057534963</v>
      </c>
      <c r="AH21" s="185">
        <f t="shared" si="10"/>
        <v>42993.333999999995</v>
      </c>
      <c r="AI21" s="99"/>
    </row>
    <row r="22" spans="1:37" s="20" customFormat="1">
      <c r="A22" s="20" t="s">
        <v>375</v>
      </c>
      <c r="B22" s="33"/>
      <c r="C22" s="335" t="s">
        <v>0</v>
      </c>
      <c r="D22" s="335"/>
      <c r="E22" s="335"/>
      <c r="F22" s="335"/>
      <c r="G22" s="335"/>
      <c r="H22" s="287"/>
      <c r="I22" s="83"/>
      <c r="J22" s="83"/>
      <c r="K22" s="83"/>
      <c r="L22" s="83"/>
      <c r="M22" s="83"/>
      <c r="N22" s="178"/>
      <c r="O22" s="83"/>
      <c r="P22" s="83"/>
      <c r="Q22" s="83"/>
      <c r="R22" s="83"/>
      <c r="S22" s="83"/>
      <c r="T22" s="83"/>
      <c r="U22" s="83"/>
      <c r="V22" s="83"/>
      <c r="W22" s="174" t="s">
        <v>0</v>
      </c>
      <c r="X22" s="185"/>
      <c r="Y22"/>
      <c r="Z22"/>
      <c r="AA22"/>
      <c r="AB22"/>
      <c r="AC22"/>
      <c r="AD22"/>
      <c r="AE22"/>
      <c r="AF22"/>
      <c r="AG22"/>
      <c r="AH22" s="281"/>
      <c r="AI22" s="99"/>
    </row>
    <row r="23" spans="1:37" s="20" customFormat="1">
      <c r="A23" t="s">
        <v>534</v>
      </c>
      <c r="B23" s="33"/>
      <c r="C23" s="335">
        <v>0</v>
      </c>
      <c r="D23" s="337">
        <f t="shared" ref="D23:G23" si="11">C23+($N$23-$C$23)/($N$11-$C$11)</f>
        <v>0</v>
      </c>
      <c r="E23" s="337">
        <f t="shared" si="11"/>
        <v>0</v>
      </c>
      <c r="F23" s="337">
        <f t="shared" si="11"/>
        <v>0</v>
      </c>
      <c r="G23" s="337">
        <f t="shared" si="11"/>
        <v>0</v>
      </c>
      <c r="H23" s="287">
        <v>0</v>
      </c>
      <c r="I23" s="91">
        <f>H23+($N$23-$H$23)/($N$11-$H$11)</f>
        <v>0</v>
      </c>
      <c r="J23" s="173">
        <f t="shared" ref="J23:M23" si="12">I23+($N$23-$H$23)/($N$11-$H$11)</f>
        <v>0</v>
      </c>
      <c r="K23" s="173">
        <f t="shared" si="12"/>
        <v>0</v>
      </c>
      <c r="L23" s="173">
        <f t="shared" si="12"/>
        <v>0</v>
      </c>
      <c r="M23" s="173">
        <f t="shared" si="12"/>
        <v>0</v>
      </c>
      <c r="N23" s="181">
        <f>Inputs!C34</f>
        <v>0</v>
      </c>
      <c r="O23" s="173">
        <f>N23+($X$23-$N$23)/($X$11-$N$11)</f>
        <v>0</v>
      </c>
      <c r="P23" s="173">
        <f t="shared" ref="P23:W23" si="13">O23+($X$23-$N$23)/($X$11-$N$11)</f>
        <v>0</v>
      </c>
      <c r="Q23" s="173">
        <f t="shared" si="13"/>
        <v>0</v>
      </c>
      <c r="R23" s="173">
        <f t="shared" si="13"/>
        <v>0</v>
      </c>
      <c r="S23" s="173">
        <f t="shared" si="13"/>
        <v>0</v>
      </c>
      <c r="T23" s="173">
        <f t="shared" si="13"/>
        <v>0</v>
      </c>
      <c r="U23" s="173">
        <f t="shared" si="13"/>
        <v>0</v>
      </c>
      <c r="V23" s="173">
        <f t="shared" si="13"/>
        <v>0</v>
      </c>
      <c r="W23" s="173">
        <f t="shared" si="13"/>
        <v>0</v>
      </c>
      <c r="X23" s="186">
        <f>Inputs!F34</f>
        <v>0</v>
      </c>
      <c r="Y23" s="173">
        <f>X23+($AH$23-$X$23)/($AH$11-$X$11)</f>
        <v>0</v>
      </c>
      <c r="Z23" s="173">
        <f t="shared" ref="Z23:AG23" si="14">Y23+($AH$23-$X$23)/($AH$11-$X$11)</f>
        <v>0</v>
      </c>
      <c r="AA23" s="173">
        <f t="shared" si="14"/>
        <v>0</v>
      </c>
      <c r="AB23" s="173">
        <f t="shared" si="14"/>
        <v>0</v>
      </c>
      <c r="AC23" s="173">
        <f t="shared" si="14"/>
        <v>0</v>
      </c>
      <c r="AD23" s="173">
        <f t="shared" si="14"/>
        <v>0</v>
      </c>
      <c r="AE23" s="173">
        <f t="shared" si="14"/>
        <v>0</v>
      </c>
      <c r="AF23" s="173">
        <f t="shared" si="14"/>
        <v>0</v>
      </c>
      <c r="AG23" s="173">
        <f t="shared" si="14"/>
        <v>0</v>
      </c>
      <c r="AH23" s="186">
        <f>Inputs!H34</f>
        <v>0</v>
      </c>
      <c r="AI23" s="99"/>
    </row>
    <row r="24" spans="1:37" s="20" customFormat="1">
      <c r="A24" t="s">
        <v>535</v>
      </c>
      <c r="B24" s="33"/>
      <c r="C24" s="335">
        <v>0</v>
      </c>
      <c r="D24" s="337">
        <f t="shared" ref="D24:G24" si="15">C24+($N$24-$C$24)/($N$11-$C$11)</f>
        <v>0</v>
      </c>
      <c r="E24" s="337">
        <f t="shared" si="15"/>
        <v>0</v>
      </c>
      <c r="F24" s="337">
        <f t="shared" si="15"/>
        <v>0</v>
      </c>
      <c r="G24" s="337">
        <f t="shared" si="15"/>
        <v>0</v>
      </c>
      <c r="H24" s="109">
        <v>0</v>
      </c>
      <c r="I24" s="173">
        <f>H24+($N$24-$H$24)/($N$11-$H$11)</f>
        <v>0</v>
      </c>
      <c r="J24" s="173">
        <f t="shared" ref="J24:M24" si="16">I24+($N$24-$H$24)/($N$11-$H$11)</f>
        <v>0</v>
      </c>
      <c r="K24" s="173">
        <f t="shared" si="16"/>
        <v>0</v>
      </c>
      <c r="L24" s="173">
        <f t="shared" si="16"/>
        <v>0</v>
      </c>
      <c r="M24" s="173">
        <f t="shared" si="16"/>
        <v>0</v>
      </c>
      <c r="N24" s="186">
        <f>Inputs!C34</f>
        <v>0</v>
      </c>
      <c r="O24" s="125">
        <f t="shared" ref="O24:W24" si="17">N$24+($X$24-$N$24)/($X$11-$N$11)</f>
        <v>0</v>
      </c>
      <c r="P24" s="125">
        <f t="shared" si="17"/>
        <v>0</v>
      </c>
      <c r="Q24" s="125">
        <f t="shared" si="17"/>
        <v>0</v>
      </c>
      <c r="R24" s="125">
        <f t="shared" si="17"/>
        <v>0</v>
      </c>
      <c r="S24" s="22">
        <f t="shared" si="17"/>
        <v>0</v>
      </c>
      <c r="T24" s="125">
        <f t="shared" si="17"/>
        <v>0</v>
      </c>
      <c r="U24" s="125">
        <f t="shared" si="17"/>
        <v>0</v>
      </c>
      <c r="V24" s="125">
        <f t="shared" si="17"/>
        <v>0</v>
      </c>
      <c r="W24" s="125">
        <f t="shared" si="17"/>
        <v>0</v>
      </c>
      <c r="X24" s="186">
        <f>Inputs!F34</f>
        <v>0</v>
      </c>
      <c r="Y24" s="173">
        <f>X$24+($AH$24-$X$24)/($AH$11-$X$11)</f>
        <v>0</v>
      </c>
      <c r="Z24" s="173">
        <f t="shared" ref="Z24:AG24" si="18">Y$24+($AH$24-$X$24)/($AH$11-$X$11)</f>
        <v>0</v>
      </c>
      <c r="AA24" s="173">
        <f t="shared" si="18"/>
        <v>0</v>
      </c>
      <c r="AB24" s="173">
        <f t="shared" si="18"/>
        <v>0</v>
      </c>
      <c r="AC24" s="173">
        <f t="shared" si="18"/>
        <v>0</v>
      </c>
      <c r="AD24" s="173">
        <f t="shared" si="18"/>
        <v>0</v>
      </c>
      <c r="AE24" s="173">
        <f t="shared" si="18"/>
        <v>0</v>
      </c>
      <c r="AF24" s="173">
        <f t="shared" si="18"/>
        <v>0</v>
      </c>
      <c r="AG24" s="173">
        <f t="shared" si="18"/>
        <v>0</v>
      </c>
      <c r="AH24" s="186">
        <f>Inputs!H34</f>
        <v>0</v>
      </c>
      <c r="AI24" s="99"/>
    </row>
    <row r="25" spans="1:37" s="20" customFormat="1">
      <c r="A25" t="s">
        <v>536</v>
      </c>
      <c r="B25" s="33"/>
      <c r="C25" s="335"/>
      <c r="D25" s="337">
        <f t="shared" ref="D25:AH25" si="19">D30/(D30+D47)</f>
        <v>0</v>
      </c>
      <c r="E25" s="337">
        <f t="shared" si="19"/>
        <v>0</v>
      </c>
      <c r="F25" s="337">
        <f t="shared" si="19"/>
        <v>0</v>
      </c>
      <c r="G25" s="337">
        <f t="shared" si="19"/>
        <v>0</v>
      </c>
      <c r="H25" s="285"/>
      <c r="I25" s="125">
        <f t="shared" si="19"/>
        <v>0</v>
      </c>
      <c r="J25" s="125">
        <f t="shared" si="19"/>
        <v>0</v>
      </c>
      <c r="K25" s="125">
        <f t="shared" si="19"/>
        <v>0</v>
      </c>
      <c r="L25" s="125">
        <f t="shared" si="19"/>
        <v>0</v>
      </c>
      <c r="M25" s="125">
        <f t="shared" si="19"/>
        <v>0</v>
      </c>
      <c r="N25" s="181">
        <f t="shared" si="19"/>
        <v>0</v>
      </c>
      <c r="O25" s="125">
        <f t="shared" si="19"/>
        <v>0</v>
      </c>
      <c r="P25" s="125">
        <f t="shared" si="19"/>
        <v>0</v>
      </c>
      <c r="Q25" s="125">
        <f t="shared" si="19"/>
        <v>0</v>
      </c>
      <c r="R25" s="125">
        <f t="shared" si="19"/>
        <v>0</v>
      </c>
      <c r="S25" s="125">
        <f t="shared" si="19"/>
        <v>0</v>
      </c>
      <c r="T25" s="125">
        <f t="shared" si="19"/>
        <v>0</v>
      </c>
      <c r="U25" s="125">
        <f t="shared" si="19"/>
        <v>0</v>
      </c>
      <c r="V25" s="125">
        <f t="shared" si="19"/>
        <v>0</v>
      </c>
      <c r="W25" s="125">
        <f t="shared" si="19"/>
        <v>0</v>
      </c>
      <c r="X25" s="186">
        <f t="shared" si="19"/>
        <v>0</v>
      </c>
      <c r="Y25" s="173">
        <f t="shared" si="19"/>
        <v>0</v>
      </c>
      <c r="Z25" s="173">
        <f t="shared" si="19"/>
        <v>0</v>
      </c>
      <c r="AA25" s="173">
        <f t="shared" si="19"/>
        <v>0</v>
      </c>
      <c r="AB25" s="173">
        <f t="shared" si="19"/>
        <v>0</v>
      </c>
      <c r="AC25" s="173">
        <f t="shared" si="19"/>
        <v>0</v>
      </c>
      <c r="AD25" s="173">
        <f t="shared" si="19"/>
        <v>0</v>
      </c>
      <c r="AE25" s="173">
        <f t="shared" si="19"/>
        <v>0</v>
      </c>
      <c r="AF25" s="173">
        <f t="shared" si="19"/>
        <v>0</v>
      </c>
      <c r="AG25" s="173">
        <f t="shared" si="19"/>
        <v>0</v>
      </c>
      <c r="AH25" s="186">
        <f t="shared" si="19"/>
        <v>0</v>
      </c>
      <c r="AI25" s="99"/>
    </row>
    <row r="26" spans="1:37" s="20" customFormat="1">
      <c r="A26" s="20" t="s">
        <v>378</v>
      </c>
      <c r="B26" s="33"/>
      <c r="C26" s="337">
        <f>C31/C14</f>
        <v>1.346986363234731E-2</v>
      </c>
      <c r="D26" s="337">
        <f t="shared" ref="D26:G26" si="20">C26+($N$26-$C$26)/($N$11-$C$11)</f>
        <v>1.2731401490533933E-2</v>
      </c>
      <c r="E26" s="337">
        <f t="shared" si="20"/>
        <v>1.1992939348720555E-2</v>
      </c>
      <c r="F26" s="337">
        <f t="shared" si="20"/>
        <v>1.1254477206907178E-2</v>
      </c>
      <c r="G26" s="337">
        <f t="shared" si="20"/>
        <v>1.05160150650938E-2</v>
      </c>
      <c r="H26" s="285">
        <f>H31/H14</f>
        <v>5.1553586866256093E-3</v>
      </c>
      <c r="I26" s="91">
        <f>H26+($N$26-$H$26)/($N$11-$H$11)</f>
        <v>5.1872622509213659E-3</v>
      </c>
      <c r="J26" s="173">
        <f t="shared" ref="J26:M26" si="21">I26+($N$26-$H$26)/($N$11-$H$11)</f>
        <v>5.2191658152171225E-3</v>
      </c>
      <c r="K26" s="173">
        <f t="shared" si="21"/>
        <v>5.2510693795128792E-3</v>
      </c>
      <c r="L26" s="173">
        <f t="shared" si="21"/>
        <v>5.2829729438086358E-3</v>
      </c>
      <c r="M26" s="173">
        <f t="shared" si="21"/>
        <v>5.3148765081043924E-3</v>
      </c>
      <c r="N26" s="181">
        <f>Inputs!C35</f>
        <v>5.3467800724001499E-3</v>
      </c>
      <c r="O26" s="91">
        <f t="shared" ref="O26:W26" si="22">N26+($X$26-$N$26)/($X$11-$N$11)</f>
        <v>5.3066281574000521E-3</v>
      </c>
      <c r="P26" s="91">
        <f t="shared" si="22"/>
        <v>5.2664762423999542E-3</v>
      </c>
      <c r="Q26" s="91">
        <f t="shared" si="22"/>
        <v>5.2263243273998564E-3</v>
      </c>
      <c r="R26" s="91">
        <f t="shared" si="22"/>
        <v>5.1861724123997586E-3</v>
      </c>
      <c r="S26" s="22">
        <f t="shared" si="22"/>
        <v>5.1460204973996608E-3</v>
      </c>
      <c r="T26" s="91">
        <f t="shared" si="22"/>
        <v>5.105868582399563E-3</v>
      </c>
      <c r="U26" s="91">
        <f t="shared" si="22"/>
        <v>5.0657166673994652E-3</v>
      </c>
      <c r="V26" s="91">
        <f t="shared" si="22"/>
        <v>5.0255647523993674E-3</v>
      </c>
      <c r="W26" s="91">
        <f t="shared" si="22"/>
        <v>4.9854128373992695E-3</v>
      </c>
      <c r="X26" s="186">
        <f>Inputs!F35</f>
        <v>4.9452609223991735E-3</v>
      </c>
      <c r="Y26" s="173">
        <f>X26+($AH$26-$X$26)/($AH$11-$X$11)</f>
        <v>4.9401771237017854E-3</v>
      </c>
      <c r="Z26" s="173">
        <f t="shared" ref="Z26:AG26" si="23">Y26+($AH$26-$X$26)/($AH$11-$X$11)</f>
        <v>4.9350933250043973E-3</v>
      </c>
      <c r="AA26" s="173">
        <f t="shared" si="23"/>
        <v>4.9300095263070092E-3</v>
      </c>
      <c r="AB26" s="173">
        <f t="shared" si="23"/>
        <v>4.9249257276096211E-3</v>
      </c>
      <c r="AC26" s="173">
        <f t="shared" si="23"/>
        <v>4.919841928912233E-3</v>
      </c>
      <c r="AD26" s="173">
        <f t="shared" si="23"/>
        <v>4.914758130214845E-3</v>
      </c>
      <c r="AE26" s="173">
        <f t="shared" si="23"/>
        <v>4.9096743315174569E-3</v>
      </c>
      <c r="AF26" s="173">
        <f t="shared" si="23"/>
        <v>4.9045905328200688E-3</v>
      </c>
      <c r="AG26" s="173">
        <f t="shared" si="23"/>
        <v>4.8995067341226807E-3</v>
      </c>
      <c r="AH26" s="186">
        <f>Inputs!H35</f>
        <v>4.8944229354252926E-3</v>
      </c>
      <c r="AI26" s="99"/>
    </row>
    <row r="27" spans="1:37" s="1" customFormat="1">
      <c r="B27" s="33"/>
      <c r="C27" s="343"/>
      <c r="D27" s="334"/>
      <c r="E27" s="398"/>
      <c r="F27" s="398"/>
      <c r="G27" s="398"/>
      <c r="H27" s="407"/>
      <c r="I27" s="25"/>
      <c r="J27" s="25"/>
      <c r="K27" s="24"/>
      <c r="L27" s="24"/>
      <c r="M27" s="24"/>
      <c r="N27" s="182" t="s">
        <v>0</v>
      </c>
      <c r="O27" s="26"/>
      <c r="P27" s="13"/>
      <c r="Q27" s="13"/>
      <c r="R27" s="13"/>
      <c r="S27" s="170">
        <f>SUM(S18,S24,S26)</f>
        <v>0.14596856909430378</v>
      </c>
      <c r="T27" s="13"/>
      <c r="U27" s="13"/>
      <c r="V27" s="13"/>
      <c r="W27" s="13"/>
      <c r="X27" s="177"/>
      <c r="Y27"/>
      <c r="Z27"/>
      <c r="AA27"/>
      <c r="AB27"/>
      <c r="AC27"/>
      <c r="AD27"/>
      <c r="AE27"/>
      <c r="AF27"/>
      <c r="AG27"/>
      <c r="AH27" s="281"/>
      <c r="AI27" s="24"/>
    </row>
    <row r="28" spans="1:37" s="1" customFormat="1">
      <c r="A28" s="1" t="s">
        <v>374</v>
      </c>
      <c r="B28" s="33"/>
      <c r="C28" s="333">
        <v>2009</v>
      </c>
      <c r="D28" s="333">
        <v>2010</v>
      </c>
      <c r="E28" s="333">
        <v>2011</v>
      </c>
      <c r="F28" s="333">
        <v>2012</v>
      </c>
      <c r="G28" s="333">
        <v>2013</v>
      </c>
      <c r="H28" s="406">
        <v>2014</v>
      </c>
      <c r="I28" s="13">
        <v>2015</v>
      </c>
      <c r="J28" s="13">
        <v>2016</v>
      </c>
      <c r="K28" s="13">
        <v>2017</v>
      </c>
      <c r="L28" s="13">
        <v>2018</v>
      </c>
      <c r="M28" s="13">
        <v>2019</v>
      </c>
      <c r="N28" s="177">
        <v>2020</v>
      </c>
      <c r="O28" s="13">
        <v>2021</v>
      </c>
      <c r="P28" s="13">
        <v>2022</v>
      </c>
      <c r="Q28" s="13">
        <v>2023</v>
      </c>
      <c r="R28" s="13">
        <v>2024</v>
      </c>
      <c r="S28" s="13">
        <v>2025</v>
      </c>
      <c r="T28" s="13">
        <v>2026</v>
      </c>
      <c r="U28" s="13">
        <v>2027</v>
      </c>
      <c r="V28" s="13">
        <v>2028</v>
      </c>
      <c r="W28" s="13">
        <v>2029</v>
      </c>
      <c r="X28" s="177">
        <v>2030</v>
      </c>
      <c r="Y28" s="13">
        <v>2031</v>
      </c>
      <c r="Z28" s="13">
        <v>2032</v>
      </c>
      <c r="AA28" s="13">
        <v>2033</v>
      </c>
      <c r="AB28" s="13">
        <v>2034</v>
      </c>
      <c r="AC28" s="13">
        <v>2035</v>
      </c>
      <c r="AD28" s="13">
        <v>2036</v>
      </c>
      <c r="AE28" s="13">
        <v>2037</v>
      </c>
      <c r="AF28" s="13">
        <v>2038</v>
      </c>
      <c r="AG28" s="13">
        <v>2039</v>
      </c>
      <c r="AH28" s="177">
        <v>2040</v>
      </c>
      <c r="AK28" s="77"/>
    </row>
    <row r="29" spans="1:37">
      <c r="A29" s="9" t="s">
        <v>280</v>
      </c>
      <c r="B29" s="35">
        <v>0</v>
      </c>
      <c r="C29" s="335" t="s">
        <v>373</v>
      </c>
      <c r="D29" s="335">
        <f t="shared" ref="D29:AH29" si="24">D13-D14</f>
        <v>0</v>
      </c>
      <c r="E29" s="335">
        <f t="shared" si="24"/>
        <v>0</v>
      </c>
      <c r="F29" s="335">
        <f t="shared" si="24"/>
        <v>0</v>
      </c>
      <c r="G29" s="335">
        <f t="shared" si="24"/>
        <v>0</v>
      </c>
      <c r="H29" s="287">
        <f t="shared" si="24"/>
        <v>0</v>
      </c>
      <c r="I29" s="50">
        <f t="shared" si="24"/>
        <v>0</v>
      </c>
      <c r="J29" s="50">
        <f t="shared" si="24"/>
        <v>0</v>
      </c>
      <c r="K29" s="50">
        <f t="shared" si="24"/>
        <v>0</v>
      </c>
      <c r="L29" s="50">
        <f t="shared" si="24"/>
        <v>0</v>
      </c>
      <c r="M29" s="50">
        <f t="shared" si="24"/>
        <v>0</v>
      </c>
      <c r="N29" s="178">
        <f t="shared" si="24"/>
        <v>0</v>
      </c>
      <c r="O29" s="50">
        <f t="shared" si="24"/>
        <v>0</v>
      </c>
      <c r="P29" s="50">
        <f t="shared" si="24"/>
        <v>0</v>
      </c>
      <c r="Q29" s="50">
        <f t="shared" si="24"/>
        <v>0</v>
      </c>
      <c r="R29" s="50">
        <f t="shared" si="24"/>
        <v>0</v>
      </c>
      <c r="S29" s="50">
        <f t="shared" si="24"/>
        <v>0</v>
      </c>
      <c r="T29" s="50">
        <f t="shared" si="24"/>
        <v>0</v>
      </c>
      <c r="U29" s="50">
        <f t="shared" si="24"/>
        <v>0</v>
      </c>
      <c r="V29" s="50">
        <f t="shared" si="24"/>
        <v>0</v>
      </c>
      <c r="W29" s="50">
        <f t="shared" si="24"/>
        <v>0</v>
      </c>
      <c r="X29" s="185">
        <f t="shared" si="24"/>
        <v>0</v>
      </c>
      <c r="Y29" s="175">
        <f t="shared" si="24"/>
        <v>0</v>
      </c>
      <c r="Z29" s="175">
        <f t="shared" si="24"/>
        <v>0</v>
      </c>
      <c r="AA29" s="175">
        <f t="shared" si="24"/>
        <v>0</v>
      </c>
      <c r="AB29" s="175">
        <f t="shared" si="24"/>
        <v>0</v>
      </c>
      <c r="AC29" s="175">
        <f t="shared" si="24"/>
        <v>0</v>
      </c>
      <c r="AD29" s="175">
        <f t="shared" si="24"/>
        <v>0</v>
      </c>
      <c r="AE29" s="175">
        <f t="shared" si="24"/>
        <v>0</v>
      </c>
      <c r="AF29" s="175">
        <f t="shared" si="24"/>
        <v>0</v>
      </c>
      <c r="AG29" s="175">
        <f t="shared" si="24"/>
        <v>0</v>
      </c>
      <c r="AH29" s="185">
        <f t="shared" si="24"/>
        <v>0</v>
      </c>
      <c r="AI29" s="128"/>
    </row>
    <row r="30" spans="1:37" s="20" customFormat="1">
      <c r="A30" s="20" t="s">
        <v>121</v>
      </c>
      <c r="B30" s="35">
        <v>0</v>
      </c>
      <c r="C30" s="335">
        <f>C23*C47</f>
        <v>0</v>
      </c>
      <c r="D30" s="335">
        <f t="shared" ref="D30:AH30" si="25">D24*D14</f>
        <v>0</v>
      </c>
      <c r="E30" s="335">
        <f t="shared" si="25"/>
        <v>0</v>
      </c>
      <c r="F30" s="335">
        <f t="shared" si="25"/>
        <v>0</v>
      </c>
      <c r="G30" s="335">
        <f t="shared" si="25"/>
        <v>0</v>
      </c>
      <c r="H30" s="287">
        <f t="shared" si="25"/>
        <v>0</v>
      </c>
      <c r="I30" s="118">
        <f t="shared" si="25"/>
        <v>0</v>
      </c>
      <c r="J30" s="118">
        <f t="shared" si="25"/>
        <v>0</v>
      </c>
      <c r="K30" s="118">
        <f t="shared" si="25"/>
        <v>0</v>
      </c>
      <c r="L30" s="118">
        <f t="shared" si="25"/>
        <v>0</v>
      </c>
      <c r="M30" s="118">
        <f t="shared" si="25"/>
        <v>0</v>
      </c>
      <c r="N30" s="178">
        <f t="shared" si="25"/>
        <v>0</v>
      </c>
      <c r="O30" s="118">
        <f t="shared" si="25"/>
        <v>0</v>
      </c>
      <c r="P30" s="118">
        <f t="shared" si="25"/>
        <v>0</v>
      </c>
      <c r="Q30" s="118">
        <f t="shared" si="25"/>
        <v>0</v>
      </c>
      <c r="R30" s="118">
        <f t="shared" si="25"/>
        <v>0</v>
      </c>
      <c r="S30" s="118">
        <f t="shared" si="25"/>
        <v>0</v>
      </c>
      <c r="T30" s="118">
        <f t="shared" si="25"/>
        <v>0</v>
      </c>
      <c r="U30" s="118">
        <f t="shared" si="25"/>
        <v>0</v>
      </c>
      <c r="V30" s="118">
        <f t="shared" si="25"/>
        <v>0</v>
      </c>
      <c r="W30" s="118">
        <f t="shared" si="25"/>
        <v>0</v>
      </c>
      <c r="X30" s="185">
        <f t="shared" si="25"/>
        <v>0</v>
      </c>
      <c r="Y30" s="175">
        <f t="shared" si="25"/>
        <v>0</v>
      </c>
      <c r="Z30" s="175">
        <f t="shared" si="25"/>
        <v>0</v>
      </c>
      <c r="AA30" s="175">
        <f t="shared" si="25"/>
        <v>0</v>
      </c>
      <c r="AB30" s="175">
        <f t="shared" si="25"/>
        <v>0</v>
      </c>
      <c r="AC30" s="175">
        <f t="shared" si="25"/>
        <v>0</v>
      </c>
      <c r="AD30" s="175">
        <f t="shared" si="25"/>
        <v>0</v>
      </c>
      <c r="AE30" s="175">
        <f t="shared" si="25"/>
        <v>0</v>
      </c>
      <c r="AF30" s="175">
        <f t="shared" si="25"/>
        <v>0</v>
      </c>
      <c r="AG30" s="175">
        <f t="shared" si="25"/>
        <v>0</v>
      </c>
      <c r="AH30" s="185">
        <f t="shared" si="25"/>
        <v>0</v>
      </c>
      <c r="AI30" s="128"/>
    </row>
    <row r="31" spans="1:37">
      <c r="A31" s="9" t="s">
        <v>49</v>
      </c>
      <c r="B31" s="35">
        <v>0</v>
      </c>
      <c r="C31" s="335">
        <f>'Output - Jobs vs Yr (BAU)'!C7</f>
        <v>1371.9999</v>
      </c>
      <c r="D31" s="335">
        <f t="shared" ref="D31:AH31" si="26">D26*D14</f>
        <v>1429.4181023496972</v>
      </c>
      <c r="E31" s="335">
        <f t="shared" si="26"/>
        <v>1034.3557835713414</v>
      </c>
      <c r="F31" s="335">
        <f t="shared" si="26"/>
        <v>957.01147036817792</v>
      </c>
      <c r="G31" s="335">
        <f t="shared" si="26"/>
        <v>962.97134323106695</v>
      </c>
      <c r="H31" s="287">
        <f>'Output - Jobs vs Yr (BAU)'!H7</f>
        <v>499.39890000000003</v>
      </c>
      <c r="I31" s="175">
        <f t="shared" si="26"/>
        <v>523.70458591768886</v>
      </c>
      <c r="J31" s="175">
        <f t="shared" si="26"/>
        <v>519.51483623519732</v>
      </c>
      <c r="K31" s="175">
        <f t="shared" si="26"/>
        <v>509.1117920421575</v>
      </c>
      <c r="L31" s="175">
        <f t="shared" si="26"/>
        <v>514.99163570539781</v>
      </c>
      <c r="M31" s="175">
        <f t="shared" si="26"/>
        <v>519.96379206390156</v>
      </c>
      <c r="N31" s="185">
        <f t="shared" si="26"/>
        <v>526.06889999999999</v>
      </c>
      <c r="O31" s="175">
        <f t="shared" si="26"/>
        <v>516.44852931724677</v>
      </c>
      <c r="P31" s="175">
        <f t="shared" si="26"/>
        <v>520.88924331712667</v>
      </c>
      <c r="Q31" s="175">
        <f t="shared" si="26"/>
        <v>517.7410321807829</v>
      </c>
      <c r="R31" s="175">
        <f t="shared" si="26"/>
        <v>518.5618788494736</v>
      </c>
      <c r="S31" s="175">
        <f t="shared" si="26"/>
        <v>519.39281471232778</v>
      </c>
      <c r="T31" s="175">
        <f t="shared" si="26"/>
        <v>524.14612028235399</v>
      </c>
      <c r="U31" s="175">
        <f t="shared" si="26"/>
        <v>524.82607299953713</v>
      </c>
      <c r="V31" s="175">
        <f t="shared" si="26"/>
        <v>529.57185589285211</v>
      </c>
      <c r="W31" s="175">
        <f t="shared" si="26"/>
        <v>528.13460959071085</v>
      </c>
      <c r="X31" s="185">
        <f t="shared" si="26"/>
        <v>526.06889999999999</v>
      </c>
      <c r="Y31" s="175">
        <f t="shared" si="26"/>
        <v>527.04283102336478</v>
      </c>
      <c r="Z31" s="175">
        <f t="shared" si="26"/>
        <v>517.20746311356459</v>
      </c>
      <c r="AA31" s="175">
        <f t="shared" si="26"/>
        <v>517.99005180738868</v>
      </c>
      <c r="AB31" s="175">
        <f t="shared" si="26"/>
        <v>516.08658189169637</v>
      </c>
      <c r="AC31" s="175">
        <f t="shared" si="26"/>
        <v>517.16786991725542</v>
      </c>
      <c r="AD31" s="175">
        <f t="shared" si="26"/>
        <v>517.81515189470826</v>
      </c>
      <c r="AE31" s="175">
        <f t="shared" si="26"/>
        <v>515.35536156185333</v>
      </c>
      <c r="AF31" s="175">
        <f t="shared" si="26"/>
        <v>522.25468973506997</v>
      </c>
      <c r="AG31" s="175">
        <f t="shared" si="26"/>
        <v>522.49441221798099</v>
      </c>
      <c r="AH31" s="185">
        <f t="shared" si="26"/>
        <v>526.0689000000001</v>
      </c>
      <c r="AI31" s="128"/>
    </row>
    <row r="32" spans="1:37">
      <c r="A32" s="9" t="s">
        <v>59</v>
      </c>
      <c r="B32" s="35">
        <v>0</v>
      </c>
      <c r="C32" s="335">
        <f>EIA_electricity_aeo2014!E52*1000</f>
        <v>21851</v>
      </c>
      <c r="D32" s="335">
        <f t="shared" ref="D32:AH32" si="27">D18*D14</f>
        <v>23389.728940932997</v>
      </c>
      <c r="E32" s="335">
        <f t="shared" si="27"/>
        <v>17432.640593705739</v>
      </c>
      <c r="F32" s="335">
        <f t="shared" si="27"/>
        <v>16660.133806456626</v>
      </c>
      <c r="G32" s="335">
        <f t="shared" si="27"/>
        <v>17373.262611112157</v>
      </c>
      <c r="H32" s="287">
        <f>EIA_electricity_aeo2014!J52*1000</f>
        <v>13581.746999999999</v>
      </c>
      <c r="I32" s="175">
        <f t="shared" si="27"/>
        <v>14257.986320936865</v>
      </c>
      <c r="J32" s="175">
        <f t="shared" si="27"/>
        <v>14158.830347914491</v>
      </c>
      <c r="K32" s="175">
        <f t="shared" si="27"/>
        <v>13889.741171006501</v>
      </c>
      <c r="L32" s="175">
        <f t="shared" si="27"/>
        <v>14064.582040056126</v>
      </c>
      <c r="M32" s="175">
        <f t="shared" si="27"/>
        <v>14214.762804454851</v>
      </c>
      <c r="N32" s="185">
        <f t="shared" si="27"/>
        <v>14396.048999999999</v>
      </c>
      <c r="O32" s="175">
        <f t="shared" si="27"/>
        <v>14132.784382481117</v>
      </c>
      <c r="P32" s="175">
        <f t="shared" si="27"/>
        <v>14254.305986090942</v>
      </c>
      <c r="Q32" s="175">
        <f t="shared" si="27"/>
        <v>14168.154149741844</v>
      </c>
      <c r="R32" s="175">
        <f t="shared" si="27"/>
        <v>14190.616889630019</v>
      </c>
      <c r="S32" s="175">
        <f t="shared" si="27"/>
        <v>14213.355723644931</v>
      </c>
      <c r="T32" s="175">
        <f t="shared" si="27"/>
        <v>14343.431498696584</v>
      </c>
      <c r="U32" s="175">
        <f t="shared" si="27"/>
        <v>14362.038629120474</v>
      </c>
      <c r="V32" s="175">
        <f t="shared" si="27"/>
        <v>14491.908543642172</v>
      </c>
      <c r="W32" s="175">
        <f t="shared" si="27"/>
        <v>14452.577824432779</v>
      </c>
      <c r="X32" s="185">
        <f t="shared" si="27"/>
        <v>14396.048999999997</v>
      </c>
      <c r="Y32" s="175">
        <f t="shared" si="27"/>
        <v>14422.700943756758</v>
      </c>
      <c r="Z32" s="175">
        <f t="shared" si="27"/>
        <v>14153.552856191589</v>
      </c>
      <c r="AA32" s="175">
        <f t="shared" si="27"/>
        <v>14174.968653976135</v>
      </c>
      <c r="AB32" s="175">
        <f t="shared" si="27"/>
        <v>14122.879571773532</v>
      </c>
      <c r="AC32" s="175">
        <f t="shared" si="27"/>
        <v>14152.469375312694</v>
      </c>
      <c r="AD32" s="175">
        <f t="shared" si="27"/>
        <v>14170.182460165703</v>
      </c>
      <c r="AE32" s="175">
        <f t="shared" si="27"/>
        <v>14102.869486215892</v>
      </c>
      <c r="AF32" s="175">
        <f t="shared" si="27"/>
        <v>14291.671877782293</v>
      </c>
      <c r="AG32" s="175">
        <f t="shared" si="27"/>
        <v>14298.231962612228</v>
      </c>
      <c r="AH32" s="185">
        <f t="shared" si="27"/>
        <v>14396.048999999997</v>
      </c>
      <c r="AI32" s="129"/>
    </row>
    <row r="33" spans="1:36">
      <c r="A33" s="9"/>
      <c r="B33" s="35"/>
      <c r="C33" s="335"/>
      <c r="D33" s="335"/>
      <c r="E33" s="335"/>
      <c r="F33" s="335"/>
      <c r="G33" s="335"/>
      <c r="H33" s="287"/>
      <c r="I33" s="118"/>
      <c r="J33" s="118"/>
      <c r="K33" s="118"/>
      <c r="L33" s="118"/>
      <c r="M33" s="118"/>
      <c r="N33" s="185"/>
      <c r="O33" s="118"/>
      <c r="P33" s="118"/>
      <c r="Q33" s="118"/>
      <c r="R33" s="118"/>
      <c r="S33" s="118"/>
      <c r="T33" s="118"/>
      <c r="U33" s="118"/>
      <c r="V33" s="118"/>
      <c r="W33" s="118"/>
      <c r="X33" s="185"/>
      <c r="AI33" s="129"/>
    </row>
    <row r="34" spans="1:36">
      <c r="A34" s="9" t="s">
        <v>120</v>
      </c>
      <c r="B34" s="35">
        <v>1</v>
      </c>
      <c r="C34" s="335">
        <f>EIA_RE_aeo2014!E76*1000</f>
        <v>1489</v>
      </c>
      <c r="D34" s="335">
        <f>MAX(D58*D$14,'Output - Jobs vs Yr (BAU)'!D10)</f>
        <v>1795.0642065500597</v>
      </c>
      <c r="E34" s="335">
        <f>MAX(E58*E$14,'Output - Jobs vs Yr (BAU)'!E10)</f>
        <v>1508.1145838427603</v>
      </c>
      <c r="F34" s="335">
        <f>MAX(F58*F$14,'Output - Jobs vs Yr (BAU)'!F10)</f>
        <v>1626.2037323914167</v>
      </c>
      <c r="G34" s="335">
        <f>MAX(G58*G$14,'Output - Jobs vs Yr (BAU)'!G10)</f>
        <v>1915.3070466531722</v>
      </c>
      <c r="H34" s="287">
        <f>'Output - Jobs vs Yr (BAU)'!H10</f>
        <v>929.654</v>
      </c>
      <c r="I34" s="287">
        <f>MAX(I58*I$14,'Output - Jobs vs Yr (BAU)'!I10)</f>
        <v>1059.6780196027328</v>
      </c>
      <c r="J34" s="287">
        <f>MAX(J58*J$14,'Output - Jobs vs Yr (BAU)'!J10)</f>
        <v>1142.6565683899735</v>
      </c>
      <c r="K34" s="287">
        <f>MAX(K58*K$14,'Output - Jobs vs Yr (BAU)'!K10)</f>
        <v>1217.2432276940087</v>
      </c>
      <c r="L34" s="287">
        <f>MAX(L58*L$14,'Output - Jobs vs Yr (BAU)'!L10)</f>
        <v>1338.5261572401191</v>
      </c>
      <c r="M34" s="287">
        <f>MAX(M58*M$14,'Output - Jobs vs Yr (BAU)'!M10)</f>
        <v>1469.1904757206371</v>
      </c>
      <c r="N34" s="288">
        <f>MAX(Inputs!$E17*N$21,'Output - Jobs vs Yr (BAU)'!N10)</f>
        <v>1616.0008830091722</v>
      </c>
      <c r="O34" s="287">
        <f>MAX(O58*O$14,'Output - Jobs vs Yr (BAU)'!O10)</f>
        <v>1645.1047186139165</v>
      </c>
      <c r="P34" s="287">
        <f>MAX(P58*P$14,'Output - Jobs vs Yr (BAU)'!P10)</f>
        <v>1720.6965718791182</v>
      </c>
      <c r="Q34" s="287">
        <f>MAX(Q58*Q$14,'Output - Jobs vs Yr (BAU)'!Q10)</f>
        <v>1773.7366329803172</v>
      </c>
      <c r="R34" s="287">
        <f>MAX(R58*R$14,'Output - Jobs vs Yr (BAU)'!R10)</f>
        <v>1842.5548189601468</v>
      </c>
      <c r="S34" s="287">
        <f>MAX(S58*S$14,'Output - Jobs vs Yr (BAU)'!S10)</f>
        <v>1914.190164080673</v>
      </c>
      <c r="T34" s="287">
        <f>MAX(T58*T$14,'Output - Jobs vs Yr (BAU)'!T10)</f>
        <v>2003.7210995689454</v>
      </c>
      <c r="U34" s="287">
        <f>MAX(U58*U$14,'Output - Jobs vs Yr (BAU)'!U10)</f>
        <v>2081.2435694808496</v>
      </c>
      <c r="V34" s="287">
        <f>MAX(V58*V$14,'Output - Jobs vs Yr (BAU)'!V10)</f>
        <v>2178.6240780183412</v>
      </c>
      <c r="W34" s="287">
        <f>MAX(W58*W$14,'Output - Jobs vs Yr (BAU)'!W10)</f>
        <v>2254.1335876154758</v>
      </c>
      <c r="X34" s="288">
        <f>Inputs!F17*'Output -Jobs vs Yr'!$X$14</f>
        <v>2329.6111715409438</v>
      </c>
      <c r="Y34" s="287">
        <f>MAX(Y58*Y$14,'Output - Jobs vs Yr (BAU)'!Y10)</f>
        <v>2389.0454632621304</v>
      </c>
      <c r="Z34" s="287">
        <f>MAX(Z58*Z$14,'Output - Jobs vs Yr (BAU)'!Z10)</f>
        <v>2399.8353087784976</v>
      </c>
      <c r="AA34" s="287">
        <f>MAX(AA58*AA$14,'Output - Jobs vs Yr (BAU)'!AA10)</f>
        <v>2460.235537731714</v>
      </c>
      <c r="AB34" s="287">
        <f>MAX(AB58*AB$14,'Output - Jobs vs Yr (BAU)'!AB10)</f>
        <v>2509.0938769881545</v>
      </c>
      <c r="AC34" s="287">
        <f>MAX(AC58*AC$14,'Output - Jobs vs Yr (BAU)'!AC10)</f>
        <v>2573.7444065412119</v>
      </c>
      <c r="AD34" s="287">
        <f>MAX(AD58*AD$14,'Output - Jobs vs Yr (BAU)'!AD10)</f>
        <v>2637.8411283301275</v>
      </c>
      <c r="AE34" s="287">
        <f>MAX(AE58*AE$14,'Output - Jobs vs Yr (BAU)'!AE10)</f>
        <v>2687.3308968528745</v>
      </c>
      <c r="AF34" s="287">
        <f>MAX(AF58*AF$14,'Output - Jobs vs Yr (BAU)'!AF10)</f>
        <v>2787.6460265961532</v>
      </c>
      <c r="AG34" s="287">
        <f>MAX(AG58*AG$14,'Output - Jobs vs Yr (BAU)'!AG10)</f>
        <v>2854.8173409495093</v>
      </c>
      <c r="AH34" s="288">
        <f>Inputs!I17*'Output -Jobs vs Yr'!$AH$14</f>
        <v>2942.2608249742852</v>
      </c>
      <c r="AI34" s="128"/>
    </row>
    <row r="35" spans="1:36" s="20" customFormat="1">
      <c r="A35" s="9" t="s">
        <v>50</v>
      </c>
      <c r="B35" s="35">
        <v>1</v>
      </c>
      <c r="C35" s="335">
        <f>EIA_RE_aeo2014!E74*1000</f>
        <v>0.1</v>
      </c>
      <c r="D35" s="335">
        <f>MAX(D59*D$14,'Output - Jobs vs Yr (BAU)'!D11)</f>
        <v>0.11843195671968691</v>
      </c>
      <c r="E35" s="335">
        <f>MAX(E59*E$14,'Output - Jobs vs Yr (BAU)'!E11)</f>
        <v>0.1</v>
      </c>
      <c r="F35" s="335">
        <f>MAX(F59*F$14,'Output - Jobs vs Yr (BAU)'!F11)</f>
        <v>0.10354546946718279</v>
      </c>
      <c r="G35" s="335">
        <f>MAX(G59*G$14,'Output - Jobs vs Yr (BAU)'!G11)</f>
        <v>0.11980589000272841</v>
      </c>
      <c r="H35" s="287">
        <f>'Output - Jobs vs Yr (BAU)'!H11</f>
        <v>0.1</v>
      </c>
      <c r="I35" s="287">
        <f>MAX(I59*I$14,'Output - Jobs vs Yr (BAU)'!I11)</f>
        <v>0.11197890053359104</v>
      </c>
      <c r="J35" s="287">
        <f>MAX(J59*J$14,'Output - Jobs vs Yr (BAU)'!J11)</f>
        <v>0.11862100758926349</v>
      </c>
      <c r="K35" s="287">
        <f>MAX(K59*K$14,'Output - Jobs vs Yr (BAU)'!K11)</f>
        <v>0.12413860778358794</v>
      </c>
      <c r="L35" s="287">
        <f>MAX(L59*L$14,'Output - Jobs vs Yr (BAU)'!L11)</f>
        <v>0.1341034593941039</v>
      </c>
      <c r="M35" s="287">
        <f>MAX(M59*M$14,'Output - Jobs vs Yr (BAU)'!M11)</f>
        <v>0.14460217930915509</v>
      </c>
      <c r="N35" s="288">
        <f>MAX(Inputs!$E19*N$21,'Output - Jobs vs Yr (BAU)'!N11)</f>
        <v>0.15625068968873376</v>
      </c>
      <c r="O35" s="287">
        <f>MAX(O59*O$14,'Output - Jobs vs Yr (BAU)'!O11)</f>
        <v>0.15906473170668167</v>
      </c>
      <c r="P35" s="287">
        <f>MAX(P59*P$14,'Output - Jobs vs Yr (BAU)'!P11)</f>
        <v>0.16637368761860138</v>
      </c>
      <c r="Q35" s="287">
        <f>MAX(Q59*Q$14,'Output - Jobs vs Yr (BAU)'!Q11)</f>
        <v>0.17150211682636432</v>
      </c>
      <c r="R35" s="287">
        <f>MAX(R59*R$14,'Output - Jobs vs Yr (BAU)'!R11)</f>
        <v>0.17815612867470743</v>
      </c>
      <c r="S35" s="287">
        <f>MAX(S59*S$14,'Output - Jobs vs Yr (BAU)'!S11)</f>
        <v>0.18508253088083118</v>
      </c>
      <c r="T35" s="287">
        <f>MAX(T59*T$14,'Output - Jobs vs Yr (BAU)'!T11)</f>
        <v>0.19373925289478858</v>
      </c>
      <c r="U35" s="287">
        <f>MAX(U59*U$14,'Output - Jobs vs Yr (BAU)'!U11)</f>
        <v>0.20123487960976508</v>
      </c>
      <c r="V35" s="287">
        <f>MAX(V59*V$14,'Output - Jobs vs Yr (BAU)'!V11)</f>
        <v>0.21065057472553084</v>
      </c>
      <c r="W35" s="287">
        <f>MAX(W59*W$14,'Output - Jobs vs Yr (BAU)'!W11)</f>
        <v>0.21795156885038575</v>
      </c>
      <c r="X35" s="288">
        <f>Inputs!F19*'Output -Jobs vs Yr'!$X$14</f>
        <v>0.22524947609065477</v>
      </c>
      <c r="Y35" s="287">
        <f>MAX(Y59*Y$14,'Output - Jobs vs Yr (BAU)'!Y11)</f>
        <v>0.23099616173311802</v>
      </c>
      <c r="Z35" s="287">
        <f>MAX(Z59*Z$14,'Output - Jobs vs Yr (BAU)'!Z11)</f>
        <v>0.23203942898704913</v>
      </c>
      <c r="AA35" s="287">
        <f>MAX(AA59*AA$14,'Output - Jobs vs Yr (BAU)'!AA11)</f>
        <v>0.23787951084005138</v>
      </c>
      <c r="AB35" s="287">
        <f>MAX(AB59*AB$14,'Output - Jobs vs Yr (BAU)'!AB11)</f>
        <v>0.24260361049007714</v>
      </c>
      <c r="AC35" s="287">
        <f>MAX(AC59*AC$14,'Output - Jobs vs Yr (BAU)'!AC11)</f>
        <v>0.24885465276215601</v>
      </c>
      <c r="AD35" s="287">
        <f>MAX(AD59*AD$14,'Output - Jobs vs Yr (BAU)'!AD11)</f>
        <v>0.25505214751083188</v>
      </c>
      <c r="AE35" s="287">
        <f>MAX(AE59*AE$14,'Output - Jobs vs Yr (BAU)'!AE11)</f>
        <v>0.25983729988637738</v>
      </c>
      <c r="AF35" s="287">
        <f>MAX(AF59*AF$14,'Output - Jobs vs Yr (BAU)'!AF11)</f>
        <v>0.26953674273532857</v>
      </c>
      <c r="AG35" s="287">
        <f>MAX(AG59*AG$14,'Output - Jobs vs Yr (BAU)'!AG11)</f>
        <v>0.27603151901012035</v>
      </c>
      <c r="AH35" s="288">
        <f>Inputs!I19*'Output -Jobs vs Yr'!$AH$14</f>
        <v>0.28448640590486951</v>
      </c>
      <c r="AI35" s="128"/>
    </row>
    <row r="36" spans="1:36">
      <c r="A36" s="9" t="s">
        <v>118</v>
      </c>
      <c r="B36" s="35">
        <v>1</v>
      </c>
      <c r="C36" s="335">
        <v>0</v>
      </c>
      <c r="D36" s="335">
        <v>0</v>
      </c>
      <c r="E36" s="335">
        <v>0</v>
      </c>
      <c r="F36" s="335">
        <v>0</v>
      </c>
      <c r="G36" s="335">
        <v>0</v>
      </c>
      <c r="H36" s="287">
        <v>0</v>
      </c>
      <c r="I36" s="118">
        <v>0</v>
      </c>
      <c r="J36" s="118">
        <v>0</v>
      </c>
      <c r="K36" s="118">
        <v>0</v>
      </c>
      <c r="L36" s="118">
        <v>0</v>
      </c>
      <c r="M36" s="118">
        <v>0</v>
      </c>
      <c r="N36" s="185">
        <v>0</v>
      </c>
      <c r="O36" s="118">
        <v>0</v>
      </c>
      <c r="P36" s="118">
        <v>0</v>
      </c>
      <c r="Q36" s="118">
        <v>0</v>
      </c>
      <c r="R36" s="118">
        <v>0</v>
      </c>
      <c r="S36" s="118">
        <v>0</v>
      </c>
      <c r="T36" s="118">
        <v>0</v>
      </c>
      <c r="U36" s="118">
        <v>0</v>
      </c>
      <c r="V36" s="118">
        <v>0</v>
      </c>
      <c r="W36" s="118">
        <v>0</v>
      </c>
      <c r="X36" s="185">
        <v>0</v>
      </c>
      <c r="Y36" s="175">
        <v>0</v>
      </c>
      <c r="Z36" s="175">
        <v>0</v>
      </c>
      <c r="AA36" s="175">
        <v>0</v>
      </c>
      <c r="AB36" s="175">
        <v>0</v>
      </c>
      <c r="AC36" s="175">
        <v>0</v>
      </c>
      <c r="AD36" s="175">
        <v>0</v>
      </c>
      <c r="AE36" s="175">
        <v>0</v>
      </c>
      <c r="AF36" s="175">
        <v>0</v>
      </c>
      <c r="AG36" s="175">
        <v>0</v>
      </c>
      <c r="AH36" s="185">
        <v>0</v>
      </c>
      <c r="AI36" s="128"/>
    </row>
    <row r="37" spans="1:36">
      <c r="A37" s="9" t="s">
        <v>51</v>
      </c>
      <c r="B37" s="35">
        <v>1</v>
      </c>
      <c r="C37" s="335">
        <f>EIA_RE_aeo2014!E75*1000</f>
        <v>829</v>
      </c>
      <c r="D37" s="335">
        <f>MAX(D61*D$14,'Output - Jobs vs Yr (BAU)'!D12)</f>
        <v>981.86302996658947</v>
      </c>
      <c r="E37" s="335">
        <f>MAX(E61*E$14,'Output - Jobs vs Yr (BAU)'!E12)</f>
        <v>810.43156590545448</v>
      </c>
      <c r="F37" s="335">
        <f>MAX(F61*F$14,'Output - Jobs vs Yr (BAU)'!F12)</f>
        <v>1025.124</v>
      </c>
      <c r="G37" s="335">
        <f>MAX(G61*G$14,'Output - Jobs vs Yr (BAU)'!G12)</f>
        <v>1007.866</v>
      </c>
      <c r="H37" s="287">
        <f>'Output - Jobs vs Yr (BAU)'!H12</f>
        <v>1008.9030000000001</v>
      </c>
      <c r="I37" s="118">
        <f>MAX(I61*I$14,'Output - Jobs vs Yr (BAU)'!I12)</f>
        <v>1129.829955411544</v>
      </c>
      <c r="J37" s="118">
        <f>MAX(J61*J$14,'Output - Jobs vs Yr (BAU)'!J12)</f>
        <v>1196.9223245255382</v>
      </c>
      <c r="K37" s="118">
        <f>MAX(K61*K$14,'Output - Jobs vs Yr (BAU)'!K12)</f>
        <v>1252.6758409636923</v>
      </c>
      <c r="L37" s="118">
        <f>MAX(L61*L$14,'Output - Jobs vs Yr (BAU)'!L12)</f>
        <v>1353.3162141031889</v>
      </c>
      <c r="M37" s="118">
        <f>MAX(M61*M$14,'Output - Jobs vs Yr (BAU)'!M12)</f>
        <v>1459.3572324729712</v>
      </c>
      <c r="N37" s="185">
        <f>MAX(Inputs!$E20*N$21,'Output - Jobs vs Yr (BAU)'!N12)</f>
        <v>1577.0163359318335</v>
      </c>
      <c r="O37" s="175">
        <f>MAX(O61*O$14,'Output - Jobs vs Yr (BAU)'!O12)</f>
        <v>1605.4180680530983</v>
      </c>
      <c r="P37" s="175">
        <f>MAX(P61*P$14,'Output - Jobs vs Yr (BAU)'!P12)</f>
        <v>1679.1863368182762</v>
      </c>
      <c r="Q37" s="175">
        <f>MAX(Q61*Q$14,'Output - Jobs vs Yr (BAU)'!Q12)</f>
        <v>1730.9468548321386</v>
      </c>
      <c r="R37" s="175">
        <f>MAX(R61*R$14,'Output - Jobs vs Yr (BAU)'!R12)</f>
        <v>1798.1048648558067</v>
      </c>
      <c r="S37" s="175">
        <f>MAX(S61*S$14,'Output - Jobs vs Yr (BAU)'!S12)</f>
        <v>1868.0120726259049</v>
      </c>
      <c r="T37" s="175">
        <f>MAX(T61*T$14,'Output - Jobs vs Yr (BAU)'!T12)</f>
        <v>1955.383155971695</v>
      </c>
      <c r="U37" s="175">
        <f>MAX(U61*U$14,'Output - Jobs vs Yr (BAU)'!U12)</f>
        <v>2031.0354670182126</v>
      </c>
      <c r="V37" s="175">
        <f>MAX(V61*V$14,'Output - Jobs vs Yr (BAU)'!V12)</f>
        <v>2126.0667596243206</v>
      </c>
      <c r="W37" s="175">
        <f>MAX(W61*W$14,'Output - Jobs vs Yr (BAU)'!W12)</f>
        <v>2199.7546711873038</v>
      </c>
      <c r="X37" s="185">
        <f>Inputs!F20*'Output -Jobs vs Yr'!$X$14</f>
        <v>2273.4114272563256</v>
      </c>
      <c r="Y37" s="175">
        <f>MAX(Y61*Y$14,'Output - Jobs vs Yr (BAU)'!Y12)</f>
        <v>2331.4119209097175</v>
      </c>
      <c r="Z37" s="175">
        <f>MAX(Z61*Z$14,'Output - Jobs vs Yr (BAU)'!Z12)</f>
        <v>2341.9414712462285</v>
      </c>
      <c r="AA37" s="175">
        <f>MAX(AA61*AA$14,'Output - Jobs vs Yr (BAU)'!AA12)</f>
        <v>2400.8845997771209</v>
      </c>
      <c r="AB37" s="175">
        <f>MAX(AB61*AB$14,'Output - Jobs vs Yr (BAU)'!AB12)</f>
        <v>2448.5642761708796</v>
      </c>
      <c r="AC37" s="175">
        <f>MAX(AC61*AC$14,'Output - Jobs vs Yr (BAU)'!AC12)</f>
        <v>2511.6551706770533</v>
      </c>
      <c r="AD37" s="175">
        <f>MAX(AD61*AD$14,'Output - Jobs vs Yr (BAU)'!AD12)</f>
        <v>2574.2056175261741</v>
      </c>
      <c r="AE37" s="175">
        <f>MAX(AE61*AE$14,'Output - Jobs vs Yr (BAU)'!AE12)</f>
        <v>2622.5014905312223</v>
      </c>
      <c r="AF37" s="175">
        <f>MAX(AF61*AF$14,'Output - Jobs vs Yr (BAU)'!AF12)</f>
        <v>2720.3966092836877</v>
      </c>
      <c r="AG37" s="175">
        <f>MAX(AG61*AG$14,'Output - Jobs vs Yr (BAU)'!AG12)</f>
        <v>2785.9474769564831</v>
      </c>
      <c r="AH37" s="185">
        <f>Inputs!I20*'Output -Jobs vs Yr'!$AH$14</f>
        <v>2871.2814667010211</v>
      </c>
      <c r="AI37" s="128"/>
    </row>
    <row r="38" spans="1:36" s="20" customFormat="1">
      <c r="A38" s="9" t="s">
        <v>343</v>
      </c>
      <c r="B38" s="35">
        <v>1</v>
      </c>
      <c r="C38" s="335">
        <f>'Output - Jobs vs Yr (BAU)'!C13</f>
        <v>0</v>
      </c>
      <c r="D38" s="335">
        <f>MAX(D62*D$14,'Output - Jobs vs Yr (BAU)'!D13)</f>
        <v>0</v>
      </c>
      <c r="E38" s="335">
        <f>MAX(E62*E$14,'Output - Jobs vs Yr (BAU)'!E13)</f>
        <v>0.159</v>
      </c>
      <c r="F38" s="335">
        <f>MAX(F62*F$14,'Output - Jobs vs Yr (BAU)'!F13)</f>
        <v>0.25900000000000001</v>
      </c>
      <c r="G38" s="335">
        <f>MAX(G62*G$14,'Output - Jobs vs Yr (BAU)'!G13)</f>
        <v>0.439</v>
      </c>
      <c r="H38" s="287">
        <f>'Output - Jobs vs Yr (BAU)'!H13</f>
        <v>0.68</v>
      </c>
      <c r="I38" s="118">
        <f>MAX(I62*I$14,'Output - Jobs vs Yr (BAU)'!I13)</f>
        <v>1.0549999999999999</v>
      </c>
      <c r="J38" s="118">
        <f>MAX(J62*J$14,'Output - Jobs vs Yr (BAU)'!J13)</f>
        <v>1.4910000000000001</v>
      </c>
      <c r="K38" s="118">
        <f>MAX(K62*K$14,'Output - Jobs vs Yr (BAU)'!K13)</f>
        <v>1.494</v>
      </c>
      <c r="L38" s="118">
        <f>MAX(L62*L$14,'Output - Jobs vs Yr (BAU)'!L13)</f>
        <v>1.5610239072527106</v>
      </c>
      <c r="M38" s="118">
        <f>MAX(M62*M$14,'Output - Jobs vs Yr (BAU)'!M13)</f>
        <v>1.9253495000152483</v>
      </c>
      <c r="N38" s="185">
        <f>MAX(Inputs!$E21*N$21,'Output - Jobs vs Yr (BAU)'!N13)</f>
        <v>2.3796980039594153</v>
      </c>
      <c r="O38" s="175">
        <f>MAX(O62*O$14,'Output - Jobs vs Yr (BAU)'!O13)</f>
        <v>2.4225558638927605</v>
      </c>
      <c r="P38" s="175">
        <f>MAX(P62*P$14,'Output - Jobs vs Yr (BAU)'!P13)</f>
        <v>2.5338712624312976</v>
      </c>
      <c r="Q38" s="175">
        <f>MAX(Q62*Q$14,'Output - Jobs vs Yr (BAU)'!Q13)</f>
        <v>2.6119772392655269</v>
      </c>
      <c r="R38" s="175">
        <f>MAX(R62*R$14,'Output - Jobs vs Yr (BAU)'!R13)</f>
        <v>2.7133178397157924</v>
      </c>
      <c r="S38" s="175">
        <f>MAX(S62*S$14,'Output - Jobs vs Yr (BAU)'!S13)</f>
        <v>2.8188069453150573</v>
      </c>
      <c r="T38" s="175">
        <f>MAX(T62*T$14,'Output - Jobs vs Yr (BAU)'!T13)</f>
        <v>2.9506488215876283</v>
      </c>
      <c r="U38" s="175">
        <f>MAX(U62*U$14,'Output - Jobs vs Yr (BAU)'!U13)</f>
        <v>3.0648072164567202</v>
      </c>
      <c r="V38" s="175">
        <f>MAX(V62*V$14,'Output - Jobs vs Yr (BAU)'!V13)</f>
        <v>3.208208253069833</v>
      </c>
      <c r="W38" s="175">
        <f>MAX(W62*W$14,'Output - Jobs vs Yr (BAU)'!W13)</f>
        <v>3.3194023935913735</v>
      </c>
      <c r="X38" s="185">
        <f>Inputs!F21*'Output -Jobs vs Yr'!$X$14</f>
        <v>3.4305495208606716</v>
      </c>
      <c r="Y38" s="175">
        <f>MAX(Y62*Y$14,'Output - Jobs vs Yr (BAU)'!Y13)</f>
        <v>3.5180715431953877</v>
      </c>
      <c r="Z38" s="175">
        <f>MAX(Z62*Z$14,'Output - Jobs vs Yr (BAU)'!Z13)</f>
        <v>3.5339605034727586</v>
      </c>
      <c r="AA38" s="175">
        <f>MAX(AA62*AA$14,'Output - Jobs vs Yr (BAU)'!AA13)</f>
        <v>3.6229049500939823</v>
      </c>
      <c r="AB38" s="175">
        <f>MAX(AB62*AB$14,'Output - Jobs vs Yr (BAU)'!AB13)</f>
        <v>3.6948529877638747</v>
      </c>
      <c r="AC38" s="175">
        <f>MAX(AC62*AC$14,'Output - Jobs vs Yr (BAU)'!AC13)</f>
        <v>3.7900563615676361</v>
      </c>
      <c r="AD38" s="175">
        <f>MAX(AD62*AD$14,'Output - Jobs vs Yr (BAU)'!AD13)</f>
        <v>3.8844442065899698</v>
      </c>
      <c r="AE38" s="175">
        <f>MAX(AE62*AE$14,'Output - Jobs vs Yr (BAU)'!AE13)</f>
        <v>3.9573220772695281</v>
      </c>
      <c r="AF38" s="175">
        <f>MAX(AF62*AF$14,'Output - Jobs vs Yr (BAU)'!AF13)</f>
        <v>4.1050445918590546</v>
      </c>
      <c r="AG38" s="175">
        <f>MAX(AG62*AG$14,'Output - Jobs vs Yr (BAU)'!AG13)</f>
        <v>4.2039600345241341</v>
      </c>
      <c r="AH38" s="185">
        <f>Inputs!I21*'Output -Jobs vs Yr'!$AH$14</f>
        <v>4.3327279619311625</v>
      </c>
      <c r="AI38" s="128"/>
    </row>
    <row r="39" spans="1:36" s="20" customFormat="1">
      <c r="A39" s="9" t="s">
        <v>344</v>
      </c>
      <c r="B39" s="35">
        <v>1</v>
      </c>
      <c r="C39" s="335">
        <f>'Output - Jobs vs Yr (BAU)'!C14</f>
        <v>0</v>
      </c>
      <c r="D39" s="335">
        <f>MAX(D63*D$14,'Output - Jobs vs Yr (BAU)'!D14)</f>
        <v>0</v>
      </c>
      <c r="E39" s="335">
        <f>MAX(E63*E$14,'Output - Jobs vs Yr (BAU)'!E14)</f>
        <v>0.1</v>
      </c>
      <c r="F39" s="335">
        <f>MAX(F63*F$14,'Output - Jobs vs Yr (BAU)'!F14)</f>
        <v>0.1</v>
      </c>
      <c r="G39" s="335">
        <f>MAX(G63*G$14,'Output - Jobs vs Yr (BAU)'!G14)</f>
        <v>0.1</v>
      </c>
      <c r="H39" s="287">
        <f>'Output - Jobs vs Yr (BAU)'!H14</f>
        <v>0.1</v>
      </c>
      <c r="I39" s="118">
        <f>MAX(I63*I$14,'Output - Jobs vs Yr (BAU)'!I14)</f>
        <v>0.11197890053359104</v>
      </c>
      <c r="J39" s="118">
        <f>MAX(J63*J$14,'Output - Jobs vs Yr (BAU)'!J14)</f>
        <v>0.11862100758926349</v>
      </c>
      <c r="K39" s="118">
        <f>MAX(K63*K$14,'Output - Jobs vs Yr (BAU)'!K14)</f>
        <v>0.12413860778358794</v>
      </c>
      <c r="L39" s="118">
        <f>MAX(L63*L$14,'Output - Jobs vs Yr (BAU)'!L14)</f>
        <v>0.1341034593941039</v>
      </c>
      <c r="M39" s="118">
        <f>MAX(M63*M$14,'Output - Jobs vs Yr (BAU)'!M14)</f>
        <v>0.14460217930915509</v>
      </c>
      <c r="N39" s="185">
        <f>MAX(Inputs!$E22*N$21,'Output - Jobs vs Yr (BAU)'!N14)</f>
        <v>0.15625068968873376</v>
      </c>
      <c r="O39" s="175">
        <f>MAX(O63*O$14,'Output - Jobs vs Yr (BAU)'!O14)</f>
        <v>0.15906473170668167</v>
      </c>
      <c r="P39" s="175">
        <f>MAX(P63*P$14,'Output - Jobs vs Yr (BAU)'!P14)</f>
        <v>0.16637368761860138</v>
      </c>
      <c r="Q39" s="175">
        <f>MAX(Q63*Q$14,'Output - Jobs vs Yr (BAU)'!Q14)</f>
        <v>0.17150211682636432</v>
      </c>
      <c r="R39" s="175">
        <f>MAX(R63*R$14,'Output - Jobs vs Yr (BAU)'!R14)</f>
        <v>0.17815612867470743</v>
      </c>
      <c r="S39" s="175">
        <f>MAX(S63*S$14,'Output - Jobs vs Yr (BAU)'!S14)</f>
        <v>0.18508253088083118</v>
      </c>
      <c r="T39" s="175">
        <f>MAX(T63*T$14,'Output - Jobs vs Yr (BAU)'!T14)</f>
        <v>0.19373925289478858</v>
      </c>
      <c r="U39" s="175">
        <f>MAX(U63*U$14,'Output - Jobs vs Yr (BAU)'!U14)</f>
        <v>0.20123487960976508</v>
      </c>
      <c r="V39" s="175">
        <f>MAX(V63*V$14,'Output - Jobs vs Yr (BAU)'!V14)</f>
        <v>0.21065057472553084</v>
      </c>
      <c r="W39" s="175">
        <f>MAX(W63*W$14,'Output - Jobs vs Yr (BAU)'!W14)</f>
        <v>0.21795156885038575</v>
      </c>
      <c r="X39" s="185">
        <f>Inputs!F22*'Output -Jobs vs Yr'!$X$14</f>
        <v>0.22524947609065477</v>
      </c>
      <c r="Y39" s="175">
        <f>MAX(Y63*Y$14,'Output - Jobs vs Yr (BAU)'!Y14)</f>
        <v>0.23099616173311802</v>
      </c>
      <c r="Z39" s="175">
        <f>MAX(Z63*Z$14,'Output - Jobs vs Yr (BAU)'!Z14)</f>
        <v>0.23203942898704913</v>
      </c>
      <c r="AA39" s="175">
        <f>MAX(AA63*AA$14,'Output - Jobs vs Yr (BAU)'!AA14)</f>
        <v>0.23787951084005138</v>
      </c>
      <c r="AB39" s="175">
        <f>MAX(AB63*AB$14,'Output - Jobs vs Yr (BAU)'!AB14)</f>
        <v>0.24260361049007714</v>
      </c>
      <c r="AC39" s="175">
        <f>MAX(AC63*AC$14,'Output - Jobs vs Yr (BAU)'!AC14)</f>
        <v>0.24885465276215601</v>
      </c>
      <c r="AD39" s="175">
        <f>MAX(AD63*AD$14,'Output - Jobs vs Yr (BAU)'!AD14)</f>
        <v>0.25505214751083188</v>
      </c>
      <c r="AE39" s="175">
        <f>MAX(AE63*AE$14,'Output - Jobs vs Yr (BAU)'!AE14)</f>
        <v>0.25983729988637738</v>
      </c>
      <c r="AF39" s="175">
        <f>MAX(AF63*AF$14,'Output - Jobs vs Yr (BAU)'!AF14)</f>
        <v>0.26953674273532857</v>
      </c>
      <c r="AG39" s="175">
        <f>MAX(AG63*AG$14,'Output - Jobs vs Yr (BAU)'!AG14)</f>
        <v>0.27603151901012035</v>
      </c>
      <c r="AH39" s="185">
        <f>Inputs!I22*'Output -Jobs vs Yr'!$AH$14</f>
        <v>0.28448640590486951</v>
      </c>
      <c r="AI39" s="128"/>
    </row>
    <row r="40" spans="1:36" s="20" customFormat="1">
      <c r="A40" s="9" t="s">
        <v>340</v>
      </c>
      <c r="B40" s="35">
        <v>1</v>
      </c>
      <c r="C40" s="335">
        <f>'Output - Jobs vs Yr (BAU)'!C15</f>
        <v>1E-4</v>
      </c>
      <c r="D40" s="335">
        <f>MAX(D64*D$14,'Output - Jobs vs Yr (BAU)'!D15)</f>
        <v>1.184319567196869E-4</v>
      </c>
      <c r="E40" s="335">
        <f>MAX(E64*E$14,'Output - Jobs vs Yr (BAU)'!E15)</f>
        <v>1E-4</v>
      </c>
      <c r="F40" s="335">
        <f>MAX(F64*F$14,'Output - Jobs vs Yr (BAU)'!F15)</f>
        <v>1.0354546946718279E-4</v>
      </c>
      <c r="G40" s="335">
        <f>MAX(G64*G$14,'Output - Jobs vs Yr (BAU)'!G15)</f>
        <v>1.198058900027284E-4</v>
      </c>
      <c r="H40" s="287">
        <f>'Output - Jobs vs Yr (BAU)'!H15</f>
        <v>1E-4</v>
      </c>
      <c r="I40" s="118">
        <f>MAX(I64*I$14,'Output - Jobs vs Yr (BAU)'!I15)</f>
        <v>1.1197890053359103E-4</v>
      </c>
      <c r="J40" s="118">
        <f>MAX(J64*J$14,'Output - Jobs vs Yr (BAU)'!J15)</f>
        <v>1.186210075892635E-4</v>
      </c>
      <c r="K40" s="118">
        <f>MAX(K64*K$14,'Output - Jobs vs Yr (BAU)'!K15)</f>
        <v>1.2413860778358795E-4</v>
      </c>
      <c r="L40" s="118">
        <f>MAX(L64*L$14,'Output - Jobs vs Yr (BAU)'!L15)</f>
        <v>1.3410345939410389E-4</v>
      </c>
      <c r="M40" s="118">
        <f>MAX(M64*M$14,'Output - Jobs vs Yr (BAU)'!M15)</f>
        <v>1.4460217930915508E-4</v>
      </c>
      <c r="N40" s="185">
        <f>MAX(Inputs!$E18*N$21,'Output - Jobs vs Yr (BAU)'!N15)</f>
        <v>1.5625068968873378E-4</v>
      </c>
      <c r="O40" s="175">
        <f>MAX(O64*O$14,'Output - Jobs vs Yr (BAU)'!O15)</f>
        <v>1.590647317066817E-4</v>
      </c>
      <c r="P40" s="175">
        <f>MAX(P64*P$14,'Output - Jobs vs Yr (BAU)'!P15)</f>
        <v>1.6637368761860142E-4</v>
      </c>
      <c r="Q40" s="175">
        <f>MAX(Q64*Q$14,'Output - Jobs vs Yr (BAU)'!Q15)</f>
        <v>1.7150211682636434E-4</v>
      </c>
      <c r="R40" s="175">
        <f>MAX(R64*R$14,'Output - Jobs vs Yr (BAU)'!R15)</f>
        <v>1.7815612867470742E-4</v>
      </c>
      <c r="S40" s="175">
        <f>MAX(S64*S$14,'Output - Jobs vs Yr (BAU)'!S15)</f>
        <v>1.850825308808312E-4</v>
      </c>
      <c r="T40" s="175">
        <f>MAX(T64*T$14,'Output - Jobs vs Yr (BAU)'!T15)</f>
        <v>1.9373925289478859E-4</v>
      </c>
      <c r="U40" s="175">
        <f>MAX(U64*U$14,'Output - Jobs vs Yr (BAU)'!U15)</f>
        <v>2.012348796097651E-4</v>
      </c>
      <c r="V40" s="175">
        <f>MAX(V64*V$14,'Output - Jobs vs Yr (BAU)'!V15)</f>
        <v>2.1065057472553089E-4</v>
      </c>
      <c r="W40" s="175">
        <f>MAX(W64*W$14,'Output - Jobs vs Yr (BAU)'!W15)</f>
        <v>2.1795156885038582E-4</v>
      </c>
      <c r="X40" s="185">
        <f>Inputs!F18*'Output -Jobs vs Yr'!$X$14</f>
        <v>2.2524947609065479E-4</v>
      </c>
      <c r="Y40" s="175">
        <f>MAX(Y64*Y$14,'Output - Jobs vs Yr (BAU)'!Y15)</f>
        <v>2.3099616173311805E-4</v>
      </c>
      <c r="Z40" s="175">
        <f>MAX(Z64*Z$14,'Output - Jobs vs Yr (BAU)'!Z15)</f>
        <v>2.3203942898704916E-4</v>
      </c>
      <c r="AA40" s="175">
        <f>MAX(AA64*AA$14,'Output - Jobs vs Yr (BAU)'!AA15)</f>
        <v>2.3787951084005142E-4</v>
      </c>
      <c r="AB40" s="175">
        <f>MAX(AB64*AB$14,'Output - Jobs vs Yr (BAU)'!AB15)</f>
        <v>2.4260361049007717E-4</v>
      </c>
      <c r="AC40" s="175">
        <f>MAX(AC64*AC$14,'Output - Jobs vs Yr (BAU)'!AC15)</f>
        <v>2.4885465276215603E-4</v>
      </c>
      <c r="AD40" s="175">
        <f>MAX(AD64*AD$14,'Output - Jobs vs Yr (BAU)'!AD15)</f>
        <v>2.5505214751083192E-4</v>
      </c>
      <c r="AE40" s="175">
        <f>MAX(AE64*AE$14,'Output - Jobs vs Yr (BAU)'!AE15)</f>
        <v>2.5983729988637741E-4</v>
      </c>
      <c r="AF40" s="175">
        <f>MAX(AF64*AF$14,'Output - Jobs vs Yr (BAU)'!AF15)</f>
        <v>2.6953674273532861E-4</v>
      </c>
      <c r="AG40" s="175">
        <f>MAX(AG64*AG$14,'Output - Jobs vs Yr (BAU)'!AG15)</f>
        <v>2.760315190101204E-4</v>
      </c>
      <c r="AH40" s="185">
        <f>Inputs!I18*'Output -Jobs vs Yr'!$AH$14</f>
        <v>2.8448640590486953E-4</v>
      </c>
      <c r="AI40" s="128"/>
    </row>
    <row r="41" spans="1:36" s="253" customFormat="1">
      <c r="A41" s="10" t="s">
        <v>119</v>
      </c>
      <c r="B41" s="37">
        <v>1</v>
      </c>
      <c r="C41" s="335">
        <v>0</v>
      </c>
      <c r="D41" s="335">
        <v>0</v>
      </c>
      <c r="E41" s="335">
        <v>0</v>
      </c>
      <c r="F41" s="335">
        <v>0</v>
      </c>
      <c r="G41" s="335">
        <v>0</v>
      </c>
      <c r="H41" s="287">
        <v>1</v>
      </c>
      <c r="I41" s="287">
        <v>2</v>
      </c>
      <c r="J41" s="287">
        <v>3</v>
      </c>
      <c r="K41" s="287">
        <v>4</v>
      </c>
      <c r="L41" s="287">
        <v>5</v>
      </c>
      <c r="M41" s="287">
        <v>6</v>
      </c>
      <c r="N41" s="288">
        <v>7</v>
      </c>
      <c r="O41" s="287">
        <v>8</v>
      </c>
      <c r="P41" s="287">
        <v>9</v>
      </c>
      <c r="Q41" s="287">
        <v>10</v>
      </c>
      <c r="R41" s="287">
        <v>11</v>
      </c>
      <c r="S41" s="287">
        <v>12</v>
      </c>
      <c r="T41" s="287">
        <v>13</v>
      </c>
      <c r="U41" s="287">
        <v>14</v>
      </c>
      <c r="V41" s="287">
        <v>15</v>
      </c>
      <c r="W41" s="287">
        <v>16</v>
      </c>
      <c r="X41" s="288">
        <v>17</v>
      </c>
      <c r="Y41" s="253">
        <v>18</v>
      </c>
      <c r="Z41" s="253">
        <v>19</v>
      </c>
      <c r="AA41" s="253">
        <v>20</v>
      </c>
      <c r="AB41" s="253">
        <v>21</v>
      </c>
      <c r="AC41" s="253">
        <v>22</v>
      </c>
      <c r="AD41" s="198">
        <v>23</v>
      </c>
      <c r="AE41" s="253">
        <v>24</v>
      </c>
      <c r="AF41" s="253">
        <v>25</v>
      </c>
      <c r="AG41" s="253">
        <v>26</v>
      </c>
      <c r="AH41" s="288">
        <v>27</v>
      </c>
      <c r="AI41" s="253">
        <f>EXP(0.01)</f>
        <v>1.0100501670841679</v>
      </c>
      <c r="AJ41" s="488">
        <v>0.01</v>
      </c>
    </row>
    <row r="42" spans="1:36" s="20" customFormat="1">
      <c r="A42" s="9" t="s">
        <v>53</v>
      </c>
      <c r="B42" s="35">
        <v>1</v>
      </c>
      <c r="C42" s="335">
        <f>EIA_RE_aeo2014!E78*1000</f>
        <v>300</v>
      </c>
      <c r="D42" s="335">
        <f>MAX(D66*D$14,'Output - Jobs vs Yr (BAU)'!D16)</f>
        <v>424.78586294972496</v>
      </c>
      <c r="E42" s="335">
        <f>MAX(E66*E$14,'Output - Jobs vs Yr (BAU)'!E16)</f>
        <v>458.63799999999998</v>
      </c>
      <c r="F42" s="335">
        <f>MAX(F66*F$14,'Output - Jobs vs Yr (BAU)'!F16)</f>
        <v>1106.6379999999999</v>
      </c>
      <c r="G42" s="335">
        <f>MAX(G66*G$14,'Output - Jobs vs Yr (BAU)'!G16)</f>
        <v>2292.442</v>
      </c>
      <c r="H42" s="287">
        <f>'Output - Jobs vs Yr (BAU)'!H16</f>
        <v>2533.7309999999998</v>
      </c>
      <c r="I42" s="118">
        <f>MAX(I66*I$14,'Output - Jobs vs Yr (BAU)'!I16)</f>
        <v>5453.9939999999997</v>
      </c>
      <c r="J42" s="118">
        <f>MAX(J66*J$14,'Output - Jobs vs Yr (BAU)'!J16)</f>
        <v>7400.6850000000004</v>
      </c>
      <c r="K42" s="118">
        <f>MAX(K66*K$14,'Output - Jobs vs Yr (BAU)'!K16)</f>
        <v>7400.6970000000001</v>
      </c>
      <c r="L42" s="118">
        <f>MAX(L66*L$14,'Output - Jobs vs Yr (BAU)'!L16)</f>
        <v>7399.8959999999997</v>
      </c>
      <c r="M42" s="118">
        <f>MAX(M66*M$14,'Output - Jobs vs Yr (BAU)'!M16)</f>
        <v>8950.2428687946722</v>
      </c>
      <c r="N42" s="185">
        <f>MAX(Inputs!$E23*N$21,'Output - Jobs vs Yr (BAU)'!N16)</f>
        <v>11562.768225424965</v>
      </c>
      <c r="O42" s="175">
        <f>MAX(O66*O$14,'Output - Jobs vs Yr (BAU)'!O16)</f>
        <v>11771.011246271511</v>
      </c>
      <c r="P42" s="175">
        <f>MAX(P66*P$14,'Output - Jobs vs Yr (BAU)'!P16)</f>
        <v>12311.884143202287</v>
      </c>
      <c r="Q42" s="175">
        <f>MAX(Q66*Q$14,'Output - Jobs vs Yr (BAU)'!Q16)</f>
        <v>12691.395033093344</v>
      </c>
      <c r="R42" s="175">
        <f>MAX(R66*R$14,'Output - Jobs vs Yr (BAU)'!R16)</f>
        <v>13183.801158947201</v>
      </c>
      <c r="S42" s="175">
        <f>MAX(S66*S$14,'Output - Jobs vs Yr (BAU)'!S16)</f>
        <v>13696.364549899426</v>
      </c>
      <c r="T42" s="175">
        <f>MAX(T66*T$14,'Output - Jobs vs Yr (BAU)'!T16)</f>
        <v>14336.97401177587</v>
      </c>
      <c r="U42" s="175">
        <f>MAX(U66*U$14,'Output - Jobs vs Yr (BAU)'!U16)</f>
        <v>14891.660807605263</v>
      </c>
      <c r="V42" s="175">
        <f>MAX(V66*V$14,'Output - Jobs vs Yr (BAU)'!V16)</f>
        <v>15588.435333988144</v>
      </c>
      <c r="W42" s="175">
        <f>MAX(W66*W$14,'Output - Jobs vs Yr (BAU)'!W16)</f>
        <v>16128.71904760924</v>
      </c>
      <c r="X42" s="185">
        <f>Inputs!F23*'Output -Jobs vs Yr'!$X$14</f>
        <v>16668.774327480216</v>
      </c>
      <c r="Y42" s="175">
        <f>MAX(Y66*Y$14,'Output - Jobs vs Yr (BAU)'!Y16)</f>
        <v>17094.037052915541</v>
      </c>
      <c r="Z42" s="175">
        <f>MAX(Z66*Z$14,'Output - Jobs vs Yr (BAU)'!Z16)</f>
        <v>17171.240279847927</v>
      </c>
      <c r="AA42" s="175">
        <f>MAX(AA66*AA$14,'Output - Jobs vs Yr (BAU)'!AA16)</f>
        <v>17603.414454683869</v>
      </c>
      <c r="AB42" s="175">
        <f>MAX(AB66*AB$14,'Output - Jobs vs Yr (BAU)'!AB16)</f>
        <v>17953.00439528429</v>
      </c>
      <c r="AC42" s="175">
        <f>MAX(AC66*AC$14,'Output - Jobs vs Yr (BAU)'!AC16)</f>
        <v>18415.590212366882</v>
      </c>
      <c r="AD42" s="175">
        <f>MAX(AD66*AD$14,'Output - Jobs vs Yr (BAU)'!AD16)</f>
        <v>18874.213438286595</v>
      </c>
      <c r="AE42" s="175">
        <f>MAX(AE66*AE$14,'Output - Jobs vs Yr (BAU)'!AE16)</f>
        <v>19228.321365438765</v>
      </c>
      <c r="AF42" s="175">
        <f>MAX(AF66*AF$14,'Output - Jobs vs Yr (BAU)'!AF16)</f>
        <v>19946.093618486713</v>
      </c>
      <c r="AG42" s="175">
        <f>MAX(AG66*AG$14,'Output - Jobs vs Yr (BAU)'!AG16)</f>
        <v>20426.716090560327</v>
      </c>
      <c r="AH42" s="185">
        <f>Inputs!I23*'Output -Jobs vs Yr'!$AH$14</f>
        <v>21052.389473064548</v>
      </c>
      <c r="AI42" s="128"/>
    </row>
    <row r="43" spans="1:36">
      <c r="A43" s="10" t="s">
        <v>329</v>
      </c>
      <c r="B43" s="37"/>
      <c r="C43" s="335">
        <f>SUM(C31:C42)</f>
        <v>25841.1</v>
      </c>
      <c r="D43" s="335">
        <f t="shared" ref="D43:AG43" si="28">SUM(D31:D42)</f>
        <v>28020.978693137742</v>
      </c>
      <c r="E43" s="335">
        <f t="shared" si="28"/>
        <v>21244.539627025293</v>
      </c>
      <c r="F43" s="335">
        <f t="shared" si="28"/>
        <v>21375.573658231155</v>
      </c>
      <c r="G43" s="335">
        <f t="shared" si="28"/>
        <v>23552.507926692288</v>
      </c>
      <c r="H43" s="287">
        <f t="shared" si="28"/>
        <v>18555.313999999998</v>
      </c>
      <c r="I43" s="83">
        <f t="shared" si="28"/>
        <v>22428.4719516488</v>
      </c>
      <c r="J43" s="83">
        <f t="shared" si="28"/>
        <v>24423.33743770139</v>
      </c>
      <c r="K43" s="83">
        <f t="shared" si="28"/>
        <v>24275.211433060533</v>
      </c>
      <c r="L43" s="83">
        <f t="shared" si="28"/>
        <v>24678.141412034329</v>
      </c>
      <c r="M43" s="83">
        <f t="shared" si="28"/>
        <v>26621.731871967844</v>
      </c>
      <c r="N43" s="185">
        <f t="shared" si="28"/>
        <v>29687.595699999998</v>
      </c>
      <c r="O43" s="83">
        <f t="shared" si="28"/>
        <v>29681.507789128929</v>
      </c>
      <c r="P43" s="83">
        <f t="shared" si="28"/>
        <v>30498.829066319107</v>
      </c>
      <c r="Q43" s="83">
        <f t="shared" si="28"/>
        <v>30894.928855803468</v>
      </c>
      <c r="R43" s="83">
        <f t="shared" si="28"/>
        <v>31547.709419495837</v>
      </c>
      <c r="S43" s="83">
        <f t="shared" si="28"/>
        <v>32226.504482052867</v>
      </c>
      <c r="T43" s="83">
        <f t="shared" si="28"/>
        <v>33179.994207362077</v>
      </c>
      <c r="U43" s="83">
        <f t="shared" si="28"/>
        <v>33908.272024434889</v>
      </c>
      <c r="V43" s="83">
        <f t="shared" si="28"/>
        <v>34933.236291218927</v>
      </c>
      <c r="W43" s="83">
        <f t="shared" si="28"/>
        <v>35583.07526391837</v>
      </c>
      <c r="X43" s="185">
        <f t="shared" si="28"/>
        <v>36214.7961</v>
      </c>
      <c r="Y43" s="175">
        <f t="shared" si="28"/>
        <v>36786.218506730336</v>
      </c>
      <c r="Z43" s="175">
        <f t="shared" si="28"/>
        <v>36606.775650578682</v>
      </c>
      <c r="AA43" s="175">
        <f t="shared" si="28"/>
        <v>37181.592199827515</v>
      </c>
      <c r="AB43" s="175">
        <f t="shared" si="28"/>
        <v>37574.809004920913</v>
      </c>
      <c r="AC43" s="175">
        <f t="shared" si="28"/>
        <v>38196.915049336843</v>
      </c>
      <c r="AD43" s="175">
        <f t="shared" si="28"/>
        <v>38801.652599757064</v>
      </c>
      <c r="AE43" s="175">
        <f t="shared" si="28"/>
        <v>39184.855857114948</v>
      </c>
      <c r="AF43" s="175">
        <f t="shared" si="28"/>
        <v>40297.707209497996</v>
      </c>
      <c r="AG43" s="175">
        <f t="shared" si="28"/>
        <v>40918.963582400589</v>
      </c>
      <c r="AH43" s="185">
        <f>SUM(AH31:AH42)</f>
        <v>41819.951649999995</v>
      </c>
      <c r="AI43" s="128"/>
    </row>
    <row r="44" spans="1:36">
      <c r="A44" s="10" t="s">
        <v>123</v>
      </c>
      <c r="B44" s="37"/>
      <c r="C44" s="336">
        <f>SUMPRODUCT($B34:$B42,C34:C42)</f>
        <v>2618.1001000000001</v>
      </c>
      <c r="D44" s="336">
        <f>SUMPRODUCT($B34:$B42,D34:D42)</f>
        <v>3201.8316498550507</v>
      </c>
      <c r="E44" s="336">
        <f t="shared" ref="E44:AG44" si="29">SUMPRODUCT($B34:$B42*E34:E42)</f>
        <v>2777.5432497482147</v>
      </c>
      <c r="F44" s="336">
        <f t="shared" si="29"/>
        <v>3758.4283814063529</v>
      </c>
      <c r="G44" s="336">
        <f t="shared" si="29"/>
        <v>5216.2739723490649</v>
      </c>
      <c r="H44" s="408">
        <f t="shared" si="29"/>
        <v>4474.1680999999999</v>
      </c>
      <c r="I44" s="14">
        <f>SUMPRODUCT($B34:$B42*I34:I42)</f>
        <v>7646.7810447942438</v>
      </c>
      <c r="J44" s="14">
        <f t="shared" si="29"/>
        <v>9744.992253551698</v>
      </c>
      <c r="K44" s="14">
        <f t="shared" si="29"/>
        <v>9876.3584700118772</v>
      </c>
      <c r="L44" s="14">
        <f t="shared" si="29"/>
        <v>10098.567736272807</v>
      </c>
      <c r="M44" s="14">
        <f t="shared" si="29"/>
        <v>11887.005275449093</v>
      </c>
      <c r="N44" s="183">
        <f t="shared" si="29"/>
        <v>14765.477799999997</v>
      </c>
      <c r="O44" s="14">
        <f t="shared" si="29"/>
        <v>15032.274877330565</v>
      </c>
      <c r="P44" s="14">
        <f t="shared" si="29"/>
        <v>15723.633836911038</v>
      </c>
      <c r="Q44" s="14">
        <f t="shared" si="29"/>
        <v>16209.033673880835</v>
      </c>
      <c r="R44" s="14">
        <f t="shared" si="29"/>
        <v>16838.53065101635</v>
      </c>
      <c r="S44" s="14">
        <f t="shared" si="29"/>
        <v>17493.755943695611</v>
      </c>
      <c r="T44" s="14">
        <f t="shared" si="29"/>
        <v>18312.416588383141</v>
      </c>
      <c r="U44" s="14">
        <f t="shared" si="29"/>
        <v>19021.407322314881</v>
      </c>
      <c r="V44" s="14">
        <f t="shared" si="29"/>
        <v>19911.755891683901</v>
      </c>
      <c r="W44" s="14">
        <f t="shared" si="29"/>
        <v>20602.362829894882</v>
      </c>
      <c r="X44" s="188">
        <f t="shared" si="29"/>
        <v>21292.678200000002</v>
      </c>
      <c r="Y44" s="14">
        <f t="shared" si="29"/>
        <v>21836.474731950213</v>
      </c>
      <c r="Z44" s="14">
        <f t="shared" si="29"/>
        <v>21936.015331273527</v>
      </c>
      <c r="AA44" s="14">
        <f t="shared" si="29"/>
        <v>22488.633494043988</v>
      </c>
      <c r="AB44" s="14">
        <f t="shared" si="29"/>
        <v>22935.842851255678</v>
      </c>
      <c r="AC44" s="14">
        <f t="shared" si="29"/>
        <v>23527.277804106892</v>
      </c>
      <c r="AD44" s="14">
        <f t="shared" si="29"/>
        <v>24113.654987696656</v>
      </c>
      <c r="AE44" s="14">
        <f t="shared" si="29"/>
        <v>24566.631009337205</v>
      </c>
      <c r="AF44" s="14">
        <f t="shared" si="29"/>
        <v>25483.780641980626</v>
      </c>
      <c r="AG44" s="14">
        <f t="shared" si="29"/>
        <v>26098.237207570382</v>
      </c>
      <c r="AH44" s="188">
        <f>SUMPRODUCT($B34:$B42*AH34:AH42)</f>
        <v>26897.833750000002</v>
      </c>
      <c r="AI44" s="128"/>
    </row>
    <row r="45" spans="1:36">
      <c r="A45" s="10" t="s">
        <v>116</v>
      </c>
      <c r="B45" s="37"/>
      <c r="C45" s="337">
        <f t="shared" ref="C45:AG45" si="30">C44/C14</f>
        <v>2.5703683595629169E-2</v>
      </c>
      <c r="D45" s="337">
        <f t="shared" si="30"/>
        <v>2.8517761299087518E-2</v>
      </c>
      <c r="E45" s="337">
        <f t="shared" si="30"/>
        <v>3.2204497003598967E-2</v>
      </c>
      <c r="F45" s="337">
        <f t="shared" si="30"/>
        <v>4.4199205403523185E-2</v>
      </c>
      <c r="G45" s="337">
        <f t="shared" si="30"/>
        <v>5.6963705163671746E-2</v>
      </c>
      <c r="H45" s="285">
        <f t="shared" si="30"/>
        <v>4.6187409262932286E-2</v>
      </c>
      <c r="I45" s="23">
        <f t="shared" si="30"/>
        <v>7.5740903786847003E-2</v>
      </c>
      <c r="J45" s="23">
        <f t="shared" si="30"/>
        <v>9.7900438816855603E-2</v>
      </c>
      <c r="K45" s="23">
        <f t="shared" si="30"/>
        <v>0.10186651410085115</v>
      </c>
      <c r="L45" s="23">
        <f t="shared" si="30"/>
        <v>0.10359480896980494</v>
      </c>
      <c r="M45" s="23">
        <f t="shared" si="30"/>
        <v>0.12150454715206985</v>
      </c>
      <c r="N45" s="179">
        <f t="shared" si="30"/>
        <v>0.1500711455486283</v>
      </c>
      <c r="O45" s="23">
        <f t="shared" si="30"/>
        <v>0.15446010319610731</v>
      </c>
      <c r="P45" s="23">
        <f t="shared" si="30"/>
        <v>0.15897457109874114</v>
      </c>
      <c r="Q45" s="208">
        <f t="shared" si="30"/>
        <v>0.16362169839354526</v>
      </c>
      <c r="R45" s="208">
        <f t="shared" si="30"/>
        <v>0.16840328356068357</v>
      </c>
      <c r="S45" s="208">
        <f t="shared" si="30"/>
        <v>0.17332397390330717</v>
      </c>
      <c r="T45" s="208">
        <f t="shared" si="30"/>
        <v>0.17838688279533543</v>
      </c>
      <c r="U45" s="208">
        <f t="shared" si="30"/>
        <v>0.18359808147361173</v>
      </c>
      <c r="V45" s="208">
        <f t="shared" si="30"/>
        <v>0.18895985021506448</v>
      </c>
      <c r="W45" s="208">
        <f t="shared" si="30"/>
        <v>0.19447936618377235</v>
      </c>
      <c r="X45" s="186">
        <f t="shared" si="30"/>
        <v>0.20015980689160828</v>
      </c>
      <c r="Y45" s="173">
        <f t="shared" si="30"/>
        <v>0.20468175750272213</v>
      </c>
      <c r="Z45" s="173">
        <f t="shared" si="30"/>
        <v>0.20930920483409962</v>
      </c>
      <c r="AA45" s="173">
        <f t="shared" si="30"/>
        <v>0.21403727151209798</v>
      </c>
      <c r="AB45" s="173">
        <f t="shared" si="30"/>
        <v>0.21887281418656421</v>
      </c>
      <c r="AC45" s="173">
        <f t="shared" si="30"/>
        <v>0.22381608477017489</v>
      </c>
      <c r="AD45" s="173">
        <f t="shared" si="30"/>
        <v>0.22887082671554596</v>
      </c>
      <c r="AE45" s="173">
        <f t="shared" si="30"/>
        <v>0.23404075454433293</v>
      </c>
      <c r="AF45" s="173">
        <f t="shared" si="30"/>
        <v>0.23932290457846409</v>
      </c>
      <c r="AG45" s="173">
        <f t="shared" si="30"/>
        <v>0.24472699794897779</v>
      </c>
      <c r="AH45" s="186">
        <f>AH44/AH14</f>
        <v>0.25025120173280818</v>
      </c>
      <c r="AI45" s="128"/>
    </row>
    <row r="46" spans="1:36" s="253" customFormat="1">
      <c r="A46" s="10" t="s">
        <v>330</v>
      </c>
      <c r="B46" s="37"/>
      <c r="C46" s="335">
        <f>SUM(EIA_electricity_aeo2014!E50,EIA_electricity_aeo2014!E55)*1000</f>
        <v>743</v>
      </c>
      <c r="D46" s="335">
        <f>SUM(EIA_electricity_aeo2014!F50,EIA_electricity_aeo2014!F55)*1000</f>
        <v>714</v>
      </c>
      <c r="E46" s="335">
        <f>SUM(EIA_electricity_aeo2014!G50,EIA_electricity_aeo2014!G55)*1000</f>
        <v>-269.73800000000006</v>
      </c>
      <c r="F46" s="335">
        <f>SUM(EIA_electricity_aeo2014!H50,EIA_electricity_aeo2014!H55)*1000</f>
        <v>-83.76700000000001</v>
      </c>
      <c r="G46" s="335">
        <f>SUM(EIA_electricity_aeo2014!I50,EIA_electricity_aeo2014!I55)*1000</f>
        <v>-31.862000000000002</v>
      </c>
      <c r="H46" s="287">
        <f>SUM(EIA_electricity_aeo2014!J50,EIA_electricity_aeo2014!J55)*1000</f>
        <v>-28.808</v>
      </c>
      <c r="I46" s="287">
        <f>SUM(EIA_electricity_aeo2014!K50,EIA_electricity_aeo2014!K55)*1000</f>
        <v>-22.960999999999981</v>
      </c>
      <c r="J46" s="287">
        <f>SUM(EIA_electricity_aeo2014!L50,EIA_electricity_aeo2014!L55)*1000</f>
        <v>-94.573000000000022</v>
      </c>
      <c r="K46" s="287">
        <f>SUM(EIA_electricity_aeo2014!M50,EIA_electricity_aeo2014!M55)*1000</f>
        <v>-108.492</v>
      </c>
      <c r="L46" s="287">
        <f>SUM(EIA_electricity_aeo2014!N50,EIA_electricity_aeo2014!N55)*1000</f>
        <v>-105.52300000000001</v>
      </c>
      <c r="M46" s="287">
        <f>SUM(EIA_electricity_aeo2014!O50,EIA_electricity_aeo2014!O55)*1000</f>
        <v>-104.348</v>
      </c>
      <c r="N46" s="287">
        <f>SUM(EIA_electricity_aeo2014!P50,EIA_electricity_aeo2014!P55)*1000</f>
        <v>-102.96899999999998</v>
      </c>
      <c r="O46" s="287">
        <f>SUM(EIA_electricity_aeo2014!Q50,EIA_electricity_aeo2014!Q55)*1000</f>
        <v>-105.89199999999998</v>
      </c>
      <c r="P46" s="287">
        <f>SUM(EIA_electricity_aeo2014!R50,EIA_electricity_aeo2014!R55)*1000</f>
        <v>-104.607</v>
      </c>
      <c r="Q46" s="287">
        <f>SUM(EIA_electricity_aeo2014!S50,EIA_electricity_aeo2014!S55)*1000</f>
        <v>-103.712</v>
      </c>
      <c r="R46" s="287">
        <f>SUM(EIA_electricity_aeo2014!T50,EIA_electricity_aeo2014!T55)*1000</f>
        <v>-99.408999999999992</v>
      </c>
      <c r="S46" s="287">
        <f>SUM(EIA_electricity_aeo2014!U50,EIA_electricity_aeo2014!U55)*1000</f>
        <v>-93.649999999999977</v>
      </c>
      <c r="T46" s="287">
        <f>SUM(EIA_electricity_aeo2014!V50,EIA_electricity_aeo2014!V55)*1000</f>
        <v>-92.111999999999995</v>
      </c>
      <c r="U46" s="287">
        <f>SUM(EIA_electricity_aeo2014!W50,EIA_electricity_aeo2014!W55)*1000</f>
        <v>-90.761999999999986</v>
      </c>
      <c r="V46" s="287">
        <f>SUM(EIA_electricity_aeo2014!X50,EIA_electricity_aeo2014!X55)*1000</f>
        <v>-90.418000000000021</v>
      </c>
      <c r="W46" s="287">
        <f>SUM(EIA_electricity_aeo2014!Y50,EIA_electricity_aeo2014!Y55)*1000</f>
        <v>-90.521000000000015</v>
      </c>
      <c r="X46" s="287">
        <f>SUM(EIA_electricity_aeo2014!Z50,EIA_electricity_aeo2014!Z55)*1000</f>
        <v>-90.645000000000024</v>
      </c>
      <c r="Y46" s="287">
        <f>SUM(EIA_electricity_aeo2014!AA50,EIA_electricity_aeo2014!AA55)*1000</f>
        <v>-90.756000000000029</v>
      </c>
      <c r="Z46" s="287">
        <f>SUM(EIA_electricity_aeo2014!AB50,EIA_electricity_aeo2014!AB55)*1000</f>
        <v>-90.852000000000018</v>
      </c>
      <c r="AA46" s="287">
        <f>SUM(EIA_electricity_aeo2014!AC50,EIA_electricity_aeo2014!AC55)*1000</f>
        <v>-90.985000000000042</v>
      </c>
      <c r="AB46" s="287">
        <f>SUM(EIA_electricity_aeo2014!AD50,EIA_electricity_aeo2014!AD55)*1000</f>
        <v>-91.105000000000018</v>
      </c>
      <c r="AC46" s="287">
        <f>SUM(EIA_electricity_aeo2014!AE50,EIA_electricity_aeo2014!AE55)*1000</f>
        <v>-91.225000000000023</v>
      </c>
      <c r="AD46" s="287">
        <f>SUM(EIA_electricity_aeo2014!AF50,EIA_electricity_aeo2014!AF55)*1000</f>
        <v>-91.396000000000029</v>
      </c>
      <c r="AE46" s="287">
        <f>SUM(EIA_electricity_aeo2014!AG50,EIA_electricity_aeo2014!AG55)*1000</f>
        <v>-91.423000000000002</v>
      </c>
      <c r="AF46" s="287">
        <f>SUM(EIA_electricity_aeo2014!AH50,EIA_electricity_aeo2014!AH55)*1000</f>
        <v>-91.535999999999973</v>
      </c>
      <c r="AG46" s="287">
        <f>SUM(EIA_electricity_aeo2014!AI50,EIA_electricity_aeo2014!AI55)*1000</f>
        <v>-91.681000000000012</v>
      </c>
      <c r="AH46" s="287">
        <f>SUM(EIA_electricity_aeo2014!AJ50,EIA_electricity_aeo2014!AJ55)*1000</f>
        <v>-91.70999999999998</v>
      </c>
      <c r="AI46" s="297"/>
    </row>
    <row r="47" spans="1:36" s="253" customFormat="1">
      <c r="A47" s="10" t="s">
        <v>141</v>
      </c>
      <c r="B47" s="37"/>
      <c r="C47" s="335">
        <f>(C$14-C$43-C$46)*0.7</f>
        <v>52691.029999999992</v>
      </c>
      <c r="D47" s="335">
        <f>(D$14-D$30-D$43-D$46)*EIA_electricity_aeo2014!F60</f>
        <v>70396.25393774666</v>
      </c>
      <c r="E47" s="335">
        <f>(E$14-E$30-E$43-E$46)*EIA_electricity_aeo2014!G60</f>
        <v>53301.805514010506</v>
      </c>
      <c r="F47" s="335">
        <f>(F$14-F$30-F$43-F$46)*EIA_electricity_aeo2014!H60</f>
        <v>44986.28781135298</v>
      </c>
      <c r="G47" s="335">
        <f>(G$14-G$30-G$43-G$46)*EIA_electricity_aeo2014!I60</f>
        <v>52849.93384183661</v>
      </c>
      <c r="H47" s="287">
        <f>(H$14-H$30-H$43-H$46)*EIA_electricity_aeo2014!J60</f>
        <v>57751.450243026862</v>
      </c>
      <c r="I47" s="287">
        <f>(I$14-I$30-I$43-I$46)*EIA_electricity_aeo2014!K60</f>
        <v>58858.745522368161</v>
      </c>
      <c r="J47" s="287">
        <f>(J$14-J$30-J$43-J$46)*EIA_electricity_aeo2014!L60</f>
        <v>41039.107276204733</v>
      </c>
      <c r="K47" s="287">
        <f>(K$14-K$30-K$43-K$46)*EIA_electricity_aeo2014!M60</f>
        <v>37720.352724748875</v>
      </c>
      <c r="L47" s="287">
        <f>(L$14-L$30-L$43-L$46)*EIA_electricity_aeo2014!N60</f>
        <v>38259.599285056553</v>
      </c>
      <c r="M47" s="287">
        <f>(M$14-M$30-M$43-M$46)*EIA_electricity_aeo2014!O60</f>
        <v>37472.811378661267</v>
      </c>
      <c r="N47" s="288">
        <f>(N$14-N$43-N$46)*EIA_electricity_aeo2014!P60 - N30</f>
        <v>36135.928139328593</v>
      </c>
      <c r="O47" s="287">
        <f>(O$14-O$43-O$46)*EIA_electricity_aeo2014!Q60 - O30</f>
        <v>35292.836869217601</v>
      </c>
      <c r="P47" s="287">
        <f>(P$14-P$43-P$46)*EIA_electricity_aeo2014!R60 - P30</f>
        <v>35137.049516945241</v>
      </c>
      <c r="Q47" s="287">
        <f>(Q$14-Q$43-Q$46)*EIA_electricity_aeo2014!S60 - Q30</f>
        <v>35130.906045141441</v>
      </c>
      <c r="R47" s="287">
        <f>(R$14-R$43-R$46)*EIA_electricity_aeo2014!T60 - R30</f>
        <v>35828.177131195043</v>
      </c>
      <c r="S47" s="287">
        <f>(S$14-S$43-S$46)*EIA_electricity_aeo2014!U60 - S30</f>
        <v>36674.567981611042</v>
      </c>
      <c r="T47" s="287">
        <f>(T$14-T$43-T$46)*EIA_electricity_aeo2014!V60 - T30</f>
        <v>36530.928751812469</v>
      </c>
      <c r="U47" s="287">
        <f>(U$14-U$43-U$46)*EIA_electricity_aeo2014!W60 - U30</f>
        <v>36470.187293950665</v>
      </c>
      <c r="V47" s="287">
        <f>(V$14-V$43-V$46)*EIA_electricity_aeo2014!X60 - V30</f>
        <v>36050.75076299542</v>
      </c>
      <c r="W47" s="287">
        <f>(W$14-W$43-W$46)*EIA_electricity_aeo2014!Y60 - W30</f>
        <v>35722.586065451229</v>
      </c>
      <c r="X47" s="288">
        <f>(X$14-X$43-X$46)*EIA_electricity_aeo2014!Z60 - X30</f>
        <v>35294.603141441105</v>
      </c>
      <c r="Y47" s="287">
        <f>(Y$14-Y$43-Y$46)*EIA_electricity_aeo2014!AA60 - Y30</f>
        <v>34926.528652047193</v>
      </c>
      <c r="Z47" s="287">
        <f>(Z$14-Z$43-Z$46)*EIA_electricity_aeo2014!AB60 - Z30</f>
        <v>34823.30619942287</v>
      </c>
      <c r="AA47" s="287">
        <f>(AA$14-AA$43-AA$46)*EIA_electricity_aeo2014!AC60 - AA30</f>
        <v>34529.354595913697</v>
      </c>
      <c r="AB47" s="287">
        <f>(AB$14-AB$43-AB$46)*EIA_electricity_aeo2014!AD60 - AB30</f>
        <v>34283.982105779243</v>
      </c>
      <c r="AC47" s="287">
        <f>(AC$14-AC$43-AC$46)*EIA_electricity_aeo2014!AE60 - AC30</f>
        <v>33965.241641171233</v>
      </c>
      <c r="AD47" s="287">
        <f>(AD$14-AD$43-AD$46)*EIA_electricity_aeo2014!AF60 - AD30</f>
        <v>33651.889215526309</v>
      </c>
      <c r="AE47" s="287">
        <f>(AE$14-AE$43-AE$46)*EIA_electricity_aeo2014!AG60 - AE30</f>
        <v>33419.831945026941</v>
      </c>
      <c r="AF47" s="287">
        <f>(AF$14-AF$43-AF$46)*EIA_electricity_aeo2014!AH60 - AF30</f>
        <v>32980.131267552439</v>
      </c>
      <c r="AG47" s="287">
        <f>(AG$14-AG$43-AG$46)*EIA_electricity_aeo2014!AI60 - AG30</f>
        <v>32671.279208025673</v>
      </c>
      <c r="AH47" s="288">
        <f>(AH$14-AH$43-AH$46)*EIA_electricity_aeo2014!AJ60 - AH30</f>
        <v>32300.723206378098</v>
      </c>
      <c r="AI47" s="297"/>
      <c r="AJ47" s="404"/>
    </row>
    <row r="48" spans="1:36" s="253" customFormat="1">
      <c r="A48" s="10" t="s">
        <v>221</v>
      </c>
      <c r="B48" s="37"/>
      <c r="C48" s="335">
        <f>(C$14-C$43-C$46)* 0.3</f>
        <v>22581.87</v>
      </c>
      <c r="D48" s="335">
        <f t="shared" ref="D48:AH48" si="31">(D$14-SUM(D30:D42,D46:D47))</f>
        <v>13143.76736911558</v>
      </c>
      <c r="E48" s="335">
        <f t="shared" si="31"/>
        <v>11970.454858964207</v>
      </c>
      <c r="F48" s="335">
        <f>(F$14-SUM(F30:F42,F46:F47))</f>
        <v>18755.750530415869</v>
      </c>
      <c r="G48" s="335">
        <f t="shared" si="31"/>
        <v>15201.307231471088</v>
      </c>
      <c r="H48" s="287">
        <f t="shared" si="31"/>
        <v>20591.908756973135</v>
      </c>
      <c r="I48" s="287">
        <f t="shared" si="31"/>
        <v>19695.471525983041</v>
      </c>
      <c r="J48" s="287">
        <f t="shared" si="31"/>
        <v>34171.950286093881</v>
      </c>
      <c r="K48" s="287">
        <f t="shared" si="31"/>
        <v>35066.853842190569</v>
      </c>
      <c r="L48" s="287">
        <f t="shared" si="31"/>
        <v>34649.18930290913</v>
      </c>
      <c r="M48" s="287">
        <f t="shared" si="31"/>
        <v>33841.577749370888</v>
      </c>
      <c r="N48" s="288">
        <f t="shared" si="31"/>
        <v>32669.297160671413</v>
      </c>
      <c r="O48" s="287">
        <f t="shared" si="31"/>
        <v>32452.956341653451</v>
      </c>
      <c r="P48" s="287">
        <f t="shared" si="31"/>
        <v>33375.325416735664</v>
      </c>
      <c r="Q48" s="287">
        <f t="shared" si="31"/>
        <v>33141.961099055101</v>
      </c>
      <c r="R48" s="287">
        <f t="shared" si="31"/>
        <v>32712.847449309134</v>
      </c>
      <c r="S48" s="287">
        <f t="shared" si="31"/>
        <v>32123.542536336099</v>
      </c>
      <c r="T48" s="287">
        <f t="shared" si="31"/>
        <v>33036.812040825462</v>
      </c>
      <c r="U48" s="287">
        <f t="shared" si="31"/>
        <v>33315.821681614441</v>
      </c>
      <c r="V48" s="287">
        <f t="shared" si="31"/>
        <v>34482.021945785673</v>
      </c>
      <c r="W48" s="287">
        <f t="shared" si="31"/>
        <v>34720.842670630402</v>
      </c>
      <c r="X48" s="288">
        <f t="shared" si="31"/>
        <v>34959.636758558889</v>
      </c>
      <c r="Y48" s="287">
        <f t="shared" si="31"/>
        <v>35063.01584122247</v>
      </c>
      <c r="Z48" s="287">
        <f t="shared" si="31"/>
        <v>33462.732149998468</v>
      </c>
      <c r="AA48" s="287">
        <f t="shared" si="31"/>
        <v>33448.811204258789</v>
      </c>
      <c r="AB48" s="287">
        <f t="shared" si="31"/>
        <v>33023.047889299851</v>
      </c>
      <c r="AC48" s="287">
        <f t="shared" si="31"/>
        <v>33047.866309491932</v>
      </c>
      <c r="AD48" s="287">
        <f t="shared" si="31"/>
        <v>32997.088184716617</v>
      </c>
      <c r="AE48" s="287">
        <f t="shared" si="31"/>
        <v>32454.056197858125</v>
      </c>
      <c r="AF48" s="287">
        <f t="shared" si="31"/>
        <v>33296.529522949582</v>
      </c>
      <c r="AG48" s="287">
        <f t="shared" si="31"/>
        <v>33143.686209573745</v>
      </c>
      <c r="AH48" s="288">
        <f t="shared" si="31"/>
        <v>33454.370143621898</v>
      </c>
      <c r="AI48" s="297"/>
    </row>
    <row r="49" spans="1:35" s="253" customFormat="1">
      <c r="A49" s="10" t="s">
        <v>331</v>
      </c>
      <c r="B49" s="37"/>
      <c r="C49" s="335">
        <f>SUM(C43,C46:C48)</f>
        <v>101856.99999999999</v>
      </c>
      <c r="D49" s="335">
        <f t="shared" ref="D49:M49" si="32">SUM(D43,D46:D48)+D30</f>
        <v>112274.99999999999</v>
      </c>
      <c r="E49" s="335">
        <f t="shared" si="32"/>
        <v>86247.062000000005</v>
      </c>
      <c r="F49" s="335">
        <f t="shared" si="32"/>
        <v>85033.845000000001</v>
      </c>
      <c r="G49" s="335">
        <f t="shared" si="32"/>
        <v>91571.886999999988</v>
      </c>
      <c r="H49" s="287">
        <f>SUM(H43,H46:H48)+H30</f>
        <v>96869.864999999991</v>
      </c>
      <c r="I49" s="287">
        <f t="shared" si="32"/>
        <v>100959.728</v>
      </c>
      <c r="J49" s="287">
        <f t="shared" si="32"/>
        <v>99539.822</v>
      </c>
      <c r="K49" s="287">
        <f t="shared" si="32"/>
        <v>96953.925999999978</v>
      </c>
      <c r="L49" s="287">
        <f t="shared" si="32"/>
        <v>97481.407000000007</v>
      </c>
      <c r="M49" s="287">
        <f t="shared" si="32"/>
        <v>97831.773000000001</v>
      </c>
      <c r="N49" s="288">
        <f t="shared" ref="N49:AH49" si="33">SUM(N43,N46:N48)+N30</f>
        <v>98389.851999999999</v>
      </c>
      <c r="O49" s="287">
        <f t="shared" si="33"/>
        <v>97321.408999999985</v>
      </c>
      <c r="P49" s="287">
        <f t="shared" si="33"/>
        <v>98906.597000000009</v>
      </c>
      <c r="Q49" s="287">
        <f t="shared" si="33"/>
        <v>99064.084000000003</v>
      </c>
      <c r="R49" s="287">
        <f t="shared" si="33"/>
        <v>99989.325000000012</v>
      </c>
      <c r="S49" s="287">
        <f t="shared" si="33"/>
        <v>100930.96500000001</v>
      </c>
      <c r="T49" s="287">
        <f t="shared" si="33"/>
        <v>102655.62300000001</v>
      </c>
      <c r="U49" s="287">
        <f t="shared" si="33"/>
        <v>103603.519</v>
      </c>
      <c r="V49" s="287">
        <f t="shared" si="33"/>
        <v>105375.59100000001</v>
      </c>
      <c r="W49" s="287">
        <f t="shared" si="33"/>
        <v>105935.98300000001</v>
      </c>
      <c r="X49" s="288">
        <f t="shared" si="33"/>
        <v>106378.391</v>
      </c>
      <c r="Y49" s="287">
        <f t="shared" si="33"/>
        <v>106685.007</v>
      </c>
      <c r="Z49" s="287">
        <f t="shared" si="33"/>
        <v>104801.96200000001</v>
      </c>
      <c r="AA49" s="287">
        <f t="shared" si="33"/>
        <v>105068.773</v>
      </c>
      <c r="AB49" s="287">
        <f t="shared" si="33"/>
        <v>104790.73400000001</v>
      </c>
      <c r="AC49" s="287">
        <f t="shared" si="33"/>
        <v>105118.79800000001</v>
      </c>
      <c r="AD49" s="287">
        <f t="shared" si="33"/>
        <v>105359.234</v>
      </c>
      <c r="AE49" s="287">
        <f t="shared" si="33"/>
        <v>104967.32100000001</v>
      </c>
      <c r="AF49" s="287">
        <f t="shared" si="33"/>
        <v>106482.83200000001</v>
      </c>
      <c r="AG49" s="287">
        <f t="shared" si="33"/>
        <v>106642.24800000001</v>
      </c>
      <c r="AH49" s="288">
        <f t="shared" si="33"/>
        <v>107483.33499999999</v>
      </c>
      <c r="AI49" s="297"/>
    </row>
    <row r="50" spans="1:35">
      <c r="A50" s="10"/>
      <c r="B50" s="37"/>
      <c r="C50" s="337" t="b">
        <f t="shared" ref="C50:AH50" si="34">(C49=C14)</f>
        <v>1</v>
      </c>
      <c r="D50" s="337" t="b">
        <f t="shared" si="34"/>
        <v>1</v>
      </c>
      <c r="E50" s="337" t="b">
        <f t="shared" si="34"/>
        <v>1</v>
      </c>
      <c r="F50" s="337" t="b">
        <f t="shared" si="34"/>
        <v>1</v>
      </c>
      <c r="G50" s="337" t="b">
        <f t="shared" si="34"/>
        <v>1</v>
      </c>
      <c r="H50" s="285" t="b">
        <f t="shared" si="34"/>
        <v>1</v>
      </c>
      <c r="I50" s="91" t="b">
        <f t="shared" si="34"/>
        <v>1</v>
      </c>
      <c r="J50" s="91" t="b">
        <f t="shared" si="34"/>
        <v>1</v>
      </c>
      <c r="K50" s="91" t="b">
        <f t="shared" si="34"/>
        <v>1</v>
      </c>
      <c r="L50" s="91" t="b">
        <f t="shared" si="34"/>
        <v>1</v>
      </c>
      <c r="M50" s="91" t="b">
        <f t="shared" si="34"/>
        <v>1</v>
      </c>
      <c r="N50" s="186" t="b">
        <f t="shared" si="34"/>
        <v>1</v>
      </c>
      <c r="O50" s="91" t="b">
        <f t="shared" si="34"/>
        <v>1</v>
      </c>
      <c r="P50" s="91" t="b">
        <f t="shared" si="34"/>
        <v>1</v>
      </c>
      <c r="Q50" s="91" t="b">
        <f t="shared" si="34"/>
        <v>1</v>
      </c>
      <c r="R50" s="91" t="b">
        <f t="shared" si="34"/>
        <v>1</v>
      </c>
      <c r="S50" s="91" t="b">
        <f t="shared" si="34"/>
        <v>1</v>
      </c>
      <c r="T50" s="91" t="b">
        <f t="shared" si="34"/>
        <v>1</v>
      </c>
      <c r="U50" s="91" t="b">
        <f t="shared" si="34"/>
        <v>1</v>
      </c>
      <c r="V50" s="91" t="b">
        <f t="shared" si="34"/>
        <v>1</v>
      </c>
      <c r="W50" s="91" t="b">
        <f t="shared" si="34"/>
        <v>1</v>
      </c>
      <c r="X50" s="186" t="b">
        <f t="shared" si="34"/>
        <v>1</v>
      </c>
      <c r="Y50" s="173" t="b">
        <f t="shared" si="34"/>
        <v>1</v>
      </c>
      <c r="Z50" s="173" t="b">
        <f t="shared" si="34"/>
        <v>1</v>
      </c>
      <c r="AA50" s="173" t="b">
        <f t="shared" si="34"/>
        <v>1</v>
      </c>
      <c r="AB50" s="173" t="b">
        <f t="shared" si="34"/>
        <v>1</v>
      </c>
      <c r="AC50" s="173" t="b">
        <f t="shared" si="34"/>
        <v>1</v>
      </c>
      <c r="AD50" s="173" t="b">
        <f t="shared" si="34"/>
        <v>1</v>
      </c>
      <c r="AE50" s="173" t="b">
        <f t="shared" si="34"/>
        <v>1</v>
      </c>
      <c r="AF50" s="173" t="b">
        <f t="shared" si="34"/>
        <v>1</v>
      </c>
      <c r="AG50" s="173" t="b">
        <f t="shared" si="34"/>
        <v>1</v>
      </c>
      <c r="AH50" s="186" t="b">
        <f t="shared" si="34"/>
        <v>1</v>
      </c>
      <c r="AI50" s="128"/>
    </row>
    <row r="51" spans="1:35">
      <c r="A51" s="10" t="s">
        <v>539</v>
      </c>
      <c r="B51" s="37"/>
      <c r="C51" s="337"/>
      <c r="D51" s="337">
        <f>D44/C44-1</f>
        <v>0.22295998149767104</v>
      </c>
      <c r="E51" s="337">
        <f t="shared" ref="E51:X51" si="35">E44/D44-1</f>
        <v>-0.13251427511063674</v>
      </c>
      <c r="F51" s="337">
        <f t="shared" si="35"/>
        <v>0.35314846375373476</v>
      </c>
      <c r="G51" s="337">
        <f>G44/F44-1</f>
        <v>0.38788702164844935</v>
      </c>
      <c r="H51" s="285"/>
      <c r="I51" s="165">
        <f t="shared" ref="I51:N51" si="36">I44/H44-1</f>
        <v>0.70909560702340269</v>
      </c>
      <c r="J51" s="173">
        <f t="shared" si="36"/>
        <v>0.27439143300511648</v>
      </c>
      <c r="K51" s="173">
        <f t="shared" si="36"/>
        <v>1.348038182506528E-2</v>
      </c>
      <c r="L51" s="173">
        <f t="shared" si="36"/>
        <v>2.2499109052758204E-2</v>
      </c>
      <c r="M51" s="173">
        <f t="shared" si="36"/>
        <v>0.17709813766485305</v>
      </c>
      <c r="N51" s="173">
        <f t="shared" si="36"/>
        <v>0.24215287684745768</v>
      </c>
      <c r="O51" s="173">
        <f t="shared" ref="O51:R51" si="37">O44/N44-1</f>
        <v>1.8068976903041323E-2</v>
      </c>
      <c r="P51" s="173">
        <f t="shared" si="37"/>
        <v>4.5991639004890672E-2</v>
      </c>
      <c r="Q51" s="173">
        <f t="shared" si="37"/>
        <v>3.0870716146437216E-2</v>
      </c>
      <c r="R51" s="173">
        <f t="shared" si="37"/>
        <v>3.8836181712046391E-2</v>
      </c>
      <c r="S51" s="165">
        <f t="shared" si="35"/>
        <v>3.8912260592031567E-2</v>
      </c>
      <c r="T51" s="165">
        <f t="shared" si="35"/>
        <v>4.6797305697096947E-2</v>
      </c>
      <c r="U51" s="165">
        <f t="shared" si="35"/>
        <v>3.8716393901911506E-2</v>
      </c>
      <c r="V51" s="165">
        <f t="shared" si="35"/>
        <v>4.6807712714532546E-2</v>
      </c>
      <c r="W51" s="165">
        <f t="shared" si="35"/>
        <v>3.4683377094805179E-2</v>
      </c>
      <c r="X51" s="186">
        <f t="shared" si="35"/>
        <v>3.3506611635022887E-2</v>
      </c>
      <c r="Y51" s="173">
        <f t="shared" ref="Y51:AH51" si="38">Y44/X44-1</f>
        <v>2.5539132599590619E-2</v>
      </c>
      <c r="Z51" s="173">
        <f t="shared" si="38"/>
        <v>4.5584555449176278E-3</v>
      </c>
      <c r="AA51" s="173">
        <f t="shared" si="38"/>
        <v>2.5192276465207053E-2</v>
      </c>
      <c r="AB51" s="173">
        <f t="shared" si="38"/>
        <v>1.9886017410979173E-2</v>
      </c>
      <c r="AC51" s="173">
        <f t="shared" si="38"/>
        <v>2.5786493074913652E-2</v>
      </c>
      <c r="AD51" s="173">
        <f t="shared" si="38"/>
        <v>2.4923290678678045E-2</v>
      </c>
      <c r="AE51" s="173">
        <f t="shared" si="38"/>
        <v>1.8785041996813412E-2</v>
      </c>
      <c r="AF51" s="173">
        <f t="shared" si="38"/>
        <v>3.7333146425117647E-2</v>
      </c>
      <c r="AG51" s="173">
        <f t="shared" si="38"/>
        <v>2.4111672213091184E-2</v>
      </c>
      <c r="AH51" s="186">
        <f t="shared" si="38"/>
        <v>3.0637952137153368E-2</v>
      </c>
      <c r="AI51" s="128"/>
    </row>
    <row r="52" spans="1:35">
      <c r="A52" s="10"/>
      <c r="B52" s="37"/>
      <c r="C52" s="337"/>
      <c r="D52" s="337"/>
      <c r="E52" s="337"/>
      <c r="F52" s="337"/>
      <c r="G52" s="337"/>
      <c r="H52" s="285"/>
      <c r="I52" s="173"/>
      <c r="J52" s="173"/>
      <c r="K52" s="173"/>
      <c r="L52" s="173"/>
      <c r="M52" s="173"/>
      <c r="N52" s="186"/>
      <c r="O52" s="173"/>
      <c r="P52" s="173"/>
      <c r="Q52" s="173"/>
      <c r="R52" s="173"/>
      <c r="S52" s="173"/>
      <c r="T52" s="173"/>
      <c r="U52" s="173"/>
      <c r="V52" s="173"/>
      <c r="W52" s="173"/>
      <c r="X52" s="186"/>
      <c r="Y52" s="20"/>
      <c r="Z52" s="20"/>
      <c r="AA52" s="20"/>
      <c r="AB52" s="20"/>
      <c r="AC52" s="20"/>
      <c r="AD52" s="20"/>
      <c r="AE52" s="20"/>
      <c r="AF52" s="20"/>
      <c r="AG52" s="20"/>
      <c r="AH52" s="280"/>
      <c r="AI52" s="128"/>
    </row>
    <row r="53" spans="1:35">
      <c r="A53" s="1" t="s">
        <v>538</v>
      </c>
      <c r="B53" s="37"/>
      <c r="C53" s="337"/>
      <c r="D53" s="337"/>
      <c r="E53" s="337"/>
      <c r="F53" s="337"/>
      <c r="G53" s="337"/>
      <c r="H53" s="285"/>
      <c r="I53" s="165"/>
      <c r="J53" s="165"/>
      <c r="K53" s="165"/>
      <c r="L53" s="165"/>
      <c r="M53" s="165"/>
      <c r="N53" s="185" t="s">
        <v>0</v>
      </c>
      <c r="O53" s="175" t="s">
        <v>0</v>
      </c>
      <c r="P53" s="165"/>
      <c r="Q53" s="165"/>
      <c r="R53" s="165"/>
      <c r="S53" s="165"/>
      <c r="T53" s="165"/>
      <c r="U53" s="165"/>
      <c r="V53" s="165"/>
      <c r="W53" s="165"/>
      <c r="X53" s="186"/>
      <c r="Y53" s="20"/>
      <c r="Z53" s="20"/>
      <c r="AA53" s="20"/>
      <c r="AB53" s="20"/>
      <c r="AC53" s="20"/>
      <c r="AD53" s="20"/>
      <c r="AE53" s="20"/>
      <c r="AF53" s="20"/>
      <c r="AG53" s="20"/>
      <c r="AH53" s="280"/>
      <c r="AI53" s="128"/>
    </row>
    <row r="54" spans="1:35">
      <c r="A54" s="9" t="s">
        <v>280</v>
      </c>
      <c r="B54" s="37"/>
      <c r="C54" s="337"/>
      <c r="D54" s="337"/>
      <c r="E54" s="337"/>
      <c r="F54" s="337"/>
      <c r="G54" s="337"/>
      <c r="H54" s="285"/>
      <c r="I54" s="165"/>
      <c r="J54" s="165"/>
      <c r="K54" s="165"/>
      <c r="L54" s="165"/>
      <c r="M54" s="165"/>
      <c r="N54" s="186" t="s">
        <v>0</v>
      </c>
      <c r="O54" s="165"/>
      <c r="P54" s="165"/>
      <c r="Q54" s="165"/>
      <c r="R54" s="165"/>
      <c r="S54" s="165"/>
      <c r="T54" s="165"/>
      <c r="U54" s="165"/>
      <c r="V54" s="165"/>
      <c r="W54" s="165"/>
      <c r="X54" s="186"/>
      <c r="Y54" s="20"/>
      <c r="Z54" s="20"/>
      <c r="AA54" s="20"/>
      <c r="AB54" s="20"/>
      <c r="AC54" s="20"/>
      <c r="AD54" s="20"/>
      <c r="AE54" s="20"/>
      <c r="AF54" s="20"/>
      <c r="AG54" s="20"/>
      <c r="AH54" s="280"/>
      <c r="AI54" s="128"/>
    </row>
    <row r="55" spans="1:35">
      <c r="A55" s="20" t="s">
        <v>121</v>
      </c>
      <c r="B55" s="37"/>
      <c r="C55" s="337"/>
      <c r="D55" s="337"/>
      <c r="E55" s="337"/>
      <c r="F55" s="337"/>
      <c r="G55" s="337"/>
      <c r="H55" s="285"/>
      <c r="I55" s="165"/>
      <c r="J55" s="165"/>
      <c r="K55" s="165"/>
      <c r="L55" s="165"/>
      <c r="M55" s="165"/>
      <c r="N55" s="186"/>
      <c r="O55" s="165"/>
      <c r="P55" s="165"/>
      <c r="Q55" s="165"/>
      <c r="R55" s="165"/>
      <c r="S55" s="165"/>
      <c r="T55" s="165"/>
      <c r="U55" s="165"/>
      <c r="V55" s="165"/>
      <c r="W55" s="165"/>
      <c r="X55" s="186"/>
      <c r="Y55" s="20"/>
      <c r="Z55" s="20"/>
      <c r="AA55" s="20"/>
      <c r="AB55" s="20"/>
      <c r="AC55" s="20"/>
      <c r="AD55" s="20"/>
      <c r="AE55" s="20"/>
      <c r="AF55" s="20"/>
      <c r="AG55" s="20"/>
      <c r="AH55" s="280"/>
      <c r="AI55" s="128"/>
    </row>
    <row r="56" spans="1:35">
      <c r="A56" s="9" t="s">
        <v>49</v>
      </c>
      <c r="B56" s="37"/>
      <c r="C56" s="341">
        <f t="shared" ref="C56:M56" si="39">C31/C$49</f>
        <v>1.3469863632347312E-2</v>
      </c>
      <c r="D56" s="341">
        <f t="shared" si="39"/>
        <v>1.2731401490533933E-2</v>
      </c>
      <c r="E56" s="341">
        <f t="shared" si="39"/>
        <v>1.1992939348720555E-2</v>
      </c>
      <c r="F56" s="341">
        <f t="shared" si="39"/>
        <v>1.1254477206907178E-2</v>
      </c>
      <c r="G56" s="341">
        <f t="shared" si="39"/>
        <v>1.05160150650938E-2</v>
      </c>
      <c r="H56" s="402">
        <f t="shared" si="39"/>
        <v>5.1553586866256093E-3</v>
      </c>
      <c r="I56" s="174">
        <f t="shared" si="39"/>
        <v>5.1872622509213659E-3</v>
      </c>
      <c r="J56" s="174">
        <f t="shared" si="39"/>
        <v>5.2191658152171234E-3</v>
      </c>
      <c r="K56" s="174">
        <f t="shared" si="39"/>
        <v>5.2510693795128792E-3</v>
      </c>
      <c r="L56" s="174">
        <f t="shared" si="39"/>
        <v>5.2829729438086358E-3</v>
      </c>
      <c r="M56" s="174">
        <f t="shared" si="39"/>
        <v>5.3148765081043924E-3</v>
      </c>
      <c r="N56" s="179">
        <f>N26</f>
        <v>5.3467800724001499E-3</v>
      </c>
      <c r="O56" s="116">
        <f t="shared" ref="O56:AH56" si="40">O31/O$49</f>
        <v>5.3066281574000521E-3</v>
      </c>
      <c r="P56" s="116">
        <f t="shared" si="40"/>
        <v>5.2664762423999542E-3</v>
      </c>
      <c r="Q56" s="116">
        <f t="shared" si="40"/>
        <v>5.2263243273998564E-3</v>
      </c>
      <c r="R56" s="116">
        <f t="shared" si="40"/>
        <v>5.1861724123997595E-3</v>
      </c>
      <c r="S56" s="116">
        <f t="shared" si="40"/>
        <v>5.1460204973996608E-3</v>
      </c>
      <c r="T56" s="116">
        <f t="shared" si="40"/>
        <v>5.105868582399563E-3</v>
      </c>
      <c r="U56" s="116">
        <f t="shared" si="40"/>
        <v>5.0657166673994652E-3</v>
      </c>
      <c r="V56" s="116">
        <f t="shared" si="40"/>
        <v>5.0255647523993674E-3</v>
      </c>
      <c r="W56" s="116">
        <f t="shared" si="40"/>
        <v>4.9854128373992695E-3</v>
      </c>
      <c r="X56" s="179">
        <f t="shared" si="40"/>
        <v>4.9452609223991735E-3</v>
      </c>
      <c r="Y56" s="174">
        <f t="shared" si="40"/>
        <v>4.9401771237017854E-3</v>
      </c>
      <c r="Z56" s="174">
        <f t="shared" si="40"/>
        <v>4.9350933250043973E-3</v>
      </c>
      <c r="AA56" s="174">
        <f t="shared" si="40"/>
        <v>4.9300095263070092E-3</v>
      </c>
      <c r="AB56" s="174">
        <f t="shared" si="40"/>
        <v>4.924925727609622E-3</v>
      </c>
      <c r="AC56" s="174">
        <f t="shared" si="40"/>
        <v>4.919841928912233E-3</v>
      </c>
      <c r="AD56" s="174">
        <f t="shared" si="40"/>
        <v>4.914758130214845E-3</v>
      </c>
      <c r="AE56" s="174">
        <f t="shared" si="40"/>
        <v>4.9096743315174569E-3</v>
      </c>
      <c r="AF56" s="174">
        <f t="shared" si="40"/>
        <v>4.9045905328200697E-3</v>
      </c>
      <c r="AG56" s="174">
        <f t="shared" si="40"/>
        <v>4.8995067341226807E-3</v>
      </c>
      <c r="AH56" s="179">
        <f t="shared" si="40"/>
        <v>4.8944229354252926E-3</v>
      </c>
      <c r="AI56" s="128"/>
    </row>
    <row r="57" spans="1:35">
      <c r="A57" s="9" t="s">
        <v>59</v>
      </c>
      <c r="B57" s="37"/>
      <c r="C57" s="341">
        <f t="shared" ref="C57:M57" si="41">C32/C$49</f>
        <v>0.21452624758239497</v>
      </c>
      <c r="D57" s="341">
        <f t="shared" si="41"/>
        <v>0.20832535240198619</v>
      </c>
      <c r="E57" s="341">
        <f t="shared" si="41"/>
        <v>0.20212445722157746</v>
      </c>
      <c r="F57" s="341">
        <f t="shared" si="41"/>
        <v>0.19592356204116873</v>
      </c>
      <c r="G57" s="341">
        <f t="shared" si="41"/>
        <v>0.18972266686076</v>
      </c>
      <c r="H57" s="402">
        <f t="shared" si="41"/>
        <v>0.14020611053809151</v>
      </c>
      <c r="I57" s="116">
        <f t="shared" si="41"/>
        <v>0.14122449221472611</v>
      </c>
      <c r="J57" s="116">
        <f t="shared" si="41"/>
        <v>0.1422428738913607</v>
      </c>
      <c r="K57" s="116">
        <f t="shared" si="41"/>
        <v>0.14326125556799529</v>
      </c>
      <c r="L57" s="116">
        <f t="shared" si="41"/>
        <v>0.14427963724462989</v>
      </c>
      <c r="M57" s="116">
        <f t="shared" si="41"/>
        <v>0.14529801892126448</v>
      </c>
      <c r="N57" s="179">
        <f>N18</f>
        <v>0.14631640059789905</v>
      </c>
      <c r="O57" s="116">
        <f t="shared" ref="O57:AH57" si="42">O32/O$49</f>
        <v>0.14521763019770006</v>
      </c>
      <c r="P57" s="116">
        <f t="shared" si="42"/>
        <v>0.14411885979750108</v>
      </c>
      <c r="Q57" s="116">
        <f t="shared" si="42"/>
        <v>0.1430200893973021</v>
      </c>
      <c r="R57" s="116">
        <f t="shared" si="42"/>
        <v>0.14192131899710311</v>
      </c>
      <c r="S57" s="116">
        <f t="shared" si="42"/>
        <v>0.14082254859690413</v>
      </c>
      <c r="T57" s="116">
        <f t="shared" si="42"/>
        <v>0.13972377819670515</v>
      </c>
      <c r="U57" s="116">
        <f t="shared" si="42"/>
        <v>0.13862500779650616</v>
      </c>
      <c r="V57" s="116">
        <f t="shared" si="42"/>
        <v>0.13752623739630718</v>
      </c>
      <c r="W57" s="116">
        <f>W32/W$49</f>
        <v>0.13642746699610819</v>
      </c>
      <c r="X57" s="179">
        <f t="shared" si="42"/>
        <v>0.13532869659590918</v>
      </c>
      <c r="Y57" s="174">
        <f t="shared" si="42"/>
        <v>0.13518957676739674</v>
      </c>
      <c r="Z57" s="174">
        <f t="shared" si="42"/>
        <v>0.13505045693888429</v>
      </c>
      <c r="AA57" s="174">
        <f t="shared" si="42"/>
        <v>0.13491133711037184</v>
      </c>
      <c r="AB57" s="174">
        <f t="shared" si="42"/>
        <v>0.1347722172818594</v>
      </c>
      <c r="AC57" s="174">
        <f t="shared" si="42"/>
        <v>0.13463309745334695</v>
      </c>
      <c r="AD57" s="174">
        <f t="shared" si="42"/>
        <v>0.1344939776248345</v>
      </c>
      <c r="AE57" s="174">
        <f t="shared" si="42"/>
        <v>0.13435485779632206</v>
      </c>
      <c r="AF57" s="174">
        <f t="shared" si="42"/>
        <v>0.13421573796780961</v>
      </c>
      <c r="AG57" s="174">
        <f t="shared" si="42"/>
        <v>0.13407661813929717</v>
      </c>
      <c r="AH57" s="179">
        <f t="shared" si="42"/>
        <v>0.13393749831078464</v>
      </c>
      <c r="AI57" s="128"/>
    </row>
    <row r="58" spans="1:35">
      <c r="A58" s="9" t="s">
        <v>120</v>
      </c>
      <c r="B58" s="37"/>
      <c r="C58" s="341">
        <f>C34/C$49</f>
        <v>1.4618533826835664E-2</v>
      </c>
      <c r="D58" s="341">
        <f t="shared" ref="D58:G59" si="43">C58*($N71)</f>
        <v>1.5988102485415809E-2</v>
      </c>
      <c r="E58" s="341">
        <f t="shared" si="43"/>
        <v>1.7485982117776491E-2</v>
      </c>
      <c r="F58" s="341">
        <f t="shared" si="43"/>
        <v>1.9124193812374551E-2</v>
      </c>
      <c r="G58" s="341">
        <f t="shared" si="43"/>
        <v>2.0915884879091465E-2</v>
      </c>
      <c r="H58" s="402">
        <f>H34/H$49</f>
        <v>9.5969370866780916E-3</v>
      </c>
      <c r="I58" s="116">
        <f t="shared" ref="I58:N59" si="44">H58*($N71)</f>
        <v>1.0496046696983303E-2</v>
      </c>
      <c r="J58" s="116">
        <f t="shared" si="44"/>
        <v>1.1479391317275748E-2</v>
      </c>
      <c r="K58" s="116">
        <f t="shared" si="44"/>
        <v>1.2554862684921175E-2</v>
      </c>
      <c r="L58" s="116">
        <f t="shared" si="44"/>
        <v>1.3731091891606767E-2</v>
      </c>
      <c r="M58" s="116">
        <f t="shared" si="44"/>
        <v>1.5017518651334645E-2</v>
      </c>
      <c r="N58" s="179">
        <f t="shared" si="44"/>
        <v>1.6424467057935741E-2</v>
      </c>
      <c r="O58" s="116">
        <f t="shared" ref="O58:W58" si="45">N58*$X71</f>
        <v>1.6903831700730069E-2</v>
      </c>
      <c r="P58" s="116">
        <f t="shared" si="45"/>
        <v>1.7397187084286381E-2</v>
      </c>
      <c r="Q58" s="116">
        <f t="shared" si="45"/>
        <v>1.7904941542489981E-2</v>
      </c>
      <c r="R58" s="116">
        <f t="shared" si="45"/>
        <v>1.8427515326862608E-2</v>
      </c>
      <c r="S58" s="116">
        <f t="shared" si="45"/>
        <v>1.8965340954390685E-2</v>
      </c>
      <c r="T58" s="116">
        <f t="shared" si="45"/>
        <v>1.9518863565505275E-2</v>
      </c>
      <c r="U58" s="116">
        <f t="shared" si="45"/>
        <v>2.0088541292510052E-2</v>
      </c>
      <c r="V58" s="116">
        <f t="shared" si="45"/>
        <v>2.0674845638762214E-2</v>
      </c>
      <c r="W58" s="116">
        <f t="shared" si="45"/>
        <v>2.1278261868920172E-2</v>
      </c>
      <c r="X58" s="179">
        <f t="shared" ref="X58:X66" si="46">X34/X$49</f>
        <v>2.1899289410580988E-2</v>
      </c>
      <c r="Y58" s="174">
        <f>X58*$AH71</f>
        <v>2.2393450874143267E-2</v>
      </c>
      <c r="Z58" s="174">
        <f t="shared" ref="Z58:AG58" si="47">Y58*$AH71</f>
        <v>2.2898763181346711E-2</v>
      </c>
      <c r="AA58" s="174">
        <f t="shared" si="47"/>
        <v>2.3415477953013821E-2</v>
      </c>
      <c r="AB58" s="174">
        <f t="shared" si="47"/>
        <v>2.3943852487836894E-2</v>
      </c>
      <c r="AC58" s="174">
        <f t="shared" si="47"/>
        <v>2.4484149890500191E-2</v>
      </c>
      <c r="AD58" s="174">
        <f t="shared" si="47"/>
        <v>2.5036639202693212E-2</v>
      </c>
      <c r="AE58" s="174">
        <f t="shared" si="47"/>
        <v>2.5601595537080291E-2</v>
      </c>
      <c r="AF58" s="174">
        <f t="shared" si="47"/>
        <v>2.6179300214293259E-2</v>
      </c>
      <c r="AG58" s="174">
        <f t="shared" si="47"/>
        <v>2.6770040903015369E-2</v>
      </c>
      <c r="AH58" s="179">
        <f t="shared" ref="AH58:AH66" si="48">AH34/AH$49</f>
        <v>2.7374111763226228E-2</v>
      </c>
      <c r="AI58" s="128"/>
    </row>
    <row r="59" spans="1:35">
      <c r="A59" s="9" t="s">
        <v>50</v>
      </c>
      <c r="B59" s="37"/>
      <c r="C59" s="341">
        <f t="shared" ref="C59:C65" si="49">C35/C$49</f>
        <v>9.8176855788016553E-7</v>
      </c>
      <c r="D59" s="341">
        <f t="shared" si="43"/>
        <v>1.0548381805360671E-6</v>
      </c>
      <c r="E59" s="341">
        <f t="shared" si="43"/>
        <v>1.1333461213293962E-6</v>
      </c>
      <c r="F59" s="341">
        <f t="shared" si="43"/>
        <v>1.2176971353839498E-6</v>
      </c>
      <c r="G59" s="341">
        <f t="shared" si="43"/>
        <v>1.3083261023410867E-6</v>
      </c>
      <c r="H59" s="402">
        <f>H35/H$49</f>
        <v>1.0323127837537506E-6</v>
      </c>
      <c r="I59" s="116">
        <f t="shared" si="44"/>
        <v>1.1091442375279679E-6</v>
      </c>
      <c r="J59" s="116">
        <f t="shared" si="44"/>
        <v>1.1916939894594496E-6</v>
      </c>
      <c r="K59" s="116">
        <f t="shared" si="44"/>
        <v>1.2803876326120921E-6</v>
      </c>
      <c r="L59" s="116">
        <f t="shared" si="44"/>
        <v>1.3756824354628353E-6</v>
      </c>
      <c r="M59" s="116">
        <f t="shared" si="44"/>
        <v>1.4780696993925999E-6</v>
      </c>
      <c r="N59" s="179">
        <f t="shared" si="44"/>
        <v>1.5880772916370867E-6</v>
      </c>
      <c r="O59" s="116">
        <f t="shared" ref="O59:V59" si="50">N59*$X72</f>
        <v>1.6344269297075395E-6</v>
      </c>
      <c r="P59" s="116">
        <f t="shared" si="50"/>
        <v>1.6821293287302299E-6</v>
      </c>
      <c r="Q59" s="116">
        <f t="shared" si="50"/>
        <v>1.7312239703984373E-6</v>
      </c>
      <c r="R59" s="116">
        <f t="shared" si="50"/>
        <v>1.7817514887184947E-6</v>
      </c>
      <c r="S59" s="116">
        <f t="shared" si="50"/>
        <v>1.8337537036412082E-6</v>
      </c>
      <c r="T59" s="116">
        <f t="shared" si="50"/>
        <v>1.8872736556748436E-6</v>
      </c>
      <c r="U59" s="116">
        <f t="shared" si="50"/>
        <v>1.9423556415083262E-6</v>
      </c>
      <c r="V59" s="116">
        <f t="shared" si="50"/>
        <v>1.9990452506741415E-6</v>
      </c>
      <c r="W59" s="116">
        <f>V59*$X72</f>
        <v>2.0573894032812791E-6</v>
      </c>
      <c r="X59" s="179">
        <f t="shared" si="46"/>
        <v>2.1174363888494492E-6</v>
      </c>
      <c r="Y59" s="174">
        <f>X59*$AH72</f>
        <v>2.1652167275305893E-6</v>
      </c>
      <c r="Z59" s="174">
        <f t="shared" ref="Z59:AG59" si="51">Y59*$AH72</f>
        <v>2.214075238277019E-6</v>
      </c>
      <c r="AA59" s="174">
        <f t="shared" si="51"/>
        <v>2.2640362502382262E-6</v>
      </c>
      <c r="AB59" s="174">
        <f t="shared" si="51"/>
        <v>2.3151246415553987E-6</v>
      </c>
      <c r="AC59" s="174">
        <f t="shared" si="51"/>
        <v>2.3673658517495224E-6</v>
      </c>
      <c r="AD59" s="174">
        <f t="shared" si="51"/>
        <v>2.4207858943890186E-6</v>
      </c>
      <c r="AE59" s="174">
        <f t="shared" si="51"/>
        <v>2.4754113700432288E-6</v>
      </c>
      <c r="AF59" s="174">
        <f t="shared" si="51"/>
        <v>2.531269479528198E-6</v>
      </c>
      <c r="AG59" s="174">
        <f t="shared" si="51"/>
        <v>2.5883880374513519E-6</v>
      </c>
      <c r="AH59" s="179">
        <f t="shared" si="48"/>
        <v>2.6467954860618115E-6</v>
      </c>
      <c r="AI59" s="128"/>
    </row>
    <row r="60" spans="1:35">
      <c r="A60" s="9" t="s">
        <v>118</v>
      </c>
      <c r="B60" s="37"/>
      <c r="C60" s="341">
        <f t="shared" si="49"/>
        <v>0</v>
      </c>
      <c r="D60" s="341">
        <v>0</v>
      </c>
      <c r="E60" s="341">
        <v>0</v>
      </c>
      <c r="F60" s="341">
        <v>0</v>
      </c>
      <c r="G60" s="341">
        <v>0</v>
      </c>
      <c r="H60" s="402">
        <f t="shared" ref="H60:H66" si="52">H36/H$49</f>
        <v>0</v>
      </c>
      <c r="I60" s="174">
        <v>0</v>
      </c>
      <c r="J60" s="174">
        <v>0</v>
      </c>
      <c r="K60" s="174">
        <v>0</v>
      </c>
      <c r="L60" s="174">
        <v>0</v>
      </c>
      <c r="M60" s="174">
        <v>0</v>
      </c>
      <c r="N60" s="179">
        <v>0</v>
      </c>
      <c r="O60" s="116">
        <f t="shared" ref="O60:W60" si="53">O36/O$49</f>
        <v>0</v>
      </c>
      <c r="P60" s="116">
        <f t="shared" si="53"/>
        <v>0</v>
      </c>
      <c r="Q60" s="116">
        <f t="shared" si="53"/>
        <v>0</v>
      </c>
      <c r="R60" s="116">
        <f t="shared" si="53"/>
        <v>0</v>
      </c>
      <c r="S60" s="116">
        <f t="shared" si="53"/>
        <v>0</v>
      </c>
      <c r="T60" s="116">
        <f t="shared" si="53"/>
        <v>0</v>
      </c>
      <c r="U60" s="116">
        <f t="shared" si="53"/>
        <v>0</v>
      </c>
      <c r="V60" s="116">
        <f t="shared" si="53"/>
        <v>0</v>
      </c>
      <c r="W60" s="116">
        <f t="shared" si="53"/>
        <v>0</v>
      </c>
      <c r="X60" s="179">
        <f t="shared" si="46"/>
        <v>0</v>
      </c>
      <c r="Y60" s="174">
        <f t="shared" ref="Y60:AG66" si="54">X60*$AH73</f>
        <v>0</v>
      </c>
      <c r="Z60" s="174">
        <f t="shared" si="54"/>
        <v>0</v>
      </c>
      <c r="AA60" s="174">
        <f t="shared" si="54"/>
        <v>0</v>
      </c>
      <c r="AB60" s="174">
        <f t="shared" si="54"/>
        <v>0</v>
      </c>
      <c r="AC60" s="174">
        <f t="shared" si="54"/>
        <v>0</v>
      </c>
      <c r="AD60" s="174">
        <f t="shared" si="54"/>
        <v>0</v>
      </c>
      <c r="AE60" s="174">
        <f t="shared" si="54"/>
        <v>0</v>
      </c>
      <c r="AF60" s="174">
        <f t="shared" si="54"/>
        <v>0</v>
      </c>
      <c r="AG60" s="174">
        <f t="shared" si="54"/>
        <v>0</v>
      </c>
      <c r="AH60" s="179">
        <f t="shared" si="48"/>
        <v>0</v>
      </c>
      <c r="AI60" s="128"/>
    </row>
    <row r="61" spans="1:35">
      <c r="A61" s="9" t="s">
        <v>51</v>
      </c>
      <c r="B61" s="37"/>
      <c r="C61" s="341">
        <f t="shared" si="49"/>
        <v>8.1388613448265725E-3</v>
      </c>
      <c r="D61" s="341">
        <f t="shared" ref="D61:M61" si="55">C61*($N74)</f>
        <v>8.7451617008825616E-3</v>
      </c>
      <c r="E61" s="341">
        <f t="shared" si="55"/>
        <v>9.3966280950585242E-3</v>
      </c>
      <c r="F61" s="341">
        <f t="shared" si="55"/>
        <v>1.009662514850152E-2</v>
      </c>
      <c r="G61" s="341">
        <f t="shared" si="55"/>
        <v>1.0848768128107811E-2</v>
      </c>
      <c r="H61" s="402">
        <f t="shared" si="52"/>
        <v>1.0415034644675103E-2</v>
      </c>
      <c r="I61" s="116">
        <f t="shared" si="55"/>
        <v>1.1190897378522493E-2</v>
      </c>
      <c r="J61" s="116">
        <f t="shared" si="55"/>
        <v>1.20245576139923E-2</v>
      </c>
      <c r="K61" s="116">
        <f t="shared" si="55"/>
        <v>1.292032094671125E-2</v>
      </c>
      <c r="L61" s="116">
        <f t="shared" si="55"/>
        <v>1.3882813715472826E-2</v>
      </c>
      <c r="M61" s="116">
        <f t="shared" si="55"/>
        <v>1.4917006895837113E-2</v>
      </c>
      <c r="N61" s="179">
        <f>M61*($N74)</f>
        <v>1.6028241773672278E-2</v>
      </c>
      <c r="O61" s="116">
        <f t="shared" ref="O61:W61" si="56">N61*$X74</f>
        <v>1.6496042181768027E-2</v>
      </c>
      <c r="P61" s="116">
        <f t="shared" si="56"/>
        <v>1.697749581676818E-2</v>
      </c>
      <c r="Q61" s="116">
        <f t="shared" si="56"/>
        <v>1.7473001161875563E-2</v>
      </c>
      <c r="R61" s="116">
        <f t="shared" si="56"/>
        <v>1.7982968330427337E-2</v>
      </c>
      <c r="S61" s="116">
        <f t="shared" si="56"/>
        <v>1.8507819405332197E-2</v>
      </c>
      <c r="T61" s="116">
        <f t="shared" si="56"/>
        <v>1.9047988788414395E-2</v>
      </c>
      <c r="U61" s="116">
        <f t="shared" si="56"/>
        <v>1.9603923559953718E-2</v>
      </c>
      <c r="V61" s="116">
        <f t="shared" si="56"/>
        <v>2.0176083848719009E-2</v>
      </c>
      <c r="W61" s="116">
        <f t="shared" si="56"/>
        <v>2.0764943212801486E-2</v>
      </c>
      <c r="X61" s="179">
        <f t="shared" si="46"/>
        <v>2.1370989031563051E-2</v>
      </c>
      <c r="Y61" s="174">
        <f t="shared" si="54"/>
        <v>2.1853229300624385E-2</v>
      </c>
      <c r="Z61" s="174">
        <f t="shared" si="54"/>
        <v>2.2346351409396593E-2</v>
      </c>
      <c r="AA61" s="174">
        <f t="shared" si="54"/>
        <v>2.2850600908579381E-2</v>
      </c>
      <c r="AB61" s="174">
        <f t="shared" si="54"/>
        <v>2.3366228889768817E-2</v>
      </c>
      <c r="AC61" s="174">
        <f t="shared" si="54"/>
        <v>2.389349211048868E-2</v>
      </c>
      <c r="AD61" s="174">
        <f t="shared" si="54"/>
        <v>2.4432653122043145E-2</v>
      </c>
      <c r="AE61" s="174">
        <f t="shared" si="54"/>
        <v>2.4983980400254496E-2</v>
      </c>
      <c r="AF61" s="174">
        <f t="shared" si="54"/>
        <v>2.5547748479150964E-2</v>
      </c>
      <c r="AG61" s="174">
        <f t="shared" si="54"/>
        <v>2.6124238087671246E-2</v>
      </c>
      <c r="AH61" s="179">
        <f t="shared" si="48"/>
        <v>2.6713736289453813E-2</v>
      </c>
      <c r="AI61" s="128"/>
    </row>
    <row r="62" spans="1:35">
      <c r="A62" s="9" t="s">
        <v>343</v>
      </c>
      <c r="B62" s="37"/>
      <c r="C62" s="344">
        <f t="shared" si="49"/>
        <v>0</v>
      </c>
      <c r="D62" s="344">
        <f t="shared" ref="D62:N62" si="57">C62*($N75)</f>
        <v>0</v>
      </c>
      <c r="E62" s="344">
        <f t="shared" si="57"/>
        <v>0</v>
      </c>
      <c r="F62" s="344">
        <f t="shared" si="57"/>
        <v>0</v>
      </c>
      <c r="G62" s="344">
        <f t="shared" si="57"/>
        <v>0</v>
      </c>
      <c r="H62" s="402">
        <f t="shared" si="52"/>
        <v>7.019726929525504E-6</v>
      </c>
      <c r="I62" s="116">
        <f t="shared" si="57"/>
        <v>8.6270458268351217E-6</v>
      </c>
      <c r="J62" s="116">
        <f t="shared" si="57"/>
        <v>1.0602395284818305E-5</v>
      </c>
      <c r="K62" s="116">
        <f t="shared" si="57"/>
        <v>1.303004389125587E-5</v>
      </c>
      <c r="L62" s="116">
        <f t="shared" si="57"/>
        <v>1.6013555356794454E-5</v>
      </c>
      <c r="M62" s="116">
        <f t="shared" si="57"/>
        <v>1.9680206552274672E-5</v>
      </c>
      <c r="N62" s="179">
        <f t="shared" si="57"/>
        <v>2.4186417151632815E-5</v>
      </c>
      <c r="O62" s="116">
        <f t="shared" ref="O62:W62" si="58">N62*$X75</f>
        <v>2.489232213944581E-5</v>
      </c>
      <c r="P62" s="116">
        <f t="shared" si="58"/>
        <v>2.5618829676561385E-5</v>
      </c>
      <c r="Q62" s="116">
        <f t="shared" si="58"/>
        <v>2.6366541069168183E-5</v>
      </c>
      <c r="R62" s="116">
        <f t="shared" si="58"/>
        <v>2.7136075173182656E-5</v>
      </c>
      <c r="S62" s="116">
        <f t="shared" si="58"/>
        <v>2.7928068906455585E-5</v>
      </c>
      <c r="T62" s="116">
        <f t="shared" si="58"/>
        <v>2.8743177775927852E-5</v>
      </c>
      <c r="U62" s="116">
        <f t="shared" si="58"/>
        <v>2.9582076420171791E-5</v>
      </c>
      <c r="V62" s="116">
        <f t="shared" si="58"/>
        <v>3.044545916776716E-5</v>
      </c>
      <c r="W62" s="116">
        <f t="shared" si="58"/>
        <v>3.1334040611973869E-5</v>
      </c>
      <c r="X62" s="179">
        <f t="shared" si="46"/>
        <v>3.224855620217711E-5</v>
      </c>
      <c r="Y62" s="174">
        <f t="shared" si="54"/>
        <v>3.2976250760290879E-5</v>
      </c>
      <c r="Z62" s="174">
        <f t="shared" si="54"/>
        <v>3.3720365878959002E-5</v>
      </c>
      <c r="AA62" s="174">
        <f t="shared" si="54"/>
        <v>3.4481272091128183E-5</v>
      </c>
      <c r="AB62" s="174">
        <f t="shared" si="54"/>
        <v>3.525934829088872E-5</v>
      </c>
      <c r="AC62" s="174">
        <f t="shared" si="54"/>
        <v>3.6054981922145228E-5</v>
      </c>
      <c r="AD62" s="174">
        <f t="shared" si="54"/>
        <v>3.6868569171544755E-5</v>
      </c>
      <c r="AE62" s="174">
        <f t="shared" si="54"/>
        <v>3.7700515165758375E-5</v>
      </c>
      <c r="AF62" s="174">
        <f t="shared" si="54"/>
        <v>3.8551234173214461E-5</v>
      </c>
      <c r="AG62" s="174">
        <f t="shared" si="54"/>
        <v>3.9421149810384097E-5</v>
      </c>
      <c r="AH62" s="179">
        <f t="shared" si="48"/>
        <v>4.0310695252721387E-5</v>
      </c>
      <c r="AI62" s="128"/>
    </row>
    <row r="63" spans="1:35">
      <c r="A63" s="9" t="s">
        <v>344</v>
      </c>
      <c r="B63" s="37"/>
      <c r="C63" s="344">
        <f t="shared" si="49"/>
        <v>0</v>
      </c>
      <c r="D63" s="344">
        <f t="shared" ref="D63:N63" si="59">C63*($N76)</f>
        <v>0</v>
      </c>
      <c r="E63" s="344">
        <f t="shared" si="59"/>
        <v>0</v>
      </c>
      <c r="F63" s="344">
        <f t="shared" si="59"/>
        <v>0</v>
      </c>
      <c r="G63" s="344">
        <f t="shared" si="59"/>
        <v>0</v>
      </c>
      <c r="H63" s="402">
        <f t="shared" si="52"/>
        <v>1.0323127837537506E-6</v>
      </c>
      <c r="I63" s="116">
        <f t="shared" si="59"/>
        <v>1.1091442375279679E-6</v>
      </c>
      <c r="J63" s="116">
        <f t="shared" si="59"/>
        <v>1.1916939894594496E-6</v>
      </c>
      <c r="K63" s="116">
        <f t="shared" si="59"/>
        <v>1.2803876326120921E-6</v>
      </c>
      <c r="L63" s="116">
        <f t="shared" si="59"/>
        <v>1.3756824354628353E-6</v>
      </c>
      <c r="M63" s="116">
        <f t="shared" si="59"/>
        <v>1.4780696993925999E-6</v>
      </c>
      <c r="N63" s="179">
        <f t="shared" si="59"/>
        <v>1.5880772916370867E-6</v>
      </c>
      <c r="O63" s="116">
        <f t="shared" ref="O63:W63" si="60">N63*$X76</f>
        <v>1.6344269297075395E-6</v>
      </c>
      <c r="P63" s="116">
        <f t="shared" si="60"/>
        <v>1.6821293287302299E-6</v>
      </c>
      <c r="Q63" s="116">
        <f t="shared" si="60"/>
        <v>1.7312239703984373E-6</v>
      </c>
      <c r="R63" s="116">
        <f t="shared" si="60"/>
        <v>1.7817514887184947E-6</v>
      </c>
      <c r="S63" s="116">
        <f t="shared" si="60"/>
        <v>1.8337537036412082E-6</v>
      </c>
      <c r="T63" s="116">
        <f t="shared" si="60"/>
        <v>1.8872736556748436E-6</v>
      </c>
      <c r="U63" s="116">
        <f t="shared" si="60"/>
        <v>1.9423556415083262E-6</v>
      </c>
      <c r="V63" s="116">
        <f t="shared" si="60"/>
        <v>1.9990452506741415E-6</v>
      </c>
      <c r="W63" s="116">
        <f t="shared" si="60"/>
        <v>2.0573894032812791E-6</v>
      </c>
      <c r="X63" s="179">
        <f t="shared" si="46"/>
        <v>2.1174363888494492E-6</v>
      </c>
      <c r="Y63" s="174">
        <f t="shared" si="54"/>
        <v>2.1652167275305893E-6</v>
      </c>
      <c r="Z63" s="174">
        <f t="shared" si="54"/>
        <v>2.214075238277019E-6</v>
      </c>
      <c r="AA63" s="174">
        <f t="shared" si="54"/>
        <v>2.2640362502382262E-6</v>
      </c>
      <c r="AB63" s="174">
        <f t="shared" si="54"/>
        <v>2.3151246415553987E-6</v>
      </c>
      <c r="AC63" s="174">
        <f t="shared" si="54"/>
        <v>2.3673658517495224E-6</v>
      </c>
      <c r="AD63" s="174">
        <f t="shared" si="54"/>
        <v>2.4207858943890186E-6</v>
      </c>
      <c r="AE63" s="174">
        <f t="shared" si="54"/>
        <v>2.4754113700432288E-6</v>
      </c>
      <c r="AF63" s="174">
        <f t="shared" si="54"/>
        <v>2.531269479528198E-6</v>
      </c>
      <c r="AG63" s="174">
        <f t="shared" si="54"/>
        <v>2.5883880374513519E-6</v>
      </c>
      <c r="AH63" s="179">
        <f t="shared" si="48"/>
        <v>2.6467954860618115E-6</v>
      </c>
      <c r="AI63" s="128"/>
    </row>
    <row r="64" spans="1:35">
      <c r="A64" s="9" t="s">
        <v>340</v>
      </c>
      <c r="B64" s="37"/>
      <c r="C64" s="341">
        <f t="shared" si="49"/>
        <v>9.8176855788016543E-10</v>
      </c>
      <c r="D64" s="341">
        <f t="shared" ref="D64:N64" si="61">C64*($N77)</f>
        <v>1.054838180536067E-9</v>
      </c>
      <c r="E64" s="341">
        <f t="shared" si="61"/>
        <v>1.1333461213293962E-9</v>
      </c>
      <c r="F64" s="341">
        <f t="shared" si="61"/>
        <v>1.2176971353839497E-9</v>
      </c>
      <c r="G64" s="341">
        <f t="shared" si="61"/>
        <v>1.3083261023410865E-9</v>
      </c>
      <c r="H64" s="402">
        <f t="shared" si="52"/>
        <v>1.0323127837537507E-9</v>
      </c>
      <c r="I64" s="116">
        <f t="shared" si="61"/>
        <v>1.1091442375279679E-9</v>
      </c>
      <c r="J64" s="116">
        <f t="shared" si="61"/>
        <v>1.1916939894594497E-9</v>
      </c>
      <c r="K64" s="116">
        <f t="shared" si="61"/>
        <v>1.2803876326120922E-9</v>
      </c>
      <c r="L64" s="116">
        <f t="shared" si="61"/>
        <v>1.3756824354628352E-9</v>
      </c>
      <c r="M64" s="116">
        <f t="shared" si="61"/>
        <v>1.4780696993926E-9</v>
      </c>
      <c r="N64" s="179">
        <f t="shared" si="61"/>
        <v>1.5880772916370869E-9</v>
      </c>
      <c r="O64" s="116">
        <f t="shared" ref="O64:W64" si="62">N64*$X77</f>
        <v>1.6344269297075396E-9</v>
      </c>
      <c r="P64" s="116">
        <f t="shared" si="62"/>
        <v>1.6821293287302302E-9</v>
      </c>
      <c r="Q64" s="116">
        <f t="shared" si="62"/>
        <v>1.7312239703984374E-9</v>
      </c>
      <c r="R64" s="116">
        <f t="shared" si="62"/>
        <v>1.7817514887184948E-9</v>
      </c>
      <c r="S64" s="116">
        <f t="shared" si="62"/>
        <v>1.8337537036412085E-9</v>
      </c>
      <c r="T64" s="116">
        <f t="shared" si="62"/>
        <v>1.8872736556748438E-9</v>
      </c>
      <c r="U64" s="116">
        <f t="shared" si="62"/>
        <v>1.9423556415083265E-9</v>
      </c>
      <c r="V64" s="116">
        <f t="shared" si="62"/>
        <v>1.999045250674142E-9</v>
      </c>
      <c r="W64" s="116">
        <f t="shared" si="62"/>
        <v>2.0573894032812798E-9</v>
      </c>
      <c r="X64" s="179">
        <f t="shared" si="46"/>
        <v>2.1174363888494496E-9</v>
      </c>
      <c r="Y64" s="174">
        <f t="shared" si="54"/>
        <v>2.1652167275305898E-9</v>
      </c>
      <c r="Z64" s="174">
        <f t="shared" si="54"/>
        <v>2.2140752382770193E-9</v>
      </c>
      <c r="AA64" s="174">
        <f t="shared" si="54"/>
        <v>2.2640362502382264E-9</v>
      </c>
      <c r="AB64" s="174">
        <f t="shared" si="54"/>
        <v>2.3151246415553987E-9</v>
      </c>
      <c r="AC64" s="174">
        <f t="shared" si="54"/>
        <v>2.3673658517495223E-9</v>
      </c>
      <c r="AD64" s="174">
        <f t="shared" si="54"/>
        <v>2.4207858943890186E-9</v>
      </c>
      <c r="AE64" s="174">
        <f t="shared" si="54"/>
        <v>2.4754113700432288E-9</v>
      </c>
      <c r="AF64" s="174">
        <f t="shared" si="54"/>
        <v>2.5312694795281984E-9</v>
      </c>
      <c r="AG64" s="174">
        <f t="shared" si="54"/>
        <v>2.5883880374513523E-9</v>
      </c>
      <c r="AH64" s="179">
        <f t="shared" si="48"/>
        <v>2.6467954860618117E-9</v>
      </c>
      <c r="AI64" s="128"/>
    </row>
    <row r="65" spans="1:35">
      <c r="A65" s="9" t="s">
        <v>119</v>
      </c>
      <c r="B65" s="37"/>
      <c r="C65" s="341">
        <f t="shared" si="49"/>
        <v>0</v>
      </c>
      <c r="D65" s="341">
        <v>0</v>
      </c>
      <c r="E65" s="341">
        <v>0</v>
      </c>
      <c r="F65" s="341">
        <v>0</v>
      </c>
      <c r="G65" s="341">
        <v>0</v>
      </c>
      <c r="H65" s="402">
        <f t="shared" si="52"/>
        <v>1.0323127837537506E-5</v>
      </c>
      <c r="I65" s="174">
        <v>0</v>
      </c>
      <c r="J65" s="174">
        <v>0</v>
      </c>
      <c r="K65" s="174">
        <v>0</v>
      </c>
      <c r="L65" s="174">
        <v>0</v>
      </c>
      <c r="M65" s="174">
        <v>0</v>
      </c>
      <c r="N65" s="179">
        <v>0</v>
      </c>
      <c r="O65" s="116">
        <f t="shared" ref="O65:AG65" si="63">O41/O$49</f>
        <v>8.2201851393253066E-5</v>
      </c>
      <c r="P65" s="116">
        <f t="shared" si="63"/>
        <v>9.0994941419327154E-5</v>
      </c>
      <c r="Q65" s="116">
        <f t="shared" si="63"/>
        <v>1.0094475814261806E-4</v>
      </c>
      <c r="R65" s="116">
        <f t="shared" si="63"/>
        <v>1.1001174375364569E-4</v>
      </c>
      <c r="S65" s="116">
        <f t="shared" si="63"/>
        <v>1.1889314641943628E-4</v>
      </c>
      <c r="T65" s="116">
        <f t="shared" si="63"/>
        <v>1.2663699873508147E-4</v>
      </c>
      <c r="U65" s="116">
        <f t="shared" si="63"/>
        <v>1.3513054513138691E-4</v>
      </c>
      <c r="V65" s="116">
        <f t="shared" si="63"/>
        <v>1.4234795608406123E-4</v>
      </c>
      <c r="W65" s="116">
        <f t="shared" si="63"/>
        <v>1.5103461115757049E-4</v>
      </c>
      <c r="X65" s="179">
        <f t="shared" si="46"/>
        <v>1.5980689160827784E-4</v>
      </c>
      <c r="Y65" s="174">
        <f t="shared" si="63"/>
        <v>1.6872099000752748E-4</v>
      </c>
      <c r="Z65" s="174">
        <f t="shared" si="63"/>
        <v>1.812943158449648E-4</v>
      </c>
      <c r="AA65" s="174">
        <f t="shared" si="63"/>
        <v>1.9035151386035507E-4</v>
      </c>
      <c r="AB65" s="174">
        <f t="shared" si="63"/>
        <v>2.0039939790859751E-4</v>
      </c>
      <c r="AC65" s="174">
        <f t="shared" si="63"/>
        <v>2.0928702019595009E-4</v>
      </c>
      <c r="AD65" s="174">
        <f t="shared" si="63"/>
        <v>2.1830075188283924E-4</v>
      </c>
      <c r="AE65" s="174">
        <f t="shared" si="63"/>
        <v>2.2864258867767042E-4</v>
      </c>
      <c r="AF65" s="174">
        <f t="shared" si="63"/>
        <v>2.3477963095496933E-4</v>
      </c>
      <c r="AG65" s="174">
        <f t="shared" si="63"/>
        <v>2.4380581324579727E-4</v>
      </c>
      <c r="AH65" s="179">
        <f t="shared" si="48"/>
        <v>2.5120173280816045E-4</v>
      </c>
      <c r="AI65" s="128"/>
    </row>
    <row r="66" spans="1:35">
      <c r="A66" s="9" t="s">
        <v>53</v>
      </c>
      <c r="B66" s="37"/>
      <c r="C66" s="341">
        <f>C42/C$49</f>
        <v>2.9453056736404963E-3</v>
      </c>
      <c r="D66" s="341">
        <f t="shared" ref="D66:N66" si="64">C66*($N79)</f>
        <v>3.78344121977043E-3</v>
      </c>
      <c r="E66" s="341">
        <f t="shared" si="64"/>
        <v>4.8600821271514568E-3</v>
      </c>
      <c r="F66" s="341">
        <f t="shared" si="64"/>
        <v>6.2430990494125507E-3</v>
      </c>
      <c r="G66" s="341">
        <f t="shared" si="64"/>
        <v>8.0196763595886573E-3</v>
      </c>
      <c r="H66" s="402">
        <f t="shared" si="52"/>
        <v>2.6156029018931739E-2</v>
      </c>
      <c r="I66" s="116">
        <f t="shared" si="64"/>
        <v>3.3599160596944164E-2</v>
      </c>
      <c r="J66" s="116">
        <f t="shared" si="64"/>
        <v>4.3160358630973561E-2</v>
      </c>
      <c r="K66" s="116">
        <f t="shared" si="64"/>
        <v>5.544235403677545E-2</v>
      </c>
      <c r="L66" s="116">
        <f t="shared" si="64"/>
        <v>7.1219394802091218E-2</v>
      </c>
      <c r="M66" s="116">
        <f t="shared" si="64"/>
        <v>9.148605401227547E-2</v>
      </c>
      <c r="N66" s="179">
        <f t="shared" si="64"/>
        <v>0.11751992700857974</v>
      </c>
      <c r="O66" s="116">
        <f t="shared" ref="O66:W66" si="65">N66*$X79</f>
        <v>0.12094986465179017</v>
      </c>
      <c r="P66" s="116">
        <f t="shared" si="65"/>
        <v>0.1244799084858039</v>
      </c>
      <c r="Q66" s="116">
        <f t="shared" si="65"/>
        <v>0.12811298021080317</v>
      </c>
      <c r="R66" s="116">
        <f t="shared" si="65"/>
        <v>0.13185208679973787</v>
      </c>
      <c r="S66" s="116">
        <f t="shared" si="65"/>
        <v>0.13570032298709742</v>
      </c>
      <c r="T66" s="116">
        <f t="shared" si="65"/>
        <v>0.13966087383031975</v>
      </c>
      <c r="U66" s="116">
        <f t="shared" si="65"/>
        <v>0.14373701734595776</v>
      </c>
      <c r="V66" s="116">
        <f t="shared" si="65"/>
        <v>0.14793212722278484</v>
      </c>
      <c r="W66" s="116">
        <f t="shared" si="65"/>
        <v>0.15224967561408514</v>
      </c>
      <c r="X66" s="179">
        <f t="shared" si="46"/>
        <v>0.15669323601143972</v>
      </c>
      <c r="Y66" s="174">
        <f t="shared" si="54"/>
        <v>0.16022904748851488</v>
      </c>
      <c r="Z66" s="174">
        <f t="shared" si="54"/>
        <v>0.16384464519708061</v>
      </c>
      <c r="AA66" s="174">
        <f t="shared" si="54"/>
        <v>0.16754182952801655</v>
      </c>
      <c r="AB66" s="174">
        <f t="shared" si="54"/>
        <v>0.17132244149835124</v>
      </c>
      <c r="AC66" s="174">
        <f t="shared" si="54"/>
        <v>0.17518836366799856</v>
      </c>
      <c r="AD66" s="174">
        <f t="shared" si="54"/>
        <v>0.17914152107718054</v>
      </c>
      <c r="AE66" s="174">
        <f t="shared" si="54"/>
        <v>0.18318388220500326</v>
      </c>
      <c r="AF66" s="174">
        <f t="shared" si="54"/>
        <v>0.18731745994966317</v>
      </c>
      <c r="AG66" s="174">
        <f t="shared" si="54"/>
        <v>0.19154431263077207</v>
      </c>
      <c r="AH66" s="179">
        <f t="shared" si="48"/>
        <v>0.19586654501429965</v>
      </c>
      <c r="AI66" s="128"/>
    </row>
    <row r="67" spans="1:35" s="1" customFormat="1">
      <c r="A67" s="11" t="s">
        <v>537</v>
      </c>
      <c r="B67" s="36"/>
      <c r="C67" s="345">
        <f t="shared" ref="C67:AG67" si="66">SUM(C58:C66)</f>
        <v>2.5703683595629169E-2</v>
      </c>
      <c r="D67" s="345">
        <f t="shared" si="66"/>
        <v>2.8517761299087518E-2</v>
      </c>
      <c r="E67" s="345">
        <f t="shared" si="66"/>
        <v>3.1743826819453924E-2</v>
      </c>
      <c r="F67" s="345">
        <f t="shared" si="66"/>
        <v>3.5465136925121141E-2</v>
      </c>
      <c r="G67" s="345">
        <f t="shared" si="66"/>
        <v>3.9785639001216372E-2</v>
      </c>
      <c r="H67" s="409">
        <f t="shared" si="66"/>
        <v>4.6187409262932286E-2</v>
      </c>
      <c r="I67" s="85">
        <f t="shared" si="66"/>
        <v>5.5296951115896088E-2</v>
      </c>
      <c r="J67" s="85">
        <f t="shared" si="66"/>
        <v>6.6677294537199339E-2</v>
      </c>
      <c r="K67" s="85">
        <f t="shared" si="66"/>
        <v>8.0933129767951986E-2</v>
      </c>
      <c r="L67" s="85">
        <f t="shared" si="66"/>
        <v>9.8852066705080968E-2</v>
      </c>
      <c r="M67" s="85">
        <f t="shared" si="66"/>
        <v>0.12144321738346799</v>
      </c>
      <c r="N67" s="184">
        <f>SUM(N58:N66)</f>
        <v>0.14999999999999997</v>
      </c>
      <c r="O67" s="85">
        <f t="shared" si="66"/>
        <v>0.15446010319610731</v>
      </c>
      <c r="P67" s="85">
        <f t="shared" si="66"/>
        <v>0.15897457109874114</v>
      </c>
      <c r="Q67" s="85">
        <f t="shared" si="66"/>
        <v>0.16362169839354526</v>
      </c>
      <c r="R67" s="85">
        <f t="shared" si="66"/>
        <v>0.16840328356068357</v>
      </c>
      <c r="S67" s="85">
        <f t="shared" si="66"/>
        <v>0.17332397390330717</v>
      </c>
      <c r="T67" s="85">
        <f t="shared" si="66"/>
        <v>0.17838688279533543</v>
      </c>
      <c r="U67" s="85">
        <f t="shared" si="66"/>
        <v>0.18359808147361173</v>
      </c>
      <c r="V67" s="85">
        <f t="shared" si="66"/>
        <v>0.18895985021506451</v>
      </c>
      <c r="W67" s="85">
        <f t="shared" si="66"/>
        <v>0.19447936618377232</v>
      </c>
      <c r="X67" s="184">
        <f t="shared" si="66"/>
        <v>0.20015980689160831</v>
      </c>
      <c r="Y67" s="85">
        <f t="shared" si="66"/>
        <v>0.20468175750272213</v>
      </c>
      <c r="Z67" s="85">
        <f t="shared" si="66"/>
        <v>0.20930920483409962</v>
      </c>
      <c r="AA67" s="85">
        <f t="shared" si="66"/>
        <v>0.21403727151209798</v>
      </c>
      <c r="AB67" s="85">
        <f t="shared" si="66"/>
        <v>0.21887281418656418</v>
      </c>
      <c r="AC67" s="85">
        <f t="shared" si="66"/>
        <v>0.22381608477017487</v>
      </c>
      <c r="AD67" s="85">
        <f t="shared" si="66"/>
        <v>0.22887082671554596</v>
      </c>
      <c r="AE67" s="85">
        <f t="shared" si="66"/>
        <v>0.23404075454433293</v>
      </c>
      <c r="AF67" s="85">
        <f t="shared" si="66"/>
        <v>0.23932290457846411</v>
      </c>
      <c r="AG67" s="85">
        <f t="shared" si="66"/>
        <v>0.24472699794897781</v>
      </c>
      <c r="AH67" s="184">
        <f>SUM(AH58:AH66)</f>
        <v>0.25025120173280818</v>
      </c>
      <c r="AI67" s="197"/>
    </row>
    <row r="68" spans="1:35" s="253" customFormat="1">
      <c r="A68" s="10" t="s">
        <v>545</v>
      </c>
      <c r="B68" s="37"/>
      <c r="C68" s="337"/>
      <c r="D68" s="337">
        <f>D67/C67-1</f>
        <v>0.10948149486001579</v>
      </c>
      <c r="E68" s="337">
        <f t="shared" ref="E68:W68" si="67">E67/D67-1</f>
        <v>0.11312478165912809</v>
      </c>
      <c r="F68" s="337">
        <f t="shared" si="67"/>
        <v>0.11722941051917046</v>
      </c>
      <c r="G68" s="337">
        <f t="shared" si="67"/>
        <v>0.12182392204539538</v>
      </c>
      <c r="H68" s="285"/>
      <c r="I68" s="285">
        <f t="shared" si="67"/>
        <v>0.19722998103456457</v>
      </c>
      <c r="J68" s="285">
        <f t="shared" si="67"/>
        <v>0.20580417530527773</v>
      </c>
      <c r="K68" s="285">
        <f t="shared" si="67"/>
        <v>0.21380344433140275</v>
      </c>
      <c r="L68" s="285">
        <f t="shared" si="67"/>
        <v>0.22140422579116104</v>
      </c>
      <c r="M68" s="285">
        <f t="shared" si="67"/>
        <v>0.22853493539782344</v>
      </c>
      <c r="N68" s="284">
        <f t="shared" si="67"/>
        <v>0.23514514216435289</v>
      </c>
      <c r="O68" s="285">
        <f t="shared" si="67"/>
        <v>2.973402130738223E-2</v>
      </c>
      <c r="P68" s="285">
        <f t="shared" si="67"/>
        <v>2.9227404418486813E-2</v>
      </c>
      <c r="Q68" s="285">
        <f t="shared" si="67"/>
        <v>2.9231890752626999E-2</v>
      </c>
      <c r="R68" s="285">
        <f t="shared" si="67"/>
        <v>2.9223417273408048E-2</v>
      </c>
      <c r="S68" s="285">
        <f t="shared" si="67"/>
        <v>2.9219681698489319E-2</v>
      </c>
      <c r="T68" s="285">
        <f t="shared" si="67"/>
        <v>2.9210667041668081E-2</v>
      </c>
      <c r="U68" s="285">
        <f t="shared" si="67"/>
        <v>2.9212902858194667E-2</v>
      </c>
      <c r="V68" s="285">
        <f t="shared" si="67"/>
        <v>2.9203838615401878E-2</v>
      </c>
      <c r="W68" s="285">
        <f t="shared" si="67"/>
        <v>2.9209993352692587E-2</v>
      </c>
      <c r="X68" s="285">
        <f>X67/W67-1</f>
        <v>2.9208449303913753E-2</v>
      </c>
      <c r="Y68" s="290">
        <f t="shared" ref="Y68:AG68" si="68">Y67/X67-1</f>
        <v>2.2591701507598705E-2</v>
      </c>
      <c r="Z68" s="290">
        <f t="shared" si="68"/>
        <v>2.260801054200412E-2</v>
      </c>
      <c r="AA68" s="290">
        <f t="shared" si="68"/>
        <v>2.2588909464090978E-2</v>
      </c>
      <c r="AB68" s="290">
        <f t="shared" si="68"/>
        <v>2.2592059038618828E-2</v>
      </c>
      <c r="AC68" s="290">
        <f t="shared" si="68"/>
        <v>2.2585128271787713E-2</v>
      </c>
      <c r="AD68" s="290">
        <f t="shared" si="68"/>
        <v>2.2584355143918877E-2</v>
      </c>
      <c r="AE68" s="290">
        <f t="shared" si="68"/>
        <v>2.258884586986909E-2</v>
      </c>
      <c r="AF68" s="290">
        <f t="shared" si="68"/>
        <v>2.2569359957906876E-2</v>
      </c>
      <c r="AG68" s="290">
        <f t="shared" si="68"/>
        <v>2.2580761252385395E-2</v>
      </c>
      <c r="AH68" s="284">
        <f>AH67/AG67-1</f>
        <v>2.2572923421314117E-2</v>
      </c>
      <c r="AI68" s="297"/>
    </row>
    <row r="69" spans="1:35">
      <c r="A69" s="10"/>
      <c r="B69" s="37"/>
      <c r="C69" s="337"/>
      <c r="D69" s="337"/>
      <c r="E69" s="337"/>
      <c r="F69" s="337"/>
      <c r="G69" s="337"/>
      <c r="H69" s="285"/>
      <c r="I69" s="165"/>
      <c r="J69" s="165"/>
      <c r="K69" s="165"/>
      <c r="L69" s="165"/>
      <c r="M69" s="165"/>
      <c r="N69" s="186"/>
      <c r="O69" s="165"/>
      <c r="P69" s="165"/>
      <c r="Q69" s="165"/>
      <c r="R69" s="165"/>
      <c r="S69" s="165"/>
      <c r="T69" s="165"/>
      <c r="U69" s="165"/>
      <c r="V69" s="165"/>
      <c r="W69" s="165"/>
      <c r="X69" s="186"/>
      <c r="Y69" s="20"/>
      <c r="Z69" s="20"/>
      <c r="AA69" s="20"/>
      <c r="AB69" s="20"/>
      <c r="AC69" s="20"/>
      <c r="AD69" s="20"/>
      <c r="AE69" s="20"/>
      <c r="AF69" s="20"/>
      <c r="AG69" s="20"/>
      <c r="AH69" s="280"/>
      <c r="AI69" s="128"/>
    </row>
    <row r="70" spans="1:35">
      <c r="A70" s="11" t="s">
        <v>542</v>
      </c>
      <c r="B70" s="37"/>
      <c r="C70" s="337"/>
      <c r="D70" s="337"/>
      <c r="E70" s="337"/>
      <c r="F70" s="337"/>
      <c r="G70" s="337"/>
      <c r="H70" s="285"/>
      <c r="I70" s="165"/>
      <c r="J70" s="165"/>
      <c r="K70" s="165"/>
      <c r="L70" s="165"/>
      <c r="M70" s="165"/>
      <c r="N70" s="200" t="s">
        <v>672</v>
      </c>
      <c r="O70" s="165"/>
      <c r="P70" s="165"/>
      <c r="Q70" s="165"/>
      <c r="R70" s="165"/>
      <c r="S70" s="165"/>
      <c r="T70" s="165"/>
      <c r="U70" s="165"/>
      <c r="V70" s="165"/>
      <c r="W70" s="165"/>
      <c r="X70" s="200" t="s">
        <v>543</v>
      </c>
      <c r="Y70" s="20"/>
      <c r="Z70" s="20"/>
      <c r="AA70" s="20"/>
      <c r="AB70" s="20"/>
      <c r="AC70" s="20"/>
      <c r="AD70" s="20"/>
      <c r="AE70" s="20"/>
      <c r="AF70" s="20"/>
      <c r="AG70" s="20"/>
      <c r="AH70" s="280" t="s">
        <v>669</v>
      </c>
      <c r="AI70" s="128"/>
    </row>
    <row r="71" spans="1:35">
      <c r="A71" s="9" t="s">
        <v>120</v>
      </c>
      <c r="B71" s="37"/>
      <c r="C71" s="337"/>
      <c r="D71" s="337"/>
      <c r="E71" s="337"/>
      <c r="F71" s="337"/>
      <c r="G71" s="337"/>
      <c r="H71" s="285"/>
      <c r="I71" s="165"/>
      <c r="J71" s="165"/>
      <c r="K71" s="401"/>
      <c r="L71" s="401"/>
      <c r="M71" s="165"/>
      <c r="N71" s="187">
        <f>(N86/H86)^(1/6)</f>
        <v>1.0936871422813954</v>
      </c>
      <c r="O71" s="165"/>
      <c r="P71" s="165"/>
      <c r="Q71" s="165"/>
      <c r="R71" s="165"/>
      <c r="S71" s="165"/>
      <c r="T71" s="165"/>
      <c r="U71" s="165"/>
      <c r="V71" s="165"/>
      <c r="W71" s="165"/>
      <c r="X71" s="187">
        <f>(X86/N86)^(1/10)</f>
        <v>1.0291860089647606</v>
      </c>
      <c r="Y71" s="20"/>
      <c r="Z71" s="20"/>
      <c r="AA71" s="20"/>
      <c r="AB71" s="20"/>
      <c r="AC71" s="20"/>
      <c r="AD71" s="20"/>
      <c r="AE71" s="20"/>
      <c r="AF71" s="20"/>
      <c r="AG71" s="20"/>
      <c r="AH71" s="187">
        <f>(AH86/X86)^(1/10)</f>
        <v>1.0225651825635729</v>
      </c>
      <c r="AI71" s="128"/>
    </row>
    <row r="72" spans="1:35">
      <c r="A72" s="9" t="s">
        <v>50</v>
      </c>
      <c r="B72" s="37"/>
      <c r="C72" s="337"/>
      <c r="D72" s="337"/>
      <c r="E72" s="337"/>
      <c r="F72" s="337"/>
      <c r="G72" s="337"/>
      <c r="H72" s="285"/>
      <c r="I72" s="165"/>
      <c r="J72" s="165"/>
      <c r="K72" s="401"/>
      <c r="L72" s="401"/>
      <c r="M72" s="165"/>
      <c r="N72" s="180">
        <f>(N87/H87)^(1/6)</f>
        <v>1.0744265255486216</v>
      </c>
      <c r="O72" s="165"/>
      <c r="P72" s="165"/>
      <c r="Q72" s="165"/>
      <c r="R72" s="165"/>
      <c r="S72" s="165"/>
      <c r="T72" s="165"/>
      <c r="U72" s="165"/>
      <c r="V72" s="165"/>
      <c r="W72" s="165"/>
      <c r="X72" s="187">
        <f>(X87/N87)^(1/10)</f>
        <v>1.0291860089647606</v>
      </c>
      <c r="Y72" s="20"/>
      <c r="Z72" s="20"/>
      <c r="AA72" s="20"/>
      <c r="AB72" s="20"/>
      <c r="AC72" s="20"/>
      <c r="AD72" s="20"/>
      <c r="AE72" s="20"/>
      <c r="AF72" s="20"/>
      <c r="AG72" s="20"/>
      <c r="AH72" s="187">
        <f>(AH87/X87)^(1/10)</f>
        <v>1.0225651825635729</v>
      </c>
      <c r="AI72" s="128"/>
    </row>
    <row r="73" spans="1:35">
      <c r="A73" s="9" t="s">
        <v>118</v>
      </c>
      <c r="B73" s="37"/>
      <c r="C73" s="337"/>
      <c r="D73" s="337"/>
      <c r="E73" s="337"/>
      <c r="F73" s="337"/>
      <c r="G73" s="337"/>
      <c r="H73" s="285"/>
      <c r="I73" s="165"/>
      <c r="J73" s="165"/>
      <c r="K73" s="401"/>
      <c r="L73" s="401"/>
      <c r="M73" s="165"/>
      <c r="N73" s="187"/>
      <c r="O73" s="165"/>
      <c r="P73" s="165"/>
      <c r="Q73" s="165"/>
      <c r="R73" s="165"/>
      <c r="S73" s="165"/>
      <c r="T73" s="165"/>
      <c r="U73" s="165"/>
      <c r="V73" s="165"/>
      <c r="W73" s="165"/>
      <c r="X73" s="187"/>
      <c r="AH73" s="187"/>
      <c r="AI73" s="128"/>
    </row>
    <row r="74" spans="1:35">
      <c r="A74" s="9" t="s">
        <v>51</v>
      </c>
      <c r="B74" s="37"/>
      <c r="C74" s="337"/>
      <c r="D74" s="337"/>
      <c r="E74" s="337"/>
      <c r="F74" s="337"/>
      <c r="G74" s="337"/>
      <c r="H74" s="285"/>
      <c r="I74" s="165"/>
      <c r="J74" s="165"/>
      <c r="K74" s="401"/>
      <c r="L74" s="401"/>
      <c r="M74" s="165"/>
      <c r="N74" s="180">
        <f>(N89/H89)^(1/6)</f>
        <v>1.0744944938079553</v>
      </c>
      <c r="O74" s="165"/>
      <c r="P74" s="165"/>
      <c r="Q74" s="165"/>
      <c r="R74" s="165"/>
      <c r="S74" s="165"/>
      <c r="T74" s="165"/>
      <c r="U74" s="165"/>
      <c r="V74" s="165"/>
      <c r="W74" s="165"/>
      <c r="X74" s="187">
        <f>(X89/N89)^(1/10)</f>
        <v>1.0291860089647606</v>
      </c>
      <c r="AH74" s="187">
        <f>(AH89/X89)^(1/10)</f>
        <v>1.0225651825635729</v>
      </c>
      <c r="AI74" s="128"/>
    </row>
    <row r="75" spans="1:35">
      <c r="A75" s="9" t="s">
        <v>343</v>
      </c>
      <c r="B75" s="37"/>
      <c r="C75" s="337"/>
      <c r="D75" s="337"/>
      <c r="E75" s="337"/>
      <c r="F75" s="337"/>
      <c r="G75" s="337"/>
      <c r="H75" s="285"/>
      <c r="I75" s="165"/>
      <c r="J75" s="165"/>
      <c r="K75" s="401"/>
      <c r="L75" s="401"/>
      <c r="M75" s="165"/>
      <c r="N75" s="180">
        <f>(N90/H90)^(1/6)</f>
        <v>1.2289717126387227</v>
      </c>
      <c r="O75" s="165"/>
      <c r="P75" s="165"/>
      <c r="Q75" s="165"/>
      <c r="R75" s="165"/>
      <c r="S75" s="165"/>
      <c r="T75" s="165"/>
      <c r="U75" s="165"/>
      <c r="V75" s="165"/>
      <c r="W75" s="165"/>
      <c r="X75" s="187">
        <f>(X90/N90)^(1/10)</f>
        <v>1.0291860089647606</v>
      </c>
      <c r="AH75" s="187">
        <f>(AH90/X90)^(1/10)</f>
        <v>1.0225651825635729</v>
      </c>
      <c r="AI75" s="128"/>
    </row>
    <row r="76" spans="1:35">
      <c r="A76" s="9" t="s">
        <v>344</v>
      </c>
      <c r="B76" s="37"/>
      <c r="C76" s="337"/>
      <c r="D76" s="337"/>
      <c r="E76" s="337"/>
      <c r="F76" s="337"/>
      <c r="G76" s="337"/>
      <c r="H76" s="285"/>
      <c r="I76" s="165"/>
      <c r="J76" s="165"/>
      <c r="K76" s="401"/>
      <c r="L76" s="401"/>
      <c r="M76" s="165"/>
      <c r="N76" s="180">
        <f>(N91/H91)^(1/6)</f>
        <v>1.0744265255486216</v>
      </c>
      <c r="O76" s="165"/>
      <c r="P76" s="165"/>
      <c r="Q76" s="165"/>
      <c r="R76" s="165"/>
      <c r="S76" s="165"/>
      <c r="T76" s="165"/>
      <c r="U76" s="165"/>
      <c r="V76" s="165"/>
      <c r="W76" s="165"/>
      <c r="X76" s="187">
        <f>(X91/N91)^(1/10)</f>
        <v>1.0291860089647606</v>
      </c>
      <c r="AH76" s="187">
        <f>(AH91/X91)^(1/10)</f>
        <v>1.0225651825635729</v>
      </c>
      <c r="AI76" s="128"/>
    </row>
    <row r="77" spans="1:35">
      <c r="A77" s="9" t="s">
        <v>340</v>
      </c>
      <c r="B77" s="37"/>
      <c r="C77" s="337"/>
      <c r="D77" s="337"/>
      <c r="E77" s="337"/>
      <c r="F77" s="337"/>
      <c r="G77" s="337"/>
      <c r="H77" s="285"/>
      <c r="I77" s="165"/>
      <c r="J77" s="165"/>
      <c r="K77" s="401"/>
      <c r="L77" s="401"/>
      <c r="M77" s="165"/>
      <c r="N77" s="180">
        <f>(N92/H92)^(1/6)</f>
        <v>1.0744265255486216</v>
      </c>
      <c r="O77" s="165"/>
      <c r="P77" s="165"/>
      <c r="Q77" s="165"/>
      <c r="R77" s="165"/>
      <c r="S77" s="165"/>
      <c r="T77" s="165"/>
      <c r="U77" s="165"/>
      <c r="V77" s="165"/>
      <c r="W77" s="165"/>
      <c r="X77" s="187">
        <f>(X92/N92)^(1/10)</f>
        <v>1.0291860089647606</v>
      </c>
      <c r="AH77" s="187">
        <f>(AH92/X92)^(1/10)</f>
        <v>1.0225651825635729</v>
      </c>
      <c r="AI77" s="128"/>
    </row>
    <row r="78" spans="1:35">
      <c r="A78" s="9" t="s">
        <v>119</v>
      </c>
      <c r="B78" s="37"/>
      <c r="C78" s="337"/>
      <c r="D78" s="337"/>
      <c r="E78" s="337"/>
      <c r="F78" s="337"/>
      <c r="G78" s="337"/>
      <c r="H78" s="285"/>
      <c r="I78" s="165"/>
      <c r="J78" s="165"/>
      <c r="K78" s="401"/>
      <c r="L78" s="401"/>
      <c r="M78" s="165"/>
      <c r="N78" s="187"/>
      <c r="O78" s="165"/>
      <c r="P78" s="165"/>
      <c r="Q78" s="165"/>
      <c r="R78" s="165"/>
      <c r="S78" s="165"/>
      <c r="T78" s="165"/>
      <c r="U78" s="165"/>
      <c r="V78" s="165"/>
      <c r="W78" s="165"/>
      <c r="X78" s="187" t="s">
        <v>0</v>
      </c>
      <c r="AH78" s="187" t="s">
        <v>0</v>
      </c>
      <c r="AI78" s="128"/>
    </row>
    <row r="79" spans="1:35">
      <c r="A79" s="9" t="s">
        <v>53</v>
      </c>
      <c r="B79" s="37"/>
      <c r="C79" s="337"/>
      <c r="D79" s="337"/>
      <c r="E79" s="337"/>
      <c r="F79" s="337"/>
      <c r="G79" s="337"/>
      <c r="H79" s="285"/>
      <c r="I79" s="165"/>
      <c r="J79" s="165"/>
      <c r="K79" s="401"/>
      <c r="L79" s="401"/>
      <c r="M79" s="165"/>
      <c r="N79" s="180">
        <f>(N94/H94)^(1/6)</f>
        <v>1.2845665744071888</v>
      </c>
      <c r="O79" s="165"/>
      <c r="P79" s="165"/>
      <c r="Q79" s="165"/>
      <c r="R79" s="165"/>
      <c r="S79" s="165"/>
      <c r="T79" s="165"/>
      <c r="U79" s="165"/>
      <c r="V79" s="165"/>
      <c r="W79" s="165"/>
      <c r="X79" s="187">
        <f>(X94/N94)^(1/10)</f>
        <v>1.0291860089647606</v>
      </c>
      <c r="AH79" s="187">
        <f>(AH94/X94)^(1/10)</f>
        <v>1.0225651825635729</v>
      </c>
      <c r="AI79" s="128"/>
    </row>
    <row r="80" spans="1:35">
      <c r="A80" s="10"/>
      <c r="B80" s="37"/>
      <c r="C80" s="337"/>
      <c r="D80" s="337"/>
      <c r="E80" s="337"/>
      <c r="F80" s="337"/>
      <c r="G80" s="337"/>
      <c r="H80" s="285"/>
      <c r="I80" s="165"/>
      <c r="J80" s="165"/>
      <c r="K80" s="165"/>
      <c r="L80" s="165"/>
      <c r="M80" s="165"/>
      <c r="N80" s="181"/>
      <c r="O80" s="165"/>
      <c r="P80" s="165"/>
      <c r="Q80" s="165"/>
      <c r="R80" s="165"/>
      <c r="S80" s="165"/>
      <c r="T80" s="165"/>
      <c r="U80" s="165"/>
      <c r="V80" s="165"/>
      <c r="W80" s="165"/>
      <c r="X80" s="186"/>
      <c r="AI80" s="128"/>
    </row>
    <row r="81" spans="1:35">
      <c r="A81" s="1" t="s">
        <v>544</v>
      </c>
      <c r="B81" s="37"/>
      <c r="C81" s="337"/>
      <c r="D81" s="337"/>
      <c r="E81" s="337"/>
      <c r="F81" s="337"/>
      <c r="G81" s="337"/>
      <c r="H81" s="285"/>
      <c r="I81" s="165"/>
      <c r="J81" s="165"/>
      <c r="K81" s="165"/>
      <c r="L81" s="165"/>
      <c r="M81" s="165"/>
      <c r="N81" s="185" t="s">
        <v>0</v>
      </c>
      <c r="O81" s="165"/>
      <c r="P81" s="165"/>
      <c r="Q81" s="165"/>
      <c r="R81" s="165"/>
      <c r="S81" s="165"/>
      <c r="T81" s="165"/>
      <c r="U81" s="165"/>
      <c r="V81" s="165"/>
      <c r="W81" s="165"/>
      <c r="X81" s="186"/>
      <c r="AI81" s="128"/>
    </row>
    <row r="82" spans="1:35">
      <c r="A82" s="9" t="s">
        <v>280</v>
      </c>
      <c r="B82" s="37"/>
      <c r="C82" s="337"/>
      <c r="D82" s="337"/>
      <c r="E82" s="337"/>
      <c r="F82" s="337"/>
      <c r="G82" s="337"/>
      <c r="H82" s="285"/>
      <c r="I82" s="165"/>
      <c r="J82" s="165"/>
      <c r="K82" s="165"/>
      <c r="L82" s="165"/>
      <c r="M82" s="165"/>
      <c r="N82" s="186" t="s">
        <v>0</v>
      </c>
      <c r="O82" s="165"/>
      <c r="P82" s="165"/>
      <c r="Q82" s="165"/>
      <c r="R82" s="165"/>
      <c r="S82" s="165"/>
      <c r="T82" s="165"/>
      <c r="U82" s="165"/>
      <c r="V82" s="165"/>
      <c r="W82" s="165"/>
      <c r="X82" s="186"/>
      <c r="AI82" s="128"/>
    </row>
    <row r="83" spans="1:35">
      <c r="A83" s="20" t="s">
        <v>121</v>
      </c>
      <c r="B83" s="37"/>
      <c r="C83" s="337"/>
      <c r="D83" s="337"/>
      <c r="E83" s="337"/>
      <c r="F83" s="337"/>
      <c r="G83" s="337"/>
      <c r="H83" s="285"/>
      <c r="I83" s="165"/>
      <c r="J83" s="165"/>
      <c r="K83" s="165"/>
      <c r="L83" s="165"/>
      <c r="M83" s="165"/>
      <c r="N83" s="181"/>
      <c r="O83" s="165"/>
      <c r="P83" s="165"/>
      <c r="Q83" s="165"/>
      <c r="R83" s="165"/>
      <c r="S83" s="165"/>
      <c r="T83" s="165"/>
      <c r="U83" s="165"/>
      <c r="V83" s="165"/>
      <c r="W83" s="165"/>
      <c r="X83" s="186"/>
      <c r="AI83" s="128"/>
    </row>
    <row r="84" spans="1:35">
      <c r="A84" s="9" t="s">
        <v>49</v>
      </c>
      <c r="B84" s="37"/>
      <c r="C84" s="341">
        <f t="shared" ref="C84:AH84" si="69">C31/C$49</f>
        <v>1.3469863632347312E-2</v>
      </c>
      <c r="D84" s="341">
        <f t="shared" si="69"/>
        <v>1.2731401490533933E-2</v>
      </c>
      <c r="E84" s="341">
        <f t="shared" si="69"/>
        <v>1.1992939348720555E-2</v>
      </c>
      <c r="F84" s="341">
        <f t="shared" si="69"/>
        <v>1.1254477206907178E-2</v>
      </c>
      <c r="G84" s="341">
        <f t="shared" si="69"/>
        <v>1.05160150650938E-2</v>
      </c>
      <c r="H84" s="402">
        <f t="shared" si="69"/>
        <v>5.1553586866256093E-3</v>
      </c>
      <c r="I84" s="116">
        <f t="shared" si="69"/>
        <v>5.1872622509213659E-3</v>
      </c>
      <c r="J84" s="116">
        <f t="shared" si="69"/>
        <v>5.2191658152171234E-3</v>
      </c>
      <c r="K84" s="116">
        <f t="shared" si="69"/>
        <v>5.2510693795128792E-3</v>
      </c>
      <c r="L84" s="116">
        <f t="shared" si="69"/>
        <v>5.2829729438086358E-3</v>
      </c>
      <c r="M84" s="116">
        <f t="shared" si="69"/>
        <v>5.3148765081043924E-3</v>
      </c>
      <c r="N84" s="179">
        <f t="shared" si="69"/>
        <v>5.3467800724001499E-3</v>
      </c>
      <c r="O84" s="116">
        <f t="shared" si="69"/>
        <v>5.3066281574000521E-3</v>
      </c>
      <c r="P84" s="116">
        <f t="shared" si="69"/>
        <v>5.2664762423999542E-3</v>
      </c>
      <c r="Q84" s="116">
        <f t="shared" si="69"/>
        <v>5.2263243273998564E-3</v>
      </c>
      <c r="R84" s="116">
        <f t="shared" si="69"/>
        <v>5.1861724123997595E-3</v>
      </c>
      <c r="S84" s="116">
        <f t="shared" si="69"/>
        <v>5.1460204973996608E-3</v>
      </c>
      <c r="T84" s="116">
        <f t="shared" si="69"/>
        <v>5.105868582399563E-3</v>
      </c>
      <c r="U84" s="116">
        <f t="shared" si="69"/>
        <v>5.0657166673994652E-3</v>
      </c>
      <c r="V84" s="116">
        <f t="shared" si="69"/>
        <v>5.0255647523993674E-3</v>
      </c>
      <c r="W84" s="116">
        <f t="shared" si="69"/>
        <v>4.9854128373992695E-3</v>
      </c>
      <c r="X84" s="179">
        <f t="shared" si="69"/>
        <v>4.9452609223991735E-3</v>
      </c>
      <c r="Y84" s="174">
        <f t="shared" si="69"/>
        <v>4.9401771237017854E-3</v>
      </c>
      <c r="Z84" s="174">
        <f t="shared" si="69"/>
        <v>4.9350933250043973E-3</v>
      </c>
      <c r="AA84" s="174">
        <f t="shared" si="69"/>
        <v>4.9300095263070092E-3</v>
      </c>
      <c r="AB84" s="174">
        <f t="shared" si="69"/>
        <v>4.924925727609622E-3</v>
      </c>
      <c r="AC84" s="174">
        <f t="shared" si="69"/>
        <v>4.919841928912233E-3</v>
      </c>
      <c r="AD84" s="174">
        <f t="shared" si="69"/>
        <v>4.914758130214845E-3</v>
      </c>
      <c r="AE84" s="174">
        <f t="shared" si="69"/>
        <v>4.9096743315174569E-3</v>
      </c>
      <c r="AF84" s="174">
        <f t="shared" si="69"/>
        <v>4.9045905328200697E-3</v>
      </c>
      <c r="AG84" s="174">
        <f t="shared" si="69"/>
        <v>4.8995067341226807E-3</v>
      </c>
      <c r="AH84" s="179">
        <f t="shared" si="69"/>
        <v>4.8944229354252926E-3</v>
      </c>
      <c r="AI84" s="128"/>
    </row>
    <row r="85" spans="1:35">
      <c r="A85" s="9" t="s">
        <v>59</v>
      </c>
      <c r="B85" s="37"/>
      <c r="C85" s="341">
        <f t="shared" ref="C85:AH85" si="70">C32/C$49</f>
        <v>0.21452624758239497</v>
      </c>
      <c r="D85" s="341">
        <f t="shared" si="70"/>
        <v>0.20832535240198619</v>
      </c>
      <c r="E85" s="341">
        <f t="shared" si="70"/>
        <v>0.20212445722157746</v>
      </c>
      <c r="F85" s="341">
        <f t="shared" si="70"/>
        <v>0.19592356204116873</v>
      </c>
      <c r="G85" s="341">
        <f t="shared" si="70"/>
        <v>0.18972266686076</v>
      </c>
      <c r="H85" s="402">
        <f t="shared" si="70"/>
        <v>0.14020611053809151</v>
      </c>
      <c r="I85" s="116">
        <f t="shared" si="70"/>
        <v>0.14122449221472611</v>
      </c>
      <c r="J85" s="116">
        <f t="shared" si="70"/>
        <v>0.1422428738913607</v>
      </c>
      <c r="K85" s="116">
        <f t="shared" si="70"/>
        <v>0.14326125556799529</v>
      </c>
      <c r="L85" s="116">
        <f t="shared" si="70"/>
        <v>0.14427963724462989</v>
      </c>
      <c r="M85" s="116">
        <f t="shared" si="70"/>
        <v>0.14529801892126448</v>
      </c>
      <c r="N85" s="179">
        <f t="shared" si="70"/>
        <v>0.14631640059789905</v>
      </c>
      <c r="O85" s="116">
        <f t="shared" si="70"/>
        <v>0.14521763019770006</v>
      </c>
      <c r="P85" s="116">
        <f t="shared" si="70"/>
        <v>0.14411885979750108</v>
      </c>
      <c r="Q85" s="116">
        <f t="shared" si="70"/>
        <v>0.1430200893973021</v>
      </c>
      <c r="R85" s="116">
        <f t="shared" si="70"/>
        <v>0.14192131899710311</v>
      </c>
      <c r="S85" s="116">
        <f t="shared" si="70"/>
        <v>0.14082254859690413</v>
      </c>
      <c r="T85" s="116">
        <f t="shared" si="70"/>
        <v>0.13972377819670515</v>
      </c>
      <c r="U85" s="116">
        <f t="shared" si="70"/>
        <v>0.13862500779650616</v>
      </c>
      <c r="V85" s="116">
        <f t="shared" si="70"/>
        <v>0.13752623739630718</v>
      </c>
      <c r="W85" s="116">
        <f t="shared" si="70"/>
        <v>0.13642746699610819</v>
      </c>
      <c r="X85" s="179">
        <f t="shared" si="70"/>
        <v>0.13532869659590918</v>
      </c>
      <c r="Y85" s="174">
        <f t="shared" si="70"/>
        <v>0.13518957676739674</v>
      </c>
      <c r="Z85" s="174">
        <f t="shared" si="70"/>
        <v>0.13505045693888429</v>
      </c>
      <c r="AA85" s="174">
        <f t="shared" si="70"/>
        <v>0.13491133711037184</v>
      </c>
      <c r="AB85" s="174">
        <f t="shared" si="70"/>
        <v>0.1347722172818594</v>
      </c>
      <c r="AC85" s="174">
        <f t="shared" si="70"/>
        <v>0.13463309745334695</v>
      </c>
      <c r="AD85" s="174">
        <f t="shared" si="70"/>
        <v>0.1344939776248345</v>
      </c>
      <c r="AE85" s="174">
        <f t="shared" si="70"/>
        <v>0.13435485779632206</v>
      </c>
      <c r="AF85" s="174">
        <f t="shared" si="70"/>
        <v>0.13421573796780961</v>
      </c>
      <c r="AG85" s="174">
        <f t="shared" si="70"/>
        <v>0.13407661813929717</v>
      </c>
      <c r="AH85" s="179">
        <f t="shared" si="70"/>
        <v>0.13393749831078464</v>
      </c>
      <c r="AI85" s="128"/>
    </row>
    <row r="86" spans="1:35" s="253" customFormat="1">
      <c r="A86" s="10" t="s">
        <v>120</v>
      </c>
      <c r="B86" s="37"/>
      <c r="C86" s="416">
        <f t="shared" ref="C86:AH86" si="71">C34/C$49</f>
        <v>1.4618533826835664E-2</v>
      </c>
      <c r="D86" s="341">
        <f t="shared" si="71"/>
        <v>1.5988102485415809E-2</v>
      </c>
      <c r="E86" s="341">
        <f t="shared" si="71"/>
        <v>1.7485982117776491E-2</v>
      </c>
      <c r="F86" s="341">
        <f t="shared" si="71"/>
        <v>1.9124193812374551E-2</v>
      </c>
      <c r="G86" s="341">
        <f t="shared" si="71"/>
        <v>2.0915884879091465E-2</v>
      </c>
      <c r="H86" s="415">
        <f t="shared" si="71"/>
        <v>9.5969370866780916E-3</v>
      </c>
      <c r="I86" s="402">
        <f t="shared" si="71"/>
        <v>1.0496046696983303E-2</v>
      </c>
      <c r="J86" s="402">
        <f t="shared" si="71"/>
        <v>1.1479391317275748E-2</v>
      </c>
      <c r="K86" s="402">
        <f t="shared" si="71"/>
        <v>1.2554862684921175E-2</v>
      </c>
      <c r="L86" s="402">
        <f t="shared" si="71"/>
        <v>1.3731091891606767E-2</v>
      </c>
      <c r="M86" s="402">
        <f t="shared" si="71"/>
        <v>1.5017518651334645E-2</v>
      </c>
      <c r="N86" s="403">
        <f>N34/N$49</f>
        <v>1.6424467057935734E-2</v>
      </c>
      <c r="O86" s="402">
        <f t="shared" si="71"/>
        <v>1.6903831700730069E-2</v>
      </c>
      <c r="P86" s="402">
        <f t="shared" si="71"/>
        <v>1.7397187084286381E-2</v>
      </c>
      <c r="Q86" s="402">
        <f t="shared" si="71"/>
        <v>1.7904941542489981E-2</v>
      </c>
      <c r="R86" s="402">
        <f t="shared" si="71"/>
        <v>1.8427515326862608E-2</v>
      </c>
      <c r="S86" s="402">
        <f t="shared" si="71"/>
        <v>1.8965340954390685E-2</v>
      </c>
      <c r="T86" s="402">
        <f t="shared" si="71"/>
        <v>1.9518863565505275E-2</v>
      </c>
      <c r="U86" s="402">
        <f t="shared" si="71"/>
        <v>2.0088541292510052E-2</v>
      </c>
      <c r="V86" s="402">
        <f t="shared" si="71"/>
        <v>2.0674845638762214E-2</v>
      </c>
      <c r="W86" s="402">
        <f t="shared" si="71"/>
        <v>2.1278261868920172E-2</v>
      </c>
      <c r="X86" s="403">
        <f t="shared" si="71"/>
        <v>2.1899289410580988E-2</v>
      </c>
      <c r="Y86" s="402">
        <f>Y34/Y$49</f>
        <v>2.2393450874143267E-2</v>
      </c>
      <c r="Z86" s="402">
        <f t="shared" si="71"/>
        <v>2.2898763181346711E-2</v>
      </c>
      <c r="AA86" s="402">
        <f t="shared" si="71"/>
        <v>2.3415477953013821E-2</v>
      </c>
      <c r="AB86" s="402">
        <f t="shared" si="71"/>
        <v>2.3943852487836894E-2</v>
      </c>
      <c r="AC86" s="402">
        <f t="shared" si="71"/>
        <v>2.4484149890500191E-2</v>
      </c>
      <c r="AD86" s="402">
        <f t="shared" si="71"/>
        <v>2.5036639202693212E-2</v>
      </c>
      <c r="AE86" s="402">
        <f t="shared" si="71"/>
        <v>2.5601595537080291E-2</v>
      </c>
      <c r="AF86" s="402">
        <f t="shared" si="71"/>
        <v>2.6179300214293259E-2</v>
      </c>
      <c r="AG86" s="402">
        <f t="shared" si="71"/>
        <v>2.6770040903015373E-2</v>
      </c>
      <c r="AH86" s="403">
        <f t="shared" si="71"/>
        <v>2.7374111763226228E-2</v>
      </c>
      <c r="AI86" s="297"/>
    </row>
    <row r="87" spans="1:35">
      <c r="A87" s="9" t="s">
        <v>50</v>
      </c>
      <c r="B87" s="37"/>
      <c r="C87" s="416">
        <f t="shared" ref="C87:AH87" si="72">C35/C$49</f>
        <v>9.8176855788016553E-7</v>
      </c>
      <c r="D87" s="341">
        <f t="shared" si="72"/>
        <v>1.0548381805360671E-6</v>
      </c>
      <c r="E87" s="341">
        <f t="shared" si="72"/>
        <v>1.159459785424343E-6</v>
      </c>
      <c r="F87" s="341">
        <f t="shared" si="72"/>
        <v>1.2176971353839498E-6</v>
      </c>
      <c r="G87" s="341">
        <f t="shared" si="72"/>
        <v>1.3083261023410867E-6</v>
      </c>
      <c r="H87" s="415">
        <f t="shared" si="72"/>
        <v>1.0323127837537506E-6</v>
      </c>
      <c r="I87" s="116">
        <f t="shared" si="72"/>
        <v>1.1091442375279679E-6</v>
      </c>
      <c r="J87" s="116">
        <f>J35/J$49</f>
        <v>1.1916939894594496E-6</v>
      </c>
      <c r="K87" s="116">
        <f t="shared" si="72"/>
        <v>1.2803876326120921E-6</v>
      </c>
      <c r="L87" s="116">
        <f t="shared" si="72"/>
        <v>1.3756824354628355E-6</v>
      </c>
      <c r="M87" s="116">
        <f t="shared" si="72"/>
        <v>1.4780696993925999E-6</v>
      </c>
      <c r="N87" s="179">
        <f t="shared" si="72"/>
        <v>1.5880772916370863E-6</v>
      </c>
      <c r="O87" s="116">
        <f t="shared" si="72"/>
        <v>1.6344269297075395E-6</v>
      </c>
      <c r="P87" s="116">
        <f t="shared" si="72"/>
        <v>1.6821293287302299E-6</v>
      </c>
      <c r="Q87" s="116">
        <f t="shared" si="72"/>
        <v>1.7312239703984375E-6</v>
      </c>
      <c r="R87" s="116">
        <f t="shared" si="72"/>
        <v>1.7817514887184947E-6</v>
      </c>
      <c r="S87" s="116">
        <f t="shared" si="72"/>
        <v>1.8337537036412082E-6</v>
      </c>
      <c r="T87" s="116">
        <f t="shared" si="72"/>
        <v>1.8872736556748436E-6</v>
      </c>
      <c r="U87" s="116">
        <f t="shared" si="72"/>
        <v>1.9423556415083262E-6</v>
      </c>
      <c r="V87" s="116">
        <f t="shared" si="72"/>
        <v>1.9990452506741415E-6</v>
      </c>
      <c r="W87" s="116">
        <f t="shared" si="72"/>
        <v>2.0573894032812791E-6</v>
      </c>
      <c r="X87" s="179">
        <f t="shared" si="72"/>
        <v>2.1174363888494492E-6</v>
      </c>
      <c r="Y87" s="174">
        <f t="shared" si="72"/>
        <v>2.1652167275305893E-6</v>
      </c>
      <c r="Z87" s="174">
        <f t="shared" si="72"/>
        <v>2.214075238277019E-6</v>
      </c>
      <c r="AA87" s="174">
        <f t="shared" si="72"/>
        <v>2.2640362502382262E-6</v>
      </c>
      <c r="AB87" s="174">
        <f t="shared" si="72"/>
        <v>2.3151246415553987E-6</v>
      </c>
      <c r="AC87" s="174">
        <f t="shared" si="72"/>
        <v>2.3673658517495224E-6</v>
      </c>
      <c r="AD87" s="174">
        <f t="shared" si="72"/>
        <v>2.4207858943890186E-6</v>
      </c>
      <c r="AE87" s="174">
        <f t="shared" si="72"/>
        <v>2.4754113700432288E-6</v>
      </c>
      <c r="AF87" s="174">
        <f t="shared" si="72"/>
        <v>2.531269479528198E-6</v>
      </c>
      <c r="AG87" s="174">
        <f t="shared" si="72"/>
        <v>2.5883880374513519E-6</v>
      </c>
      <c r="AH87" s="179">
        <f t="shared" si="72"/>
        <v>2.6467954860618115E-6</v>
      </c>
      <c r="AI87" s="128"/>
    </row>
    <row r="88" spans="1:35">
      <c r="A88" s="9" t="s">
        <v>118</v>
      </c>
      <c r="B88" s="37"/>
      <c r="C88" s="416">
        <f t="shared" ref="C88:AH88" si="73">C36/C$49</f>
        <v>0</v>
      </c>
      <c r="D88" s="341">
        <f t="shared" si="73"/>
        <v>0</v>
      </c>
      <c r="E88" s="341">
        <f t="shared" si="73"/>
        <v>0</v>
      </c>
      <c r="F88" s="341">
        <f t="shared" si="73"/>
        <v>0</v>
      </c>
      <c r="G88" s="341">
        <f t="shared" si="73"/>
        <v>0</v>
      </c>
      <c r="H88" s="415">
        <f t="shared" si="73"/>
        <v>0</v>
      </c>
      <c r="I88" s="116">
        <f t="shared" si="73"/>
        <v>0</v>
      </c>
      <c r="J88" s="116">
        <f t="shared" si="73"/>
        <v>0</v>
      </c>
      <c r="K88" s="116">
        <f t="shared" si="73"/>
        <v>0</v>
      </c>
      <c r="L88" s="116">
        <f t="shared" si="73"/>
        <v>0</v>
      </c>
      <c r="M88" s="116">
        <f t="shared" si="73"/>
        <v>0</v>
      </c>
      <c r="N88" s="179">
        <f t="shared" si="73"/>
        <v>0</v>
      </c>
      <c r="O88" s="116">
        <f t="shared" si="73"/>
        <v>0</v>
      </c>
      <c r="P88" s="116">
        <f t="shared" si="73"/>
        <v>0</v>
      </c>
      <c r="Q88" s="116">
        <f t="shared" si="73"/>
        <v>0</v>
      </c>
      <c r="R88" s="116">
        <f t="shared" si="73"/>
        <v>0</v>
      </c>
      <c r="S88" s="116">
        <f t="shared" si="73"/>
        <v>0</v>
      </c>
      <c r="T88" s="116">
        <f t="shared" si="73"/>
        <v>0</v>
      </c>
      <c r="U88" s="116">
        <f t="shared" si="73"/>
        <v>0</v>
      </c>
      <c r="V88" s="116">
        <f t="shared" si="73"/>
        <v>0</v>
      </c>
      <c r="W88" s="116">
        <f t="shared" si="73"/>
        <v>0</v>
      </c>
      <c r="X88" s="179">
        <f t="shared" si="73"/>
        <v>0</v>
      </c>
      <c r="Y88" s="174">
        <f t="shared" si="73"/>
        <v>0</v>
      </c>
      <c r="Z88" s="174">
        <f t="shared" si="73"/>
        <v>0</v>
      </c>
      <c r="AA88" s="174">
        <f t="shared" si="73"/>
        <v>0</v>
      </c>
      <c r="AB88" s="174">
        <f t="shared" si="73"/>
        <v>0</v>
      </c>
      <c r="AC88" s="174">
        <f t="shared" si="73"/>
        <v>0</v>
      </c>
      <c r="AD88" s="174">
        <f t="shared" si="73"/>
        <v>0</v>
      </c>
      <c r="AE88" s="174">
        <f t="shared" si="73"/>
        <v>0</v>
      </c>
      <c r="AF88" s="174">
        <f t="shared" si="73"/>
        <v>0</v>
      </c>
      <c r="AG88" s="174">
        <f t="shared" si="73"/>
        <v>0</v>
      </c>
      <c r="AH88" s="179">
        <f t="shared" si="73"/>
        <v>0</v>
      </c>
      <c r="AI88" s="128"/>
    </row>
    <row r="89" spans="1:35">
      <c r="A89" s="9" t="s">
        <v>51</v>
      </c>
      <c r="B89" s="37"/>
      <c r="C89" s="416">
        <f t="shared" ref="C89:AH89" si="74">C37/C$49</f>
        <v>8.1388613448265725E-3</v>
      </c>
      <c r="D89" s="341">
        <f t="shared" si="74"/>
        <v>8.7451617008825616E-3</v>
      </c>
      <c r="E89" s="341">
        <f t="shared" si="74"/>
        <v>9.3966280950585242E-3</v>
      </c>
      <c r="F89" s="341">
        <f t="shared" si="74"/>
        <v>1.2055482143609995E-2</v>
      </c>
      <c r="G89" s="341">
        <f t="shared" si="74"/>
        <v>1.1006281873387628E-2</v>
      </c>
      <c r="H89" s="415">
        <f t="shared" si="74"/>
        <v>1.0415034644675103E-2</v>
      </c>
      <c r="I89" s="116">
        <f t="shared" si="74"/>
        <v>1.1190897378522493E-2</v>
      </c>
      <c r="J89" s="116">
        <f t="shared" si="74"/>
        <v>1.20245576139923E-2</v>
      </c>
      <c r="K89" s="116">
        <f t="shared" si="74"/>
        <v>1.2920320946711252E-2</v>
      </c>
      <c r="L89" s="116">
        <f t="shared" si="74"/>
        <v>1.3882813715472828E-2</v>
      </c>
      <c r="M89" s="116">
        <f t="shared" si="74"/>
        <v>1.4917006895837115E-2</v>
      </c>
      <c r="N89" s="179">
        <f t="shared" si="74"/>
        <v>1.6028241773672285E-2</v>
      </c>
      <c r="O89" s="116">
        <f t="shared" si="74"/>
        <v>1.6496042181768027E-2</v>
      </c>
      <c r="P89" s="116">
        <f t="shared" si="74"/>
        <v>1.697749581676818E-2</v>
      </c>
      <c r="Q89" s="116">
        <f t="shared" si="74"/>
        <v>1.7473001161875563E-2</v>
      </c>
      <c r="R89" s="116">
        <f t="shared" si="74"/>
        <v>1.7982968330427337E-2</v>
      </c>
      <c r="S89" s="116">
        <f t="shared" si="74"/>
        <v>1.8507819405332197E-2</v>
      </c>
      <c r="T89" s="116">
        <f t="shared" si="74"/>
        <v>1.9047988788414395E-2</v>
      </c>
      <c r="U89" s="116">
        <f t="shared" si="74"/>
        <v>1.9603923559953718E-2</v>
      </c>
      <c r="V89" s="116">
        <f t="shared" si="74"/>
        <v>2.0176083848719009E-2</v>
      </c>
      <c r="W89" s="116">
        <f t="shared" si="74"/>
        <v>2.0764943212801486E-2</v>
      </c>
      <c r="X89" s="179">
        <f t="shared" si="74"/>
        <v>2.1370989031563051E-2</v>
      </c>
      <c r="Y89" s="174">
        <f t="shared" si="74"/>
        <v>2.1853229300624385E-2</v>
      </c>
      <c r="Z89" s="174">
        <f t="shared" si="74"/>
        <v>2.2346351409396593E-2</v>
      </c>
      <c r="AA89" s="174">
        <f t="shared" si="74"/>
        <v>2.2850600908579384E-2</v>
      </c>
      <c r="AB89" s="174">
        <f t="shared" si="74"/>
        <v>2.3366228889768817E-2</v>
      </c>
      <c r="AC89" s="174">
        <f t="shared" si="74"/>
        <v>2.389349211048868E-2</v>
      </c>
      <c r="AD89" s="174">
        <f t="shared" si="74"/>
        <v>2.4432653122043145E-2</v>
      </c>
      <c r="AE89" s="174">
        <f t="shared" si="74"/>
        <v>2.4983980400254496E-2</v>
      </c>
      <c r="AF89" s="174">
        <f t="shared" si="74"/>
        <v>2.5547748479150964E-2</v>
      </c>
      <c r="AG89" s="174">
        <f t="shared" si="74"/>
        <v>2.6124238087671246E-2</v>
      </c>
      <c r="AH89" s="179">
        <f t="shared" si="74"/>
        <v>2.6713736289453813E-2</v>
      </c>
      <c r="AI89" s="128"/>
    </row>
    <row r="90" spans="1:35" s="253" customFormat="1">
      <c r="A90" s="10" t="s">
        <v>343</v>
      </c>
      <c r="B90" s="37"/>
      <c r="C90" s="416">
        <f t="shared" ref="C90:AH90" si="75">C38/C$49</f>
        <v>0</v>
      </c>
      <c r="D90" s="341">
        <f t="shared" si="75"/>
        <v>0</v>
      </c>
      <c r="E90" s="341">
        <f t="shared" si="75"/>
        <v>1.8435410588247052E-6</v>
      </c>
      <c r="F90" s="341">
        <f t="shared" si="75"/>
        <v>3.0458460393035266E-6</v>
      </c>
      <c r="G90" s="341">
        <f t="shared" si="75"/>
        <v>4.7940477627156476E-6</v>
      </c>
      <c r="H90" s="415">
        <f t="shared" si="75"/>
        <v>7.019726929525504E-6</v>
      </c>
      <c r="I90" s="402">
        <f t="shared" si="75"/>
        <v>1.0449711195735392E-5</v>
      </c>
      <c r="J90" s="402">
        <f t="shared" si="75"/>
        <v>1.4978929739295697E-5</v>
      </c>
      <c r="K90" s="402">
        <f t="shared" si="75"/>
        <v>1.5409381152858113E-5</v>
      </c>
      <c r="L90" s="402">
        <f t="shared" si="75"/>
        <v>1.6013555356794454E-5</v>
      </c>
      <c r="M90" s="402">
        <f t="shared" si="75"/>
        <v>1.9680206552274672E-5</v>
      </c>
      <c r="N90" s="403">
        <f t="shared" si="75"/>
        <v>2.4186417151632825E-5</v>
      </c>
      <c r="O90" s="402">
        <f t="shared" si="75"/>
        <v>2.489232213944581E-5</v>
      </c>
      <c r="P90" s="402">
        <f t="shared" si="75"/>
        <v>2.5618829676561385E-5</v>
      </c>
      <c r="Q90" s="402">
        <f t="shared" si="75"/>
        <v>2.6366541069168183E-5</v>
      </c>
      <c r="R90" s="402">
        <f t="shared" si="75"/>
        <v>2.713607517318266E-5</v>
      </c>
      <c r="S90" s="402">
        <f t="shared" si="75"/>
        <v>2.7928068906455585E-5</v>
      </c>
      <c r="T90" s="402">
        <f t="shared" si="75"/>
        <v>2.8743177775927852E-5</v>
      </c>
      <c r="U90" s="402">
        <f t="shared" si="75"/>
        <v>2.9582076420171791E-5</v>
      </c>
      <c r="V90" s="402">
        <f t="shared" si="75"/>
        <v>3.044545916776716E-5</v>
      </c>
      <c r="W90" s="402">
        <f t="shared" si="75"/>
        <v>3.1334040611973869E-5</v>
      </c>
      <c r="X90" s="403">
        <f t="shared" si="75"/>
        <v>3.224855620217711E-5</v>
      </c>
      <c r="Y90" s="402">
        <f t="shared" si="75"/>
        <v>3.2976250760290879E-5</v>
      </c>
      <c r="Z90" s="402">
        <f t="shared" si="75"/>
        <v>3.3720365878959002E-5</v>
      </c>
      <c r="AA90" s="402">
        <f t="shared" si="75"/>
        <v>3.4481272091128183E-5</v>
      </c>
      <c r="AB90" s="402">
        <f t="shared" si="75"/>
        <v>3.525934829088872E-5</v>
      </c>
      <c r="AC90" s="402">
        <f t="shared" si="75"/>
        <v>3.6054981922145228E-5</v>
      </c>
      <c r="AD90" s="402">
        <f t="shared" si="75"/>
        <v>3.6868569171544755E-5</v>
      </c>
      <c r="AE90" s="402">
        <f t="shared" si="75"/>
        <v>3.7700515165758375E-5</v>
      </c>
      <c r="AF90" s="402">
        <f t="shared" si="75"/>
        <v>3.8551234173214461E-5</v>
      </c>
      <c r="AG90" s="402">
        <f t="shared" si="75"/>
        <v>3.9421149810384097E-5</v>
      </c>
      <c r="AH90" s="403">
        <f t="shared" si="75"/>
        <v>4.0310695252721387E-5</v>
      </c>
      <c r="AI90" s="297"/>
    </row>
    <row r="91" spans="1:35" s="253" customFormat="1">
      <c r="A91" s="10" t="s">
        <v>344</v>
      </c>
      <c r="B91" s="37"/>
      <c r="C91" s="416">
        <f t="shared" ref="C91:AH91" si="76">C39/C$49</f>
        <v>0</v>
      </c>
      <c r="D91" s="341">
        <f t="shared" si="76"/>
        <v>0</v>
      </c>
      <c r="E91" s="341">
        <f t="shared" si="76"/>
        <v>1.159459785424343E-6</v>
      </c>
      <c r="F91" s="341">
        <f t="shared" si="76"/>
        <v>1.1760023317774235E-6</v>
      </c>
      <c r="G91" s="341">
        <f t="shared" si="76"/>
        <v>1.0920382147416053E-6</v>
      </c>
      <c r="H91" s="415">
        <f t="shared" si="76"/>
        <v>1.0323127837537506E-6</v>
      </c>
      <c r="I91" s="402">
        <f t="shared" si="76"/>
        <v>1.1091442375279679E-6</v>
      </c>
      <c r="J91" s="402">
        <f t="shared" si="76"/>
        <v>1.1916939894594496E-6</v>
      </c>
      <c r="K91" s="402">
        <f t="shared" si="76"/>
        <v>1.2803876326120921E-6</v>
      </c>
      <c r="L91" s="402">
        <f t="shared" si="76"/>
        <v>1.3756824354628355E-6</v>
      </c>
      <c r="M91" s="402">
        <f t="shared" si="76"/>
        <v>1.4780696993925999E-6</v>
      </c>
      <c r="N91" s="403">
        <f t="shared" si="76"/>
        <v>1.5880772916370863E-6</v>
      </c>
      <c r="O91" s="402">
        <f t="shared" si="76"/>
        <v>1.6344269297075395E-6</v>
      </c>
      <c r="P91" s="402">
        <f t="shared" si="76"/>
        <v>1.6821293287302299E-6</v>
      </c>
      <c r="Q91" s="402">
        <f t="shared" si="76"/>
        <v>1.7312239703984375E-6</v>
      </c>
      <c r="R91" s="402">
        <f t="shared" si="76"/>
        <v>1.7817514887184947E-6</v>
      </c>
      <c r="S91" s="402">
        <f t="shared" si="76"/>
        <v>1.8337537036412082E-6</v>
      </c>
      <c r="T91" s="402">
        <f t="shared" si="76"/>
        <v>1.8872736556748436E-6</v>
      </c>
      <c r="U91" s="402">
        <f t="shared" si="76"/>
        <v>1.9423556415083262E-6</v>
      </c>
      <c r="V91" s="402">
        <f t="shared" si="76"/>
        <v>1.9990452506741415E-6</v>
      </c>
      <c r="W91" s="402">
        <f t="shared" si="76"/>
        <v>2.0573894032812791E-6</v>
      </c>
      <c r="X91" s="403">
        <f t="shared" si="76"/>
        <v>2.1174363888494492E-6</v>
      </c>
      <c r="Y91" s="402">
        <f t="shared" si="76"/>
        <v>2.1652167275305893E-6</v>
      </c>
      <c r="Z91" s="402">
        <f t="shared" si="76"/>
        <v>2.214075238277019E-6</v>
      </c>
      <c r="AA91" s="402">
        <f t="shared" si="76"/>
        <v>2.2640362502382262E-6</v>
      </c>
      <c r="AB91" s="402">
        <f t="shared" si="76"/>
        <v>2.3151246415553987E-6</v>
      </c>
      <c r="AC91" s="402">
        <f t="shared" si="76"/>
        <v>2.3673658517495224E-6</v>
      </c>
      <c r="AD91" s="402">
        <f t="shared" si="76"/>
        <v>2.4207858943890186E-6</v>
      </c>
      <c r="AE91" s="402">
        <f t="shared" si="76"/>
        <v>2.4754113700432288E-6</v>
      </c>
      <c r="AF91" s="402">
        <f t="shared" si="76"/>
        <v>2.531269479528198E-6</v>
      </c>
      <c r="AG91" s="402">
        <f t="shared" si="76"/>
        <v>2.5883880374513519E-6</v>
      </c>
      <c r="AH91" s="403">
        <f t="shared" si="76"/>
        <v>2.6467954860618115E-6</v>
      </c>
      <c r="AI91" s="297"/>
    </row>
    <row r="92" spans="1:35">
      <c r="A92" s="9" t="s">
        <v>340</v>
      </c>
      <c r="B92" s="37"/>
      <c r="C92" s="416">
        <f t="shared" ref="C92:AH92" si="77">C40/C$49</f>
        <v>9.8176855788016543E-10</v>
      </c>
      <c r="D92" s="341">
        <f t="shared" si="77"/>
        <v>1.054838180536067E-9</v>
      </c>
      <c r="E92" s="341">
        <f t="shared" si="77"/>
        <v>1.1594597854243428E-9</v>
      </c>
      <c r="F92" s="341">
        <f t="shared" si="77"/>
        <v>1.2176971353839497E-9</v>
      </c>
      <c r="G92" s="341">
        <f t="shared" si="77"/>
        <v>1.3083261023410865E-9</v>
      </c>
      <c r="H92" s="415">
        <f t="shared" si="77"/>
        <v>1.0323127837537507E-9</v>
      </c>
      <c r="I92" s="116">
        <f t="shared" si="77"/>
        <v>1.1091442375279679E-9</v>
      </c>
      <c r="J92" s="116">
        <f t="shared" si="77"/>
        <v>1.1916939894594497E-9</v>
      </c>
      <c r="K92" s="116">
        <f t="shared" si="77"/>
        <v>1.2803876326120922E-9</v>
      </c>
      <c r="L92" s="116">
        <f t="shared" si="77"/>
        <v>1.3756824354628354E-9</v>
      </c>
      <c r="M92" s="116">
        <f t="shared" si="77"/>
        <v>1.4780696993926E-9</v>
      </c>
      <c r="N92" s="179">
        <f t="shared" si="77"/>
        <v>1.5880772916370865E-9</v>
      </c>
      <c r="O92" s="116">
        <f t="shared" si="77"/>
        <v>1.6344269297075398E-9</v>
      </c>
      <c r="P92" s="116">
        <f t="shared" si="77"/>
        <v>1.6821293287302304E-9</v>
      </c>
      <c r="Q92" s="116">
        <f t="shared" si="77"/>
        <v>1.7312239703984376E-9</v>
      </c>
      <c r="R92" s="116">
        <f t="shared" si="77"/>
        <v>1.7817514887184948E-9</v>
      </c>
      <c r="S92" s="116">
        <f t="shared" si="77"/>
        <v>1.8337537036412085E-9</v>
      </c>
      <c r="T92" s="116">
        <f t="shared" si="77"/>
        <v>1.8872736556748438E-9</v>
      </c>
      <c r="U92" s="116">
        <f t="shared" si="77"/>
        <v>1.9423556415083265E-9</v>
      </c>
      <c r="V92" s="116">
        <f t="shared" si="77"/>
        <v>1.999045250674142E-9</v>
      </c>
      <c r="W92" s="116">
        <f t="shared" si="77"/>
        <v>2.0573894032812798E-9</v>
      </c>
      <c r="X92" s="179">
        <f t="shared" si="77"/>
        <v>2.1174363888494496E-9</v>
      </c>
      <c r="Y92" s="174">
        <f t="shared" si="77"/>
        <v>2.1652167275305898E-9</v>
      </c>
      <c r="Z92" s="174">
        <f t="shared" si="77"/>
        <v>2.2140752382770193E-9</v>
      </c>
      <c r="AA92" s="174">
        <f t="shared" si="77"/>
        <v>2.2640362502382264E-9</v>
      </c>
      <c r="AB92" s="174">
        <f t="shared" si="77"/>
        <v>2.3151246415553987E-9</v>
      </c>
      <c r="AC92" s="174">
        <f t="shared" si="77"/>
        <v>2.3673658517495223E-9</v>
      </c>
      <c r="AD92" s="174">
        <f t="shared" si="77"/>
        <v>2.4207858943890186E-9</v>
      </c>
      <c r="AE92" s="174">
        <f t="shared" si="77"/>
        <v>2.4754113700432288E-9</v>
      </c>
      <c r="AF92" s="174">
        <f t="shared" si="77"/>
        <v>2.5312694795281984E-9</v>
      </c>
      <c r="AG92" s="174">
        <f t="shared" si="77"/>
        <v>2.5883880374513523E-9</v>
      </c>
      <c r="AH92" s="179">
        <f t="shared" si="77"/>
        <v>2.6467954860618117E-9</v>
      </c>
      <c r="AI92" s="128"/>
    </row>
    <row r="93" spans="1:35">
      <c r="A93" s="9" t="s">
        <v>119</v>
      </c>
      <c r="B93" s="37"/>
      <c r="C93" s="416">
        <f t="shared" ref="C93:AH93" si="78">C41/C$49</f>
        <v>0</v>
      </c>
      <c r="D93" s="341">
        <f t="shared" si="78"/>
        <v>0</v>
      </c>
      <c r="E93" s="341">
        <f t="shared" si="78"/>
        <v>0</v>
      </c>
      <c r="F93" s="341">
        <f t="shared" si="78"/>
        <v>0</v>
      </c>
      <c r="G93" s="341">
        <f t="shared" si="78"/>
        <v>0</v>
      </c>
      <c r="H93" s="415">
        <f t="shared" si="78"/>
        <v>1.0323127837537506E-5</v>
      </c>
      <c r="I93" s="116">
        <f t="shared" si="78"/>
        <v>1.9809879044048137E-5</v>
      </c>
      <c r="J93" s="116">
        <f t="shared" si="78"/>
        <v>3.0138691628361562E-5</v>
      </c>
      <c r="K93" s="116">
        <f t="shared" si="78"/>
        <v>4.1256709913944083E-5</v>
      </c>
      <c r="L93" s="116">
        <f t="shared" si="78"/>
        <v>5.1291832502992081E-5</v>
      </c>
      <c r="M93" s="116">
        <f t="shared" si="78"/>
        <v>6.1329768601863112E-5</v>
      </c>
      <c r="N93" s="179">
        <f t="shared" si="78"/>
        <v>7.1145548628328054E-5</v>
      </c>
      <c r="O93" s="116">
        <f t="shared" si="78"/>
        <v>8.2201851393253066E-5</v>
      </c>
      <c r="P93" s="116">
        <f t="shared" si="78"/>
        <v>9.0994941419327154E-5</v>
      </c>
      <c r="Q93" s="116">
        <f t="shared" si="78"/>
        <v>1.0094475814261806E-4</v>
      </c>
      <c r="R93" s="116">
        <f t="shared" si="78"/>
        <v>1.1001174375364569E-4</v>
      </c>
      <c r="S93" s="116">
        <f t="shared" si="78"/>
        <v>1.1889314641943628E-4</v>
      </c>
      <c r="T93" s="116">
        <f t="shared" si="78"/>
        <v>1.2663699873508147E-4</v>
      </c>
      <c r="U93" s="116">
        <f t="shared" si="78"/>
        <v>1.3513054513138691E-4</v>
      </c>
      <c r="V93" s="116">
        <f t="shared" si="78"/>
        <v>1.4234795608406123E-4</v>
      </c>
      <c r="W93" s="116">
        <f t="shared" si="78"/>
        <v>1.5103461115757049E-4</v>
      </c>
      <c r="X93" s="179">
        <f t="shared" si="78"/>
        <v>1.5980689160827784E-4</v>
      </c>
      <c r="Y93" s="174">
        <f t="shared" si="78"/>
        <v>1.6872099000752748E-4</v>
      </c>
      <c r="Z93" s="174">
        <f t="shared" si="78"/>
        <v>1.812943158449648E-4</v>
      </c>
      <c r="AA93" s="174">
        <f t="shared" si="78"/>
        <v>1.9035151386035507E-4</v>
      </c>
      <c r="AB93" s="174">
        <f t="shared" si="78"/>
        <v>2.0039939790859751E-4</v>
      </c>
      <c r="AC93" s="174">
        <f t="shared" si="78"/>
        <v>2.0928702019595009E-4</v>
      </c>
      <c r="AD93" s="174">
        <f t="shared" si="78"/>
        <v>2.1830075188283924E-4</v>
      </c>
      <c r="AE93" s="174">
        <f t="shared" si="78"/>
        <v>2.2864258867767042E-4</v>
      </c>
      <c r="AF93" s="174">
        <f t="shared" si="78"/>
        <v>2.3477963095496933E-4</v>
      </c>
      <c r="AG93" s="174">
        <f t="shared" si="78"/>
        <v>2.4380581324579727E-4</v>
      </c>
      <c r="AH93" s="179">
        <f t="shared" si="78"/>
        <v>2.5120173280816045E-4</v>
      </c>
      <c r="AI93" s="128"/>
    </row>
    <row r="94" spans="1:35">
      <c r="A94" s="9" t="s">
        <v>53</v>
      </c>
      <c r="B94" s="37"/>
      <c r="C94" s="416">
        <f t="shared" ref="C94:AH94" si="79">C42/C$49</f>
        <v>2.9453056736404963E-3</v>
      </c>
      <c r="D94" s="341">
        <f t="shared" si="79"/>
        <v>3.78344121977043E-3</v>
      </c>
      <c r="E94" s="341">
        <f t="shared" si="79"/>
        <v>5.317723170674497E-3</v>
      </c>
      <c r="F94" s="341">
        <f t="shared" si="79"/>
        <v>1.3014088684335042E-2</v>
      </c>
      <c r="G94" s="341">
        <f t="shared" si="79"/>
        <v>2.5034342690786752E-2</v>
      </c>
      <c r="H94" s="415">
        <f t="shared" si="79"/>
        <v>2.6156029018931739E-2</v>
      </c>
      <c r="I94" s="116">
        <f t="shared" si="79"/>
        <v>5.4021480723482132E-2</v>
      </c>
      <c r="J94" s="116">
        <f t="shared" si="79"/>
        <v>7.4348987684546994E-2</v>
      </c>
      <c r="K94" s="116">
        <f t="shared" si="79"/>
        <v>7.6332102322499054E-2</v>
      </c>
      <c r="L94" s="116">
        <f t="shared" si="79"/>
        <v>7.5910845234312213E-2</v>
      </c>
      <c r="M94" s="116">
        <f t="shared" si="79"/>
        <v>9.1486054012275456E-2</v>
      </c>
      <c r="N94" s="179">
        <f t="shared" si="79"/>
        <v>0.11751992700857976</v>
      </c>
      <c r="O94" s="116">
        <f t="shared" si="79"/>
        <v>0.12094986465179017</v>
      </c>
      <c r="P94" s="116">
        <f t="shared" si="79"/>
        <v>0.1244799084858039</v>
      </c>
      <c r="Q94" s="116">
        <f t="shared" si="79"/>
        <v>0.12811298021080317</v>
      </c>
      <c r="R94" s="116">
        <f t="shared" si="79"/>
        <v>0.13185208679973787</v>
      </c>
      <c r="S94" s="116">
        <f t="shared" si="79"/>
        <v>0.13570032298709742</v>
      </c>
      <c r="T94" s="116">
        <f t="shared" si="79"/>
        <v>0.13966087383031975</v>
      </c>
      <c r="U94" s="116">
        <f t="shared" si="79"/>
        <v>0.14373701734595776</v>
      </c>
      <c r="V94" s="116">
        <f t="shared" si="79"/>
        <v>0.14793212722278484</v>
      </c>
      <c r="W94" s="116">
        <f t="shared" si="79"/>
        <v>0.15224967561408514</v>
      </c>
      <c r="X94" s="179">
        <f t="shared" si="79"/>
        <v>0.15669323601143972</v>
      </c>
      <c r="Y94" s="174">
        <f t="shared" si="79"/>
        <v>0.16022904748851488</v>
      </c>
      <c r="Z94" s="174">
        <f t="shared" si="79"/>
        <v>0.16384464519708061</v>
      </c>
      <c r="AA94" s="174">
        <f t="shared" si="79"/>
        <v>0.16754182952801655</v>
      </c>
      <c r="AB94" s="174">
        <f t="shared" si="79"/>
        <v>0.17132244149835127</v>
      </c>
      <c r="AC94" s="174">
        <f t="shared" si="79"/>
        <v>0.17518836366799856</v>
      </c>
      <c r="AD94" s="174">
        <f t="shared" si="79"/>
        <v>0.17914152107718054</v>
      </c>
      <c r="AE94" s="174">
        <f t="shared" si="79"/>
        <v>0.18318388220500326</v>
      </c>
      <c r="AF94" s="174">
        <f t="shared" si="79"/>
        <v>0.18731745994966317</v>
      </c>
      <c r="AG94" s="174">
        <f t="shared" si="79"/>
        <v>0.19154431263077204</v>
      </c>
      <c r="AH94" s="179">
        <f t="shared" si="79"/>
        <v>0.19586654501429965</v>
      </c>
      <c r="AI94" s="128"/>
    </row>
    <row r="95" spans="1:35" s="384" customFormat="1">
      <c r="A95" s="379" t="s">
        <v>537</v>
      </c>
      <c r="B95" s="380"/>
      <c r="C95" s="381">
        <f>SUM(C86:C94)</f>
        <v>2.5703683595629169E-2</v>
      </c>
      <c r="D95" s="381">
        <f>SUM(D86:D94)</f>
        <v>2.8517761299087518E-2</v>
      </c>
      <c r="E95" s="381">
        <f>SUM(E86:E94)</f>
        <v>3.2204497003598974E-2</v>
      </c>
      <c r="F95" s="381">
        <f>SUM(F86:F94)</f>
        <v>4.4199205403523185E-2</v>
      </c>
      <c r="G95" s="381">
        <f t="shared" ref="G95:AH95" si="80">SUM(G86:G94)</f>
        <v>5.6963705163671746E-2</v>
      </c>
      <c r="H95" s="381">
        <f t="shared" si="80"/>
        <v>4.6187409262932286E-2</v>
      </c>
      <c r="I95" s="381">
        <f t="shared" si="80"/>
        <v>7.5740903786847003E-2</v>
      </c>
      <c r="J95" s="381">
        <f t="shared" si="80"/>
        <v>9.7900438816855603E-2</v>
      </c>
      <c r="K95" s="381">
        <f t="shared" si="80"/>
        <v>0.10186651410085114</v>
      </c>
      <c r="L95" s="381">
        <f t="shared" si="80"/>
        <v>0.10359480896980496</v>
      </c>
      <c r="M95" s="381">
        <f t="shared" si="80"/>
        <v>0.12150454715206983</v>
      </c>
      <c r="N95" s="382">
        <f t="shared" si="80"/>
        <v>0.1500711455486283</v>
      </c>
      <c r="O95" s="381">
        <f t="shared" si="80"/>
        <v>0.15446010319610731</v>
      </c>
      <c r="P95" s="381">
        <f t="shared" si="80"/>
        <v>0.15897457109874114</v>
      </c>
      <c r="Q95" s="381">
        <f t="shared" si="80"/>
        <v>0.16362169839354526</v>
      </c>
      <c r="R95" s="381">
        <f t="shared" si="80"/>
        <v>0.16840328356068357</v>
      </c>
      <c r="S95" s="381">
        <f t="shared" si="80"/>
        <v>0.17332397390330717</v>
      </c>
      <c r="T95" s="381">
        <f t="shared" si="80"/>
        <v>0.17838688279533543</v>
      </c>
      <c r="U95" s="381">
        <f t="shared" si="80"/>
        <v>0.18359808147361173</v>
      </c>
      <c r="V95" s="381">
        <f t="shared" si="80"/>
        <v>0.18895985021506451</v>
      </c>
      <c r="W95" s="381">
        <f t="shared" si="80"/>
        <v>0.19447936618377232</v>
      </c>
      <c r="X95" s="382">
        <f t="shared" si="80"/>
        <v>0.20015980689160831</v>
      </c>
      <c r="Y95" s="381">
        <f t="shared" si="80"/>
        <v>0.20468175750272213</v>
      </c>
      <c r="Z95" s="381">
        <f t="shared" si="80"/>
        <v>0.20930920483409962</v>
      </c>
      <c r="AA95" s="381">
        <f t="shared" si="80"/>
        <v>0.21403727151209798</v>
      </c>
      <c r="AB95" s="381">
        <f t="shared" si="80"/>
        <v>0.21887281418656424</v>
      </c>
      <c r="AC95" s="381">
        <f t="shared" si="80"/>
        <v>0.22381608477017487</v>
      </c>
      <c r="AD95" s="381">
        <f t="shared" si="80"/>
        <v>0.22887082671554596</v>
      </c>
      <c r="AE95" s="381">
        <f t="shared" si="80"/>
        <v>0.23404075454433293</v>
      </c>
      <c r="AF95" s="381">
        <f t="shared" si="80"/>
        <v>0.23932290457846411</v>
      </c>
      <c r="AG95" s="381">
        <f t="shared" si="80"/>
        <v>0.24472699794897779</v>
      </c>
      <c r="AH95" s="382">
        <f t="shared" si="80"/>
        <v>0.25025120173280818</v>
      </c>
      <c r="AI95" s="383"/>
    </row>
    <row r="96" spans="1:35">
      <c r="A96" s="10" t="s">
        <v>540</v>
      </c>
      <c r="B96" s="37"/>
      <c r="C96" s="337"/>
      <c r="D96" s="337">
        <f>D95/C95-1</f>
        <v>0.10948149486001579</v>
      </c>
      <c r="E96" s="337">
        <f t="shared" ref="E96:O96" si="81">E95/D95-1</f>
        <v>0.1292785806657768</v>
      </c>
      <c r="F96" s="337">
        <f t="shared" si="81"/>
        <v>0.37245445561791435</v>
      </c>
      <c r="G96" s="337">
        <f t="shared" si="81"/>
        <v>0.28879477908286288</v>
      </c>
      <c r="H96" s="285"/>
      <c r="I96" s="165">
        <f t="shared" si="81"/>
        <v>0.63986040775040576</v>
      </c>
      <c r="J96" s="165">
        <f t="shared" si="81"/>
        <v>0.29257024833464929</v>
      </c>
      <c r="K96" s="165">
        <f t="shared" si="81"/>
        <v>4.051131263481822E-2</v>
      </c>
      <c r="L96" s="165">
        <f t="shared" si="81"/>
        <v>1.6966270851702436E-2</v>
      </c>
      <c r="M96" s="165">
        <f t="shared" si="81"/>
        <v>0.17288258321403993</v>
      </c>
      <c r="N96" s="165">
        <f t="shared" si="81"/>
        <v>0.23510723726911831</v>
      </c>
      <c r="O96" s="173">
        <f t="shared" si="81"/>
        <v>2.9245846238022066E-2</v>
      </c>
      <c r="P96" s="173">
        <f t="shared" ref="P96:AH96" si="82">P95/O95-1</f>
        <v>2.9227404418486813E-2</v>
      </c>
      <c r="Q96" s="173">
        <f t="shared" si="82"/>
        <v>2.9231890752626999E-2</v>
      </c>
      <c r="R96" s="173">
        <f t="shared" si="82"/>
        <v>2.9223417273408048E-2</v>
      </c>
      <c r="S96" s="173">
        <f t="shared" si="82"/>
        <v>2.9219681698489319E-2</v>
      </c>
      <c r="T96" s="173">
        <f t="shared" si="82"/>
        <v>2.9210667041668081E-2</v>
      </c>
      <c r="U96" s="173">
        <f t="shared" si="82"/>
        <v>2.9212902858194667E-2</v>
      </c>
      <c r="V96" s="173">
        <f t="shared" si="82"/>
        <v>2.9203838615401878E-2</v>
      </c>
      <c r="W96" s="173">
        <f t="shared" si="82"/>
        <v>2.9209993352692587E-2</v>
      </c>
      <c r="X96" s="186">
        <f t="shared" si="82"/>
        <v>2.9208449303913753E-2</v>
      </c>
      <c r="Y96" s="173">
        <f t="shared" si="82"/>
        <v>2.2591701507598705E-2</v>
      </c>
      <c r="Z96" s="173">
        <f t="shared" si="82"/>
        <v>2.260801054200412E-2</v>
      </c>
      <c r="AA96" s="173">
        <f t="shared" si="82"/>
        <v>2.2588909464090978E-2</v>
      </c>
      <c r="AB96" s="173">
        <f t="shared" si="82"/>
        <v>2.259205903861905E-2</v>
      </c>
      <c r="AC96" s="173">
        <f t="shared" si="82"/>
        <v>2.2585128271787269E-2</v>
      </c>
      <c r="AD96" s="173">
        <f t="shared" si="82"/>
        <v>2.2584355143918877E-2</v>
      </c>
      <c r="AE96" s="173">
        <f t="shared" si="82"/>
        <v>2.258884586986909E-2</v>
      </c>
      <c r="AF96" s="173">
        <f t="shared" si="82"/>
        <v>2.2569359957906876E-2</v>
      </c>
      <c r="AG96" s="173">
        <f t="shared" si="82"/>
        <v>2.2580761252385173E-2</v>
      </c>
      <c r="AH96" s="186">
        <f t="shared" si="82"/>
        <v>2.2572923421314117E-2</v>
      </c>
      <c r="AI96" s="128"/>
    </row>
    <row r="97" spans="1:36">
      <c r="A97" s="10"/>
      <c r="B97" s="37"/>
      <c r="C97" s="337"/>
      <c r="D97" s="337"/>
      <c r="E97" s="337"/>
      <c r="F97" s="337"/>
      <c r="G97" s="337"/>
      <c r="H97" s="285"/>
      <c r="I97" s="165"/>
      <c r="J97" s="165"/>
      <c r="K97" s="165"/>
      <c r="L97" s="165"/>
      <c r="M97" s="165"/>
      <c r="N97" s="181"/>
      <c r="O97" s="165"/>
      <c r="P97" s="165"/>
      <c r="Q97" s="165"/>
      <c r="R97" s="165"/>
      <c r="S97" s="165"/>
      <c r="T97" s="165"/>
      <c r="U97" s="165"/>
      <c r="V97" s="165"/>
      <c r="W97" s="165"/>
      <c r="X97" s="186"/>
      <c r="AI97" s="128"/>
    </row>
    <row r="98" spans="1:36">
      <c r="A98" s="10"/>
      <c r="B98" s="37"/>
      <c r="C98" s="337"/>
      <c r="D98" s="337"/>
      <c r="E98" s="337"/>
      <c r="F98" s="337"/>
      <c r="G98" s="337"/>
      <c r="H98" s="285"/>
      <c r="I98" s="173"/>
      <c r="J98" s="173"/>
      <c r="K98" s="173"/>
      <c r="L98" s="173"/>
      <c r="M98" s="173"/>
      <c r="N98" s="186"/>
      <c r="O98" s="173"/>
      <c r="P98" s="173"/>
      <c r="Q98" s="173"/>
      <c r="R98" s="173"/>
      <c r="S98" s="173"/>
      <c r="T98" s="173"/>
      <c r="U98" s="173"/>
      <c r="V98" s="173"/>
      <c r="W98" s="173"/>
      <c r="X98" s="186"/>
      <c r="AI98" s="128"/>
    </row>
    <row r="99" spans="1:36">
      <c r="A99" s="1" t="s">
        <v>138</v>
      </c>
      <c r="C99" s="333">
        <v>2009</v>
      </c>
      <c r="D99" s="333">
        <v>2010</v>
      </c>
      <c r="E99" s="333">
        <v>2011</v>
      </c>
      <c r="F99" s="333">
        <v>2012</v>
      </c>
      <c r="G99" s="333">
        <v>2013</v>
      </c>
      <c r="H99" s="406">
        <v>2014</v>
      </c>
      <c r="I99" s="13">
        <v>2015</v>
      </c>
      <c r="J99" s="13">
        <v>2016</v>
      </c>
      <c r="K99" s="13">
        <v>2017</v>
      </c>
      <c r="L99" s="13">
        <v>2018</v>
      </c>
      <c r="M99" s="13">
        <v>2019</v>
      </c>
      <c r="N99" s="177">
        <v>2020</v>
      </c>
      <c r="O99" s="13">
        <v>2021</v>
      </c>
      <c r="P99" s="13">
        <v>2022</v>
      </c>
      <c r="Q99" s="13">
        <v>2023</v>
      </c>
      <c r="R99" s="13">
        <v>2024</v>
      </c>
      <c r="S99" s="13">
        <v>2025</v>
      </c>
      <c r="T99" s="13">
        <v>2026</v>
      </c>
      <c r="U99" s="13">
        <v>2027</v>
      </c>
      <c r="V99" s="13">
        <v>2028</v>
      </c>
      <c r="W99" s="13">
        <v>2029</v>
      </c>
      <c r="X99" s="177">
        <v>2030</v>
      </c>
      <c r="Y99" s="13">
        <v>2031</v>
      </c>
      <c r="Z99" s="13">
        <v>2032</v>
      </c>
      <c r="AA99" s="13">
        <v>2033</v>
      </c>
      <c r="AB99" s="13">
        <v>2034</v>
      </c>
      <c r="AC99" s="13">
        <v>2035</v>
      </c>
      <c r="AD99" s="13">
        <v>2036</v>
      </c>
      <c r="AE99" s="13">
        <v>2037</v>
      </c>
      <c r="AF99" s="13">
        <v>2038</v>
      </c>
      <c r="AG99" s="13">
        <v>2039</v>
      </c>
      <c r="AH99" s="177">
        <v>2040</v>
      </c>
      <c r="AI99" s="1"/>
    </row>
    <row r="100" spans="1:36">
      <c r="A100" s="10" t="s">
        <v>61</v>
      </c>
      <c r="B100" s="35">
        <v>0</v>
      </c>
      <c r="C100" s="336">
        <v>0</v>
      </c>
      <c r="D100" s="336">
        <f xml:space="preserve"> IF(D29*Inputs!$C44 &gt; 0, D29*Inputs!$C44, 0)</f>
        <v>0</v>
      </c>
      <c r="E100" s="336">
        <f xml:space="preserve"> IF(E29*Inputs!$C44 &gt; 0, E29*Inputs!$C44, 0)</f>
        <v>0</v>
      </c>
      <c r="F100" s="336">
        <f xml:space="preserve"> IF(F29*Inputs!$C44 &gt; 0, F29*Inputs!$C44, 0)</f>
        <v>0</v>
      </c>
      <c r="G100" s="336">
        <f xml:space="preserve"> IF(G29*Inputs!$C44 &gt; 0, G29*Inputs!$C44, 0)</f>
        <v>0</v>
      </c>
      <c r="H100" s="408">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3">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8">
        <f xml:space="preserve"> IF(X29*Inputs!$C44 &gt; 0, X29*Inputs!$C44, 0)</f>
        <v>0</v>
      </c>
    </row>
    <row r="101" spans="1:36">
      <c r="A101" s="10" t="s">
        <v>60</v>
      </c>
      <c r="B101" s="35">
        <v>0</v>
      </c>
      <c r="C101" s="336">
        <v>0</v>
      </c>
      <c r="D101" s="336">
        <f>D30*Inputs!$C47</f>
        <v>0</v>
      </c>
      <c r="E101" s="336">
        <f>E30*Inputs!$C47</f>
        <v>0</v>
      </c>
      <c r="F101" s="336">
        <f>F30*Inputs!$C47</f>
        <v>0</v>
      </c>
      <c r="G101" s="336">
        <f>G30*Inputs!$C47</f>
        <v>0</v>
      </c>
      <c r="H101" s="408">
        <f>H30*Inputs!$C47</f>
        <v>0</v>
      </c>
      <c r="I101" s="14">
        <f>I30*Inputs!$C47</f>
        <v>0</v>
      </c>
      <c r="J101" s="14">
        <f>J30*Inputs!$C47</f>
        <v>0</v>
      </c>
      <c r="K101" s="14">
        <f>K30*Inputs!$C47</f>
        <v>0</v>
      </c>
      <c r="L101" s="14">
        <f>L30*Inputs!$C47</f>
        <v>0</v>
      </c>
      <c r="M101" s="14">
        <f>M30*Inputs!$C47</f>
        <v>0</v>
      </c>
      <c r="N101" s="183">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8">
        <f>X30*Inputs!$C47</f>
        <v>0</v>
      </c>
    </row>
    <row r="102" spans="1:36">
      <c r="A102" s="10" t="s">
        <v>49</v>
      </c>
      <c r="B102" s="35">
        <v>0</v>
      </c>
      <c r="C102" s="336">
        <f>C31*Inputs!$C$48</f>
        <v>205.79998499999999</v>
      </c>
      <c r="D102" s="336">
        <f>D31*Inputs!$C$48</f>
        <v>214.41271535245457</v>
      </c>
      <c r="E102" s="336">
        <f>E31*Inputs!$C$48</f>
        <v>155.15336753570119</v>
      </c>
      <c r="F102" s="336">
        <f>F31*Inputs!$C$48</f>
        <v>143.55172055522669</v>
      </c>
      <c r="G102" s="336">
        <f>G31*Inputs!$C$48</f>
        <v>144.44570148466005</v>
      </c>
      <c r="H102" s="408">
        <f>H31*Inputs!$C$48</f>
        <v>74.909835000000001</v>
      </c>
      <c r="I102" s="14">
        <f>I31*Inputs!$C$48</f>
        <v>78.55568788765332</v>
      </c>
      <c r="J102" s="14">
        <f>J31*Inputs!$C$48</f>
        <v>77.927225435279595</v>
      </c>
      <c r="K102" s="14">
        <f>K31*Inputs!$C$48</f>
        <v>76.36676880632362</v>
      </c>
      <c r="L102" s="14">
        <f>L31*Inputs!$C$48</f>
        <v>77.248745355809675</v>
      </c>
      <c r="M102" s="14">
        <f>M31*Inputs!$C$48</f>
        <v>77.994568809585232</v>
      </c>
      <c r="N102" s="183">
        <f>N31*Inputs!$C$48</f>
        <v>78.910334999999989</v>
      </c>
      <c r="O102" s="14">
        <f>O31*Inputs!$C$48</f>
        <v>77.467279397587006</v>
      </c>
      <c r="P102" s="14">
        <f>P31*Inputs!$C$48</f>
        <v>78.133386497568992</v>
      </c>
      <c r="Q102" s="14">
        <f>Q31*Inputs!$C$48</f>
        <v>77.661154827117429</v>
      </c>
      <c r="R102" s="14">
        <f>R31*Inputs!$C$48</f>
        <v>77.78428182742104</v>
      </c>
      <c r="S102" s="14">
        <f>S31*Inputs!$C$48</f>
        <v>77.908922206849169</v>
      </c>
      <c r="T102" s="14">
        <f>T31*Inputs!$C$48</f>
        <v>78.621918042353101</v>
      </c>
      <c r="U102" s="14">
        <f>U31*Inputs!$C$48</f>
        <v>78.72391094993057</v>
      </c>
      <c r="V102" s="14">
        <f>V31*Inputs!$C$48</f>
        <v>79.435778383927811</v>
      </c>
      <c r="W102" s="14">
        <f>W31*Inputs!$C$48</f>
        <v>79.220191438606619</v>
      </c>
      <c r="X102" s="188">
        <f>X31*Inputs!$C$48</f>
        <v>78.910334999999989</v>
      </c>
      <c r="Y102" s="159">
        <f>Y31*Inputs!$C$48</f>
        <v>79.05642465350472</v>
      </c>
      <c r="Z102" s="159">
        <f>Z31*Inputs!$C$48</f>
        <v>77.581119467034682</v>
      </c>
      <c r="AA102" s="159">
        <f>AA31*Inputs!$C$48</f>
        <v>77.698507771108297</v>
      </c>
      <c r="AB102" s="159">
        <f>AB31*Inputs!$C$48</f>
        <v>77.412987283754447</v>
      </c>
      <c r="AC102" s="159">
        <f>AC31*Inputs!$C$48</f>
        <v>77.575180487588312</v>
      </c>
      <c r="AD102" s="159">
        <f>AD31*Inputs!$C$48</f>
        <v>77.672272784206243</v>
      </c>
      <c r="AE102" s="159">
        <f>AE31*Inputs!$C$48</f>
        <v>77.303304234278002</v>
      </c>
      <c r="AF102" s="159">
        <f>AF31*Inputs!$C$48</f>
        <v>78.338203460260488</v>
      </c>
      <c r="AG102" s="159">
        <f>AG31*Inputs!$C$48</f>
        <v>78.374161832697141</v>
      </c>
      <c r="AH102" s="188">
        <f>AH31*Inputs!$C$48</f>
        <v>78.910335000000018</v>
      </c>
    </row>
    <row r="103" spans="1:36">
      <c r="A103" s="10" t="s">
        <v>59</v>
      </c>
      <c r="B103" s="35">
        <v>0</v>
      </c>
      <c r="C103" s="336">
        <f>C32*Inputs!$C$53</f>
        <v>3059.1400000000003</v>
      </c>
      <c r="D103" s="336">
        <f>D32*Inputs!$C$53</f>
        <v>3274.5620517306197</v>
      </c>
      <c r="E103" s="336">
        <f>E32*Inputs!$C$53</f>
        <v>2440.5696831188038</v>
      </c>
      <c r="F103" s="336">
        <f>F32*Inputs!$C$53</f>
        <v>2332.4187329039278</v>
      </c>
      <c r="G103" s="336">
        <f>G32*Inputs!$C$53</f>
        <v>2432.2567655557023</v>
      </c>
      <c r="H103" s="408">
        <f>H32*Inputs!$C$53</f>
        <v>1901.4445800000001</v>
      </c>
      <c r="I103" s="14">
        <f>I32*Inputs!$C$53</f>
        <v>1996.1180849311613</v>
      </c>
      <c r="J103" s="14">
        <f>J32*Inputs!$C$53</f>
        <v>1982.2362487080288</v>
      </c>
      <c r="K103" s="14">
        <f>K32*Inputs!$C$53</f>
        <v>1944.5637639409103</v>
      </c>
      <c r="L103" s="14">
        <f>L32*Inputs!$C$53</f>
        <v>1969.0414856078578</v>
      </c>
      <c r="M103" s="14">
        <f>M32*Inputs!$C$53</f>
        <v>1990.0667926236792</v>
      </c>
      <c r="N103" s="183">
        <f>N32*Inputs!$C$53</f>
        <v>2015.44686</v>
      </c>
      <c r="O103" s="14">
        <f>O32*Inputs!$C$53</f>
        <v>1978.5898135473565</v>
      </c>
      <c r="P103" s="14">
        <f>P32*Inputs!$C$53</f>
        <v>1995.6028380527321</v>
      </c>
      <c r="Q103" s="14">
        <f>Q32*Inputs!$C$53</f>
        <v>1983.5415809638582</v>
      </c>
      <c r="R103" s="14">
        <f>R32*Inputs!$C$53</f>
        <v>1986.6863645482028</v>
      </c>
      <c r="S103" s="14">
        <f>S32*Inputs!$C$53</f>
        <v>1989.8698013102905</v>
      </c>
      <c r="T103" s="14">
        <f>T32*Inputs!$C$53</f>
        <v>2008.080409817522</v>
      </c>
      <c r="U103" s="14">
        <f>U32*Inputs!$C$53</f>
        <v>2010.6854080768665</v>
      </c>
      <c r="V103" s="14">
        <f>V32*Inputs!$C$53</f>
        <v>2028.8671961099042</v>
      </c>
      <c r="W103" s="14">
        <f>W32*Inputs!$C$53</f>
        <v>2023.3608954205893</v>
      </c>
      <c r="X103" s="188">
        <f>X32*Inputs!$C$53</f>
        <v>2015.4468599999998</v>
      </c>
      <c r="Y103" s="159">
        <f>Y32*Inputs!$C$53</f>
        <v>2019.1781321259461</v>
      </c>
      <c r="Z103" s="159">
        <f>Z32*Inputs!$C$53</f>
        <v>1981.4973998668227</v>
      </c>
      <c r="AA103" s="159">
        <f>AA32*Inputs!$C$53</f>
        <v>1984.495611556659</v>
      </c>
      <c r="AB103" s="159">
        <f>AB32*Inputs!$C$53</f>
        <v>1977.2031400482947</v>
      </c>
      <c r="AC103" s="159">
        <f>AC32*Inputs!$C$53</f>
        <v>1981.3457125437774</v>
      </c>
      <c r="AD103" s="159">
        <f>AD32*Inputs!$C$53</f>
        <v>1983.8255444231986</v>
      </c>
      <c r="AE103" s="159">
        <f>AE32*Inputs!$C$53</f>
        <v>1974.4017280702251</v>
      </c>
      <c r="AF103" s="159">
        <f>AF32*Inputs!$C$53</f>
        <v>2000.8340628895212</v>
      </c>
      <c r="AG103" s="159">
        <f>AG32*Inputs!$C$53</f>
        <v>2001.7524747657121</v>
      </c>
      <c r="AH103" s="188">
        <f>AH32*Inputs!$C$53</f>
        <v>2015.4468599999998</v>
      </c>
    </row>
    <row r="104" spans="1:36">
      <c r="A104" s="10" t="s">
        <v>120</v>
      </c>
      <c r="B104" s="35">
        <v>1</v>
      </c>
      <c r="C104" s="336">
        <f>C34*Inputs!$C$46</f>
        <v>312.69</v>
      </c>
      <c r="D104" s="336">
        <f>D34*Inputs!$C$46</f>
        <v>376.96348337551251</v>
      </c>
      <c r="E104" s="336">
        <f>E34*Inputs!$C$46</f>
        <v>316.70406260697968</v>
      </c>
      <c r="F104" s="336">
        <f>F34*Inputs!$C$46</f>
        <v>341.50278380219748</v>
      </c>
      <c r="G104" s="336">
        <f>G34*Inputs!$C$46</f>
        <v>402.21447979716612</v>
      </c>
      <c r="H104" s="408">
        <f>H34*Inputs!$C$46</f>
        <v>195.22734</v>
      </c>
      <c r="I104" s="14">
        <f>I34*Inputs!$C$46</f>
        <v>222.53238411657387</v>
      </c>
      <c r="J104" s="14">
        <f>J34*Inputs!$C$46</f>
        <v>239.95787936189441</v>
      </c>
      <c r="K104" s="14">
        <f>K34*Inputs!$C$46</f>
        <v>255.62107781574181</v>
      </c>
      <c r="L104" s="14">
        <f>L34*Inputs!$C$46</f>
        <v>281.09049302042501</v>
      </c>
      <c r="M104" s="14">
        <f>M34*Inputs!$C$46</f>
        <v>308.52999990133378</v>
      </c>
      <c r="N104" s="183">
        <f>N34*Inputs!$C$46</f>
        <v>339.36018543192614</v>
      </c>
      <c r="O104" s="14">
        <f>O34*Inputs!$C$46</f>
        <v>345.47199090892246</v>
      </c>
      <c r="P104" s="14">
        <f>P34*Inputs!$C$46</f>
        <v>361.34628009461483</v>
      </c>
      <c r="Q104" s="14">
        <f>Q34*Inputs!$C$46</f>
        <v>372.48469292586657</v>
      </c>
      <c r="R104" s="14">
        <f>R34*Inputs!$C$46</f>
        <v>386.93651198163082</v>
      </c>
      <c r="S104" s="14">
        <f>S34*Inputs!$C$46</f>
        <v>401.97993445694129</v>
      </c>
      <c r="T104" s="14">
        <f>T34*Inputs!$C$46</f>
        <v>420.7814309094785</v>
      </c>
      <c r="U104" s="14">
        <f>U34*Inputs!$C$46</f>
        <v>437.0611495909784</v>
      </c>
      <c r="V104" s="14">
        <f>V34*Inputs!$C$46</f>
        <v>457.51105638385161</v>
      </c>
      <c r="W104" s="14">
        <f>W34*Inputs!$C$46</f>
        <v>473.3680533992499</v>
      </c>
      <c r="X104" s="188">
        <f>X34*Inputs!$C$46</f>
        <v>489.2183460235982</v>
      </c>
      <c r="Y104" s="159">
        <f>Y34*Inputs!$C$46</f>
        <v>501.69954728504734</v>
      </c>
      <c r="Z104" s="159">
        <f>Z34*Inputs!$C$46</f>
        <v>503.9654148434845</v>
      </c>
      <c r="AA104" s="159">
        <f>AA34*Inputs!$C$46</f>
        <v>516.64946292365994</v>
      </c>
      <c r="AB104" s="159">
        <f>AB34*Inputs!$C$46</f>
        <v>526.90971416751245</v>
      </c>
      <c r="AC104" s="159">
        <f>AC34*Inputs!$C$46</f>
        <v>540.48632537365449</v>
      </c>
      <c r="AD104" s="159">
        <f>AD34*Inputs!$C$46</f>
        <v>553.94663694932672</v>
      </c>
      <c r="AE104" s="159">
        <f>AE34*Inputs!$C$46</f>
        <v>564.33948833910358</v>
      </c>
      <c r="AF104" s="159">
        <f>AF34*Inputs!$C$46</f>
        <v>585.4056655851922</v>
      </c>
      <c r="AG104" s="159">
        <f>AG34*Inputs!$C$46</f>
        <v>599.51164159939697</v>
      </c>
      <c r="AH104" s="188">
        <f>AH34*Inputs!$C$46</f>
        <v>617.87477324459985</v>
      </c>
    </row>
    <row r="105" spans="1:36">
      <c r="A105" s="10" t="s">
        <v>50</v>
      </c>
      <c r="B105" s="35">
        <v>1</v>
      </c>
      <c r="C105" s="336">
        <f>C35*Inputs!$C$49</f>
        <v>2.5000000000000001E-2</v>
      </c>
      <c r="D105" s="336">
        <f>D35*Inputs!$C$49</f>
        <v>2.9607989179921728E-2</v>
      </c>
      <c r="E105" s="336">
        <f>E35*Inputs!$C$49</f>
        <v>2.5000000000000001E-2</v>
      </c>
      <c r="F105" s="336">
        <f>F35*Inputs!$C$49</f>
        <v>2.5886367366795698E-2</v>
      </c>
      <c r="G105" s="336">
        <f>G35*Inputs!$C$49</f>
        <v>2.9951472500682103E-2</v>
      </c>
      <c r="H105" s="408">
        <f>H35*Inputs!$C$49</f>
        <v>2.5000000000000001E-2</v>
      </c>
      <c r="I105" s="14">
        <f>I35*Inputs!$C$49</f>
        <v>2.799472513339776E-2</v>
      </c>
      <c r="J105" s="14">
        <f>J35*Inputs!$C$49</f>
        <v>2.9655251897315871E-2</v>
      </c>
      <c r="K105" s="14">
        <f>K35*Inputs!$C$49</f>
        <v>3.1034651945896986E-2</v>
      </c>
      <c r="L105" s="14">
        <f>L35*Inputs!$C$49</f>
        <v>3.3525864848525974E-2</v>
      </c>
      <c r="M105" s="14">
        <f>M35*Inputs!$C$49</f>
        <v>3.6150544827288772E-2</v>
      </c>
      <c r="N105" s="183">
        <f>N35*Inputs!$C$49</f>
        <v>3.9062672422183441E-2</v>
      </c>
      <c r="O105" s="14">
        <f>O35*Inputs!$C$49</f>
        <v>3.9766182926670418E-2</v>
      </c>
      <c r="P105" s="14">
        <f>P35*Inputs!$C$49</f>
        <v>4.1593421904650346E-2</v>
      </c>
      <c r="Q105" s="14">
        <f>Q35*Inputs!$C$49</f>
        <v>4.287552920659108E-2</v>
      </c>
      <c r="R105" s="14">
        <f>R35*Inputs!$C$49</f>
        <v>4.4539032168676856E-2</v>
      </c>
      <c r="S105" s="14">
        <f>S35*Inputs!$C$49</f>
        <v>4.6270632720207795E-2</v>
      </c>
      <c r="T105" s="14">
        <f>T35*Inputs!$C$49</f>
        <v>4.8434813223697144E-2</v>
      </c>
      <c r="U105" s="14">
        <f>U35*Inputs!$C$49</f>
        <v>5.0308719902441269E-2</v>
      </c>
      <c r="V105" s="14">
        <f>V35*Inputs!$C$49</f>
        <v>5.2662643681382709E-2</v>
      </c>
      <c r="W105" s="14">
        <f>W35*Inputs!$C$49</f>
        <v>5.4487892212596437E-2</v>
      </c>
      <c r="X105" s="188">
        <f>X35*Inputs!$C$49</f>
        <v>5.6312369022663691E-2</v>
      </c>
      <c r="Y105" s="159">
        <f>Y35*Inputs!$C$49</f>
        <v>5.7749040433279504E-2</v>
      </c>
      <c r="Z105" s="159">
        <f>Z35*Inputs!$C$49</f>
        <v>5.8009857246762282E-2</v>
      </c>
      <c r="AA105" s="159">
        <f>AA35*Inputs!$C$49</f>
        <v>5.9469877710012845E-2</v>
      </c>
      <c r="AB105" s="159">
        <f>AB35*Inputs!$C$49</f>
        <v>6.0650902622519286E-2</v>
      </c>
      <c r="AC105" s="159">
        <f>AC35*Inputs!$C$49</f>
        <v>6.2213663190539004E-2</v>
      </c>
      <c r="AD105" s="159">
        <f>AD35*Inputs!$C$49</f>
        <v>6.3763036877707971E-2</v>
      </c>
      <c r="AE105" s="159">
        <f>AE35*Inputs!$C$49</f>
        <v>6.4959324971594345E-2</v>
      </c>
      <c r="AF105" s="159">
        <f>AF35*Inputs!$C$49</f>
        <v>6.7384185683832143E-2</v>
      </c>
      <c r="AG105" s="159">
        <f>AG35*Inputs!$C$49</f>
        <v>6.9007879752530088E-2</v>
      </c>
      <c r="AH105" s="188">
        <f>AH35*Inputs!$C$49</f>
        <v>7.1121601476217378E-2</v>
      </c>
    </row>
    <row r="106" spans="1:36">
      <c r="A106" s="10" t="s">
        <v>118</v>
      </c>
      <c r="B106" s="35">
        <v>1</v>
      </c>
      <c r="C106" s="336"/>
      <c r="D106" s="336"/>
      <c r="E106" s="336"/>
      <c r="F106" s="336"/>
      <c r="G106" s="336"/>
      <c r="H106" s="408"/>
      <c r="I106" s="14"/>
      <c r="J106" s="14"/>
      <c r="K106" s="14"/>
      <c r="L106" s="14"/>
      <c r="M106" s="14"/>
      <c r="N106" s="188"/>
      <c r="O106" s="14"/>
      <c r="P106" s="14"/>
      <c r="Q106" s="14"/>
      <c r="R106" s="14"/>
      <c r="S106" s="14"/>
      <c r="T106" s="14"/>
      <c r="U106" s="14"/>
      <c r="V106" s="14"/>
      <c r="W106" s="14"/>
      <c r="X106" s="188"/>
      <c r="AJ106" s="171" t="s">
        <v>0</v>
      </c>
    </row>
    <row r="107" spans="1:36">
      <c r="A107" s="10" t="s">
        <v>51</v>
      </c>
      <c r="B107" s="35">
        <v>1</v>
      </c>
      <c r="C107" s="336">
        <f>C37*Inputs!$C$52</f>
        <v>124.35</v>
      </c>
      <c r="D107" s="336">
        <f>D37*Inputs!$C$52</f>
        <v>147.27945449498841</v>
      </c>
      <c r="E107" s="336">
        <f>E37*Inputs!$C$52</f>
        <v>121.56473488581817</v>
      </c>
      <c r="F107" s="336">
        <f>F37*Inputs!$C$52</f>
        <v>153.76859999999999</v>
      </c>
      <c r="G107" s="336">
        <f>G37*Inputs!$C$52</f>
        <v>151.1799</v>
      </c>
      <c r="H107" s="408">
        <f>H37*Inputs!$C$52</f>
        <v>151.33545000000001</v>
      </c>
      <c r="I107" s="14">
        <f>I37*Inputs!$C$52</f>
        <v>169.47449331173161</v>
      </c>
      <c r="J107" s="14">
        <f>J37*Inputs!$C$52</f>
        <v>179.53834867883072</v>
      </c>
      <c r="K107" s="14">
        <f>K37*Inputs!$C$52</f>
        <v>187.90137614455384</v>
      </c>
      <c r="L107" s="14">
        <f>L37*Inputs!$C$52</f>
        <v>202.99743211547835</v>
      </c>
      <c r="M107" s="14">
        <f>M37*Inputs!$C$52</f>
        <v>218.90358487094568</v>
      </c>
      <c r="N107" s="183">
        <f>N37*Inputs!$C$52</f>
        <v>236.552450389775</v>
      </c>
      <c r="O107" s="14">
        <f>O37*Inputs!$C$52</f>
        <v>240.81271020796473</v>
      </c>
      <c r="P107" s="14">
        <f>P37*Inputs!$C$52</f>
        <v>251.87795052274143</v>
      </c>
      <c r="Q107" s="14">
        <f>Q37*Inputs!$C$52</f>
        <v>259.64202822482076</v>
      </c>
      <c r="R107" s="14">
        <f>R37*Inputs!$C$52</f>
        <v>269.715729728371</v>
      </c>
      <c r="S107" s="14">
        <f>S37*Inputs!$C$52</f>
        <v>280.20181089388575</v>
      </c>
      <c r="T107" s="14">
        <f>T37*Inputs!$C$52</f>
        <v>293.30747339575424</v>
      </c>
      <c r="U107" s="14">
        <f>U37*Inputs!$C$52</f>
        <v>304.65532005273189</v>
      </c>
      <c r="V107" s="14">
        <f>V37*Inputs!$C$52</f>
        <v>318.9100139436481</v>
      </c>
      <c r="W107" s="14">
        <f>W37*Inputs!$C$52</f>
        <v>329.96320067809557</v>
      </c>
      <c r="X107" s="188">
        <f>X37*Inputs!$C$52</f>
        <v>341.01171408844885</v>
      </c>
      <c r="Y107" s="159">
        <f>Y37*Inputs!$C$52</f>
        <v>349.71178813645764</v>
      </c>
      <c r="Z107" s="159">
        <f>Z37*Inputs!$C$52</f>
        <v>351.29122068693425</v>
      </c>
      <c r="AA107" s="159">
        <f>AA37*Inputs!$C$52</f>
        <v>360.13268996656814</v>
      </c>
      <c r="AB107" s="159">
        <f>AB37*Inputs!$C$52</f>
        <v>367.28464142563195</v>
      </c>
      <c r="AC107" s="159">
        <f>AC37*Inputs!$C$52</f>
        <v>376.74827560155796</v>
      </c>
      <c r="AD107" s="159">
        <f>AD37*Inputs!$C$52</f>
        <v>386.13084262892613</v>
      </c>
      <c r="AE107" s="159">
        <f>AE37*Inputs!$C$52</f>
        <v>393.37522357968334</v>
      </c>
      <c r="AF107" s="159">
        <f>AF37*Inputs!$C$52</f>
        <v>408.05949139255313</v>
      </c>
      <c r="AG107" s="159">
        <f>AG37*Inputs!$C$52</f>
        <v>417.89212154347246</v>
      </c>
      <c r="AH107" s="188">
        <f>AH37*Inputs!$C$52</f>
        <v>430.69222000515316</v>
      </c>
    </row>
    <row r="108" spans="1:36">
      <c r="A108" s="9" t="s">
        <v>343</v>
      </c>
      <c r="B108" s="35">
        <v>1</v>
      </c>
      <c r="C108" s="336">
        <f>C38*Inputs!$C$54</f>
        <v>0</v>
      </c>
      <c r="D108" s="336">
        <f>D38*Inputs!$C$54</f>
        <v>0</v>
      </c>
      <c r="E108" s="336">
        <f>E38*Inputs!$C$54</f>
        <v>0.12561</v>
      </c>
      <c r="F108" s="336">
        <f>F38*Inputs!$C$54</f>
        <v>0.20461000000000001</v>
      </c>
      <c r="G108" s="336">
        <f>G38*Inputs!$C$54</f>
        <v>0.34681000000000001</v>
      </c>
      <c r="H108" s="408">
        <f>H38*Inputs!$C$54</f>
        <v>0.53720000000000001</v>
      </c>
      <c r="I108" s="14">
        <f>I38*Inputs!$C$54</f>
        <v>0.83345000000000002</v>
      </c>
      <c r="J108" s="14">
        <f>J38*Inputs!$C$54</f>
        <v>1.1778900000000001</v>
      </c>
      <c r="K108" s="14">
        <f>K38*Inputs!$C$54</f>
        <v>1.1802600000000001</v>
      </c>
      <c r="L108" s="14">
        <f>L38*Inputs!$C$54</f>
        <v>1.2332088867296414</v>
      </c>
      <c r="M108" s="14">
        <f>M38*Inputs!$C$54</f>
        <v>1.5210261050120462</v>
      </c>
      <c r="N108" s="183">
        <f>N38*Inputs!$C$54</f>
        <v>1.8799614231279382</v>
      </c>
      <c r="O108" s="14">
        <f>O38*Inputs!$C$54</f>
        <v>1.9138191324752809</v>
      </c>
      <c r="P108" s="14">
        <f>P38*Inputs!$C$54</f>
        <v>2.0017582973207251</v>
      </c>
      <c r="Q108" s="14">
        <f>Q38*Inputs!$C$54</f>
        <v>2.0634620190197666</v>
      </c>
      <c r="R108" s="14">
        <f>R38*Inputs!$C$54</f>
        <v>2.143521093375476</v>
      </c>
      <c r="S108" s="14">
        <f>S38*Inputs!$C$54</f>
        <v>2.2268574867988953</v>
      </c>
      <c r="T108" s="14">
        <f>T38*Inputs!$C$54</f>
        <v>2.3310125690542263</v>
      </c>
      <c r="U108" s="14">
        <f>U38*Inputs!$C$54</f>
        <v>2.4211977010008092</v>
      </c>
      <c r="V108" s="14">
        <f>V38*Inputs!$C$54</f>
        <v>2.5344845199251682</v>
      </c>
      <c r="W108" s="14">
        <f>W38*Inputs!$C$54</f>
        <v>2.6223278909371852</v>
      </c>
      <c r="X108" s="188">
        <f>X38*Inputs!$C$54</f>
        <v>2.7101341214799306</v>
      </c>
      <c r="Y108" s="159">
        <f>Y38*Inputs!$C$54</f>
        <v>2.7792765191243562</v>
      </c>
      <c r="Z108" s="159">
        <f>Z38*Inputs!$C$54</f>
        <v>2.7918287977434795</v>
      </c>
      <c r="AA108" s="159">
        <f>AA38*Inputs!$C$54</f>
        <v>2.8620949105742461</v>
      </c>
      <c r="AB108" s="159">
        <f>AB38*Inputs!$C$54</f>
        <v>2.9189338603334614</v>
      </c>
      <c r="AC108" s="159">
        <f>AC38*Inputs!$C$54</f>
        <v>2.9941445256384327</v>
      </c>
      <c r="AD108" s="159">
        <f>AD38*Inputs!$C$54</f>
        <v>3.0687109232060763</v>
      </c>
      <c r="AE108" s="159">
        <f>AE38*Inputs!$C$54</f>
        <v>3.1262844410429271</v>
      </c>
      <c r="AF108" s="159">
        <f>AF38*Inputs!$C$54</f>
        <v>3.2429852275686533</v>
      </c>
      <c r="AG108" s="159">
        <f>AG38*Inputs!$C$54</f>
        <v>3.3211284272740662</v>
      </c>
      <c r="AH108" s="188">
        <f>AH38*Inputs!$C$54</f>
        <v>3.4228550899256187</v>
      </c>
    </row>
    <row r="109" spans="1:36">
      <c r="A109" s="9" t="s">
        <v>344</v>
      </c>
      <c r="B109" s="35">
        <v>1</v>
      </c>
      <c r="C109" s="336">
        <f>C39*Inputs!$C$54</f>
        <v>0</v>
      </c>
      <c r="D109" s="336">
        <f>D39*Inputs!$C$55</f>
        <v>0</v>
      </c>
      <c r="E109" s="336">
        <f>E39*Inputs!$C$55</f>
        <v>2.3000000000000003E-2</v>
      </c>
      <c r="F109" s="336">
        <f>F39*Inputs!$C$55</f>
        <v>2.3000000000000003E-2</v>
      </c>
      <c r="G109" s="336">
        <f>G39*Inputs!$C$55</f>
        <v>2.3000000000000003E-2</v>
      </c>
      <c r="H109" s="408">
        <f>H39*Inputs!$C$55</f>
        <v>2.3000000000000003E-2</v>
      </c>
      <c r="I109" s="14">
        <f>I39*Inputs!$C$55</f>
        <v>2.575514712272594E-2</v>
      </c>
      <c r="J109" s="14">
        <f>J39*Inputs!$C$55</f>
        <v>2.7282831745530603E-2</v>
      </c>
      <c r="K109" s="14">
        <f>K39*Inputs!$C$55</f>
        <v>2.8551879790225228E-2</v>
      </c>
      <c r="L109" s="14">
        <f>L39*Inputs!$C$55</f>
        <v>3.0843795660643897E-2</v>
      </c>
      <c r="M109" s="14">
        <f>M39*Inputs!$C$55</f>
        <v>3.3258501241105673E-2</v>
      </c>
      <c r="N109" s="183">
        <f>N39*Inputs!$C$55</f>
        <v>3.5937658628408767E-2</v>
      </c>
      <c r="O109" s="14">
        <f>O39*Inputs!$C$55</f>
        <v>3.6584888292536789E-2</v>
      </c>
      <c r="P109" s="14">
        <f>P39*Inputs!$C$55</f>
        <v>3.8265948152278323E-2</v>
      </c>
      <c r="Q109" s="14">
        <f>Q39*Inputs!$C$55</f>
        <v>3.9445486870063794E-2</v>
      </c>
      <c r="R109" s="14">
        <f>R39*Inputs!$C$55</f>
        <v>4.0975909595182707E-2</v>
      </c>
      <c r="S109" s="14">
        <f>S39*Inputs!$C$55</f>
        <v>4.2568982102591177E-2</v>
      </c>
      <c r="T109" s="14">
        <f>T39*Inputs!$C$55</f>
        <v>4.4560028165801374E-2</v>
      </c>
      <c r="U109" s="14">
        <f>U39*Inputs!$C$55</f>
        <v>4.6284022310245969E-2</v>
      </c>
      <c r="V109" s="14">
        <f>V39*Inputs!$C$55</f>
        <v>4.8449632186872094E-2</v>
      </c>
      <c r="W109" s="14">
        <f>W39*Inputs!$C$55</f>
        <v>5.0128860835588721E-2</v>
      </c>
      <c r="X109" s="188">
        <f>X39*Inputs!$C$55</f>
        <v>5.1807379500850598E-2</v>
      </c>
      <c r="Y109" s="159">
        <f>Y39*Inputs!$C$55</f>
        <v>5.3129117198617147E-2</v>
      </c>
      <c r="Z109" s="159">
        <f>Z39*Inputs!$C$55</f>
        <v>5.3369068667021305E-2</v>
      </c>
      <c r="AA109" s="159">
        <f>AA39*Inputs!$C$55</f>
        <v>5.4712287493211817E-2</v>
      </c>
      <c r="AB109" s="159">
        <f>AB39*Inputs!$C$55</f>
        <v>5.5798830412717743E-2</v>
      </c>
      <c r="AC109" s="159">
        <f>AC39*Inputs!$C$55</f>
        <v>5.7236570135295886E-2</v>
      </c>
      <c r="AD109" s="159">
        <f>AD39*Inputs!$C$55</f>
        <v>5.8661993927491336E-2</v>
      </c>
      <c r="AE109" s="159">
        <f>AE39*Inputs!$C$55</f>
        <v>5.9762578973866803E-2</v>
      </c>
      <c r="AF109" s="159">
        <f>AF39*Inputs!$C$55</f>
        <v>6.1993450829125572E-2</v>
      </c>
      <c r="AG109" s="159">
        <f>AG39*Inputs!$C$55</f>
        <v>6.3487249372327678E-2</v>
      </c>
      <c r="AH109" s="188">
        <f>AH39*Inputs!$C$55</f>
        <v>6.5431873358119994E-2</v>
      </c>
    </row>
    <row r="110" spans="1:36">
      <c r="A110" s="9" t="s">
        <v>340</v>
      </c>
      <c r="B110" s="35">
        <v>1</v>
      </c>
      <c r="C110" s="336">
        <f>C40*Inputs!$C$51</f>
        <v>2.7000000000000002E-5</v>
      </c>
      <c r="D110" s="336">
        <f>D40*Inputs!$C$51</f>
        <v>3.1976628314315466E-5</v>
      </c>
      <c r="E110" s="336">
        <f>E40*Inputs!$C$51</f>
        <v>2.7000000000000002E-5</v>
      </c>
      <c r="F110" s="336">
        <f>F40*Inputs!$C$51</f>
        <v>2.7957276756139355E-5</v>
      </c>
      <c r="G110" s="336">
        <f>G40*Inputs!$C$51</f>
        <v>3.2347590300736671E-5</v>
      </c>
      <c r="H110" s="408">
        <f>H40*Inputs!$C$51</f>
        <v>2.7000000000000002E-5</v>
      </c>
      <c r="I110" s="14">
        <f>I40*Inputs!$C$51</f>
        <v>3.0234303144069582E-5</v>
      </c>
      <c r="J110" s="14">
        <f>J40*Inputs!$C$51</f>
        <v>3.2027672049101146E-5</v>
      </c>
      <c r="K110" s="14">
        <f>K40*Inputs!$C$51</f>
        <v>3.3517424101568748E-5</v>
      </c>
      <c r="L110" s="14">
        <f>L40*Inputs!$C$51</f>
        <v>3.6207934036408053E-5</v>
      </c>
      <c r="M110" s="14">
        <f>M40*Inputs!$C$51</f>
        <v>3.9042588413471874E-5</v>
      </c>
      <c r="N110" s="183">
        <f>N40*Inputs!$C$51</f>
        <v>4.2187686215958122E-5</v>
      </c>
      <c r="O110" s="14">
        <f>O40*Inputs!$C$51</f>
        <v>4.294747756080406E-5</v>
      </c>
      <c r="P110" s="14">
        <f>P40*Inputs!$C$51</f>
        <v>4.4920895657022388E-5</v>
      </c>
      <c r="Q110" s="14">
        <f>Q40*Inputs!$C$51</f>
        <v>4.6305571543118373E-5</v>
      </c>
      <c r="R110" s="14">
        <f>R40*Inputs!$C$51</f>
        <v>4.810215474217101E-5</v>
      </c>
      <c r="S110" s="14">
        <f>S40*Inputs!$C$51</f>
        <v>4.997228333782443E-5</v>
      </c>
      <c r="T110" s="14">
        <f>T40*Inputs!$C$51</f>
        <v>5.2309598281592924E-5</v>
      </c>
      <c r="U110" s="14">
        <f>U40*Inputs!$C$51</f>
        <v>5.4333417494636582E-5</v>
      </c>
      <c r="V110" s="14">
        <f>V40*Inputs!$C$51</f>
        <v>5.6875655175893342E-5</v>
      </c>
      <c r="W110" s="14">
        <f>W40*Inputs!$C$51</f>
        <v>5.8846923589604175E-5</v>
      </c>
      <c r="X110" s="188">
        <f>X40*Inputs!$C$51</f>
        <v>6.0817358544476793E-5</v>
      </c>
      <c r="Y110" s="159">
        <f>Y40*Inputs!$C$51</f>
        <v>6.2368963667941882E-5</v>
      </c>
      <c r="Z110" s="159">
        <f>Z40*Inputs!$C$51</f>
        <v>6.2650645826503284E-5</v>
      </c>
      <c r="AA110" s="159">
        <f>AA40*Inputs!$C$51</f>
        <v>6.422746792681388E-5</v>
      </c>
      <c r="AB110" s="159">
        <f>AB40*Inputs!$C$51</f>
        <v>6.5502974832320847E-5</v>
      </c>
      <c r="AC110" s="159">
        <f>AC40*Inputs!$C$51</f>
        <v>6.7190756245782127E-5</v>
      </c>
      <c r="AD110" s="159">
        <f>AD40*Inputs!$C$51</f>
        <v>6.8864079827924622E-5</v>
      </c>
      <c r="AE110" s="159">
        <f>AE40*Inputs!$C$51</f>
        <v>7.0156070969321901E-5</v>
      </c>
      <c r="AF110" s="159">
        <f>AF40*Inputs!$C$51</f>
        <v>7.2774920538538725E-5</v>
      </c>
      <c r="AG110" s="159">
        <f>AG40*Inputs!$C$51</f>
        <v>7.4528510132732513E-5</v>
      </c>
      <c r="AH110" s="188">
        <f>AH40*Inputs!$C$51</f>
        <v>7.6811329594314779E-5</v>
      </c>
    </row>
    <row r="111" spans="1:36">
      <c r="A111" s="10" t="s">
        <v>119</v>
      </c>
      <c r="B111" s="35">
        <v>1</v>
      </c>
      <c r="C111" s="336"/>
      <c r="D111" s="336"/>
      <c r="E111" s="336"/>
      <c r="F111" s="336"/>
      <c r="G111" s="336"/>
      <c r="H111" s="408"/>
      <c r="I111" s="14"/>
      <c r="J111" s="14"/>
      <c r="K111" s="14"/>
      <c r="L111" s="14"/>
      <c r="M111" s="14"/>
      <c r="N111" s="188"/>
      <c r="O111" s="14"/>
      <c r="P111" s="14"/>
      <c r="Q111" s="14"/>
      <c r="R111" s="14"/>
      <c r="S111" s="14"/>
      <c r="T111" s="14"/>
      <c r="U111" s="14"/>
      <c r="V111" s="14"/>
      <c r="W111" s="14"/>
      <c r="X111" s="188"/>
    </row>
    <row r="112" spans="1:36">
      <c r="A112" s="10" t="s">
        <v>53</v>
      </c>
      <c r="B112" s="35">
        <v>1</v>
      </c>
      <c r="C112" s="336">
        <f>C42*Inputs!$C$57</f>
        <v>51.000000000000007</v>
      </c>
      <c r="D112" s="336">
        <f>D42*Inputs!$C$57</f>
        <v>72.213596701453241</v>
      </c>
      <c r="E112" s="336">
        <f>E42*Inputs!$C$57</f>
        <v>77.968460000000007</v>
      </c>
      <c r="F112" s="336">
        <f>F42*Inputs!$C$57</f>
        <v>188.12845999999999</v>
      </c>
      <c r="G112" s="336">
        <f>G42*Inputs!$C$57</f>
        <v>389.71514000000002</v>
      </c>
      <c r="H112" s="408">
        <f>H42*Inputs!$C$57</f>
        <v>430.73426999999998</v>
      </c>
      <c r="I112" s="14">
        <f>I42*Inputs!$C$57</f>
        <v>927.17898000000002</v>
      </c>
      <c r="J112" s="14">
        <f>J42*Inputs!$C$57</f>
        <v>1258.1164500000002</v>
      </c>
      <c r="K112" s="14">
        <f>K42*Inputs!$C$57</f>
        <v>1258.1184900000001</v>
      </c>
      <c r="L112" s="14">
        <f>L42*Inputs!$C$57</f>
        <v>1257.9823200000001</v>
      </c>
      <c r="M112" s="14">
        <f>M42*Inputs!$C$57</f>
        <v>1521.5412876950943</v>
      </c>
      <c r="N112" s="183">
        <f>N42*Inputs!$C$57</f>
        <v>1965.6705983222441</v>
      </c>
      <c r="O112" s="14">
        <f>O42*Inputs!$C$57</f>
        <v>2001.0719118661571</v>
      </c>
      <c r="P112" s="14">
        <f>P42*Inputs!$C$57</f>
        <v>2093.0203043443889</v>
      </c>
      <c r="Q112" s="14">
        <f>Q42*Inputs!$C$57</f>
        <v>2157.5371556258688</v>
      </c>
      <c r="R112" s="14">
        <f>R42*Inputs!$C$57</f>
        <v>2241.2461970210243</v>
      </c>
      <c r="S112" s="14">
        <f>S42*Inputs!$C$57</f>
        <v>2328.3819734829026</v>
      </c>
      <c r="T112" s="14">
        <f>T42*Inputs!$C$57</f>
        <v>2437.2855820018981</v>
      </c>
      <c r="U112" s="14">
        <f>U42*Inputs!$C$57</f>
        <v>2531.5823372928949</v>
      </c>
      <c r="V112" s="14">
        <f>V42*Inputs!$C$57</f>
        <v>2650.0340067779848</v>
      </c>
      <c r="W112" s="14">
        <f>W42*Inputs!$C$57</f>
        <v>2741.8822380935712</v>
      </c>
      <c r="X112" s="188">
        <f>X42*Inputs!$C$57</f>
        <v>2833.691635671637</v>
      </c>
      <c r="Y112" s="159">
        <f>Y42*Inputs!$C$57</f>
        <v>2905.9862989956423</v>
      </c>
      <c r="Z112" s="159">
        <f>Z42*Inputs!$C$57</f>
        <v>2919.110847574148</v>
      </c>
      <c r="AA112" s="159">
        <f>AA42*Inputs!$C$57</f>
        <v>2992.5804572962579</v>
      </c>
      <c r="AB112" s="159">
        <f>AB42*Inputs!$C$57</f>
        <v>3052.0107471983297</v>
      </c>
      <c r="AC112" s="159">
        <f>AC42*Inputs!$C$57</f>
        <v>3130.6503361023701</v>
      </c>
      <c r="AD112" s="159">
        <f>AD42*Inputs!$C$57</f>
        <v>3208.6162845087215</v>
      </c>
      <c r="AE112" s="159">
        <f>AE42*Inputs!$C$57</f>
        <v>3268.8146321245904</v>
      </c>
      <c r="AF112" s="159">
        <f>AF42*Inputs!$C$57</f>
        <v>3390.8359151427417</v>
      </c>
      <c r="AG112" s="159">
        <f>AG42*Inputs!$C$57</f>
        <v>3472.5417353952557</v>
      </c>
      <c r="AH112" s="188">
        <f>AH42*Inputs!$C$57</f>
        <v>3578.9062104209734</v>
      </c>
      <c r="AI112" s="31" t="s">
        <v>0</v>
      </c>
    </row>
    <row r="113" spans="1:35" s="20" customFormat="1">
      <c r="A113" s="10" t="s">
        <v>380</v>
      </c>
      <c r="B113" s="37"/>
      <c r="C113" s="339">
        <f>SUM(C100:C112)</f>
        <v>3753.0050120000005</v>
      </c>
      <c r="D113" s="339">
        <f t="shared" ref="D113:AH113" si="83">SUM(D100:D112)</f>
        <v>4085.4609416208368</v>
      </c>
      <c r="E113" s="339">
        <f t="shared" si="83"/>
        <v>3112.1339451473036</v>
      </c>
      <c r="F113" s="339">
        <f t="shared" si="83"/>
        <v>3159.6238215859953</v>
      </c>
      <c r="G113" s="339">
        <f t="shared" si="83"/>
        <v>3520.2117806576198</v>
      </c>
      <c r="H113" s="410">
        <f t="shared" si="83"/>
        <v>2754.2367020000006</v>
      </c>
      <c r="I113" s="19">
        <f t="shared" si="83"/>
        <v>3394.7468603536795</v>
      </c>
      <c r="J113" s="19">
        <f t="shared" si="83"/>
        <v>3739.0110122953483</v>
      </c>
      <c r="K113" s="19">
        <f t="shared" si="83"/>
        <v>3723.8113567566897</v>
      </c>
      <c r="L113" s="19">
        <f t="shared" si="83"/>
        <v>3789.6580908547435</v>
      </c>
      <c r="M113" s="19">
        <f t="shared" si="83"/>
        <v>4118.6267080943071</v>
      </c>
      <c r="N113" s="183">
        <f t="shared" si="83"/>
        <v>4637.8954330858105</v>
      </c>
      <c r="O113" s="19">
        <f t="shared" si="83"/>
        <v>4645.40391907916</v>
      </c>
      <c r="P113" s="19">
        <f t="shared" si="83"/>
        <v>4782.0624221003191</v>
      </c>
      <c r="Q113" s="19">
        <f t="shared" si="83"/>
        <v>4853.0124419082003</v>
      </c>
      <c r="R113" s="19">
        <f t="shared" si="83"/>
        <v>4964.5981692439436</v>
      </c>
      <c r="S113" s="19">
        <f t="shared" si="83"/>
        <v>5080.6581894247747</v>
      </c>
      <c r="T113" s="19">
        <f t="shared" si="83"/>
        <v>5240.5008738870474</v>
      </c>
      <c r="U113" s="19">
        <f t="shared" si="83"/>
        <v>5365.2259707400335</v>
      </c>
      <c r="V113" s="19">
        <f t="shared" si="83"/>
        <v>5537.3937052707652</v>
      </c>
      <c r="W113" s="19">
        <f t="shared" si="83"/>
        <v>5650.5215825210216</v>
      </c>
      <c r="X113" s="183">
        <f t="shared" si="83"/>
        <v>5761.0972054710455</v>
      </c>
      <c r="Y113" s="207">
        <f t="shared" si="83"/>
        <v>5858.5224082423183</v>
      </c>
      <c r="Z113" s="207">
        <f t="shared" si="83"/>
        <v>5836.3492728127276</v>
      </c>
      <c r="AA113" s="207">
        <f t="shared" si="83"/>
        <v>5934.5330708174988</v>
      </c>
      <c r="AB113" s="207">
        <f t="shared" si="83"/>
        <v>6003.8566792198662</v>
      </c>
      <c r="AC113" s="207">
        <f t="shared" si="83"/>
        <v>6109.9194920586688</v>
      </c>
      <c r="AD113" s="207">
        <f t="shared" si="83"/>
        <v>6213.3827861124701</v>
      </c>
      <c r="AE113" s="207">
        <f t="shared" si="83"/>
        <v>6281.4854528489395</v>
      </c>
      <c r="AF113" s="207">
        <f t="shared" si="83"/>
        <v>6466.8457741092707</v>
      </c>
      <c r="AG113" s="207">
        <f t="shared" si="83"/>
        <v>6573.5258332214435</v>
      </c>
      <c r="AH113" s="183">
        <f t="shared" si="83"/>
        <v>6725.3898840468155</v>
      </c>
      <c r="AI113" s="31" t="s">
        <v>0</v>
      </c>
    </row>
    <row r="114" spans="1:35" s="20" customFormat="1">
      <c r="A114" s="10" t="s">
        <v>381</v>
      </c>
      <c r="B114" s="37"/>
      <c r="C114" s="339">
        <f>SUM(C101:C103)</f>
        <v>3264.9399850000004</v>
      </c>
      <c r="D114" s="339">
        <f t="shared" ref="D114:AH114" si="84">SUM(D101:D103)</f>
        <v>3488.9747670830743</v>
      </c>
      <c r="E114" s="339">
        <f t="shared" si="84"/>
        <v>2595.7230506545052</v>
      </c>
      <c r="F114" s="339">
        <f t="shared" si="84"/>
        <v>2475.9704534591547</v>
      </c>
      <c r="G114" s="339">
        <f t="shared" si="84"/>
        <v>2576.7024670403625</v>
      </c>
      <c r="H114" s="410">
        <f t="shared" si="84"/>
        <v>1976.354415</v>
      </c>
      <c r="I114" s="19">
        <f t="shared" si="84"/>
        <v>2074.6737728188145</v>
      </c>
      <c r="J114" s="19">
        <f t="shared" si="84"/>
        <v>2060.1634741433086</v>
      </c>
      <c r="K114" s="19">
        <f t="shared" si="84"/>
        <v>2020.9305327472339</v>
      </c>
      <c r="L114" s="19">
        <f t="shared" si="84"/>
        <v>2046.2902309636675</v>
      </c>
      <c r="M114" s="19">
        <f t="shared" si="84"/>
        <v>2068.0613614332647</v>
      </c>
      <c r="N114" s="183">
        <f t="shared" si="84"/>
        <v>2094.357195</v>
      </c>
      <c r="O114" s="19">
        <f t="shared" si="84"/>
        <v>2056.0570929449436</v>
      </c>
      <c r="P114" s="19">
        <f t="shared" si="84"/>
        <v>2073.7362245503009</v>
      </c>
      <c r="Q114" s="19">
        <f t="shared" si="84"/>
        <v>2061.2027357909756</v>
      </c>
      <c r="R114" s="19">
        <f t="shared" si="84"/>
        <v>2064.4706463756238</v>
      </c>
      <c r="S114" s="19">
        <f t="shared" si="84"/>
        <v>2067.7787235171395</v>
      </c>
      <c r="T114" s="19">
        <f t="shared" si="84"/>
        <v>2086.7023278598749</v>
      </c>
      <c r="U114" s="19">
        <f t="shared" si="84"/>
        <v>2089.4093190267972</v>
      </c>
      <c r="V114" s="19">
        <f t="shared" si="84"/>
        <v>2108.3029744938322</v>
      </c>
      <c r="W114" s="19">
        <f t="shared" si="84"/>
        <v>2102.5810868591957</v>
      </c>
      <c r="X114" s="183">
        <f t="shared" si="84"/>
        <v>2094.3571949999996</v>
      </c>
      <c r="Y114" s="207">
        <f t="shared" si="84"/>
        <v>2098.2345567794509</v>
      </c>
      <c r="Z114" s="207">
        <f t="shared" si="84"/>
        <v>2059.0785193338575</v>
      </c>
      <c r="AA114" s="207">
        <f t="shared" si="84"/>
        <v>2062.1941193277671</v>
      </c>
      <c r="AB114" s="207">
        <f t="shared" si="84"/>
        <v>2054.616127332049</v>
      </c>
      <c r="AC114" s="207">
        <f t="shared" si="84"/>
        <v>2058.9208930313657</v>
      </c>
      <c r="AD114" s="207">
        <f t="shared" si="84"/>
        <v>2061.4978172074048</v>
      </c>
      <c r="AE114" s="207">
        <f t="shared" si="84"/>
        <v>2051.7050323045032</v>
      </c>
      <c r="AF114" s="207">
        <f t="shared" si="84"/>
        <v>2079.1722663497817</v>
      </c>
      <c r="AG114" s="207">
        <f t="shared" si="84"/>
        <v>2080.1266365984093</v>
      </c>
      <c r="AH114" s="183">
        <f t="shared" si="84"/>
        <v>2094.3571949999996</v>
      </c>
      <c r="AI114" s="31"/>
    </row>
    <row r="115" spans="1:35" s="20" customFormat="1">
      <c r="A115" s="10" t="s">
        <v>382</v>
      </c>
      <c r="B115" s="37"/>
      <c r="C115" s="339">
        <f>SUMPRODUCT($B104:$B112,C104:C112)</f>
        <v>488.06502699999993</v>
      </c>
      <c r="D115" s="339">
        <f t="shared" ref="D115:AH115" si="85">SUMPRODUCT($B104:$B112,D104:D112)</f>
        <v>596.48617453776228</v>
      </c>
      <c r="E115" s="339">
        <f t="shared" si="85"/>
        <v>516.41089449279787</v>
      </c>
      <c r="F115" s="339">
        <f t="shared" si="85"/>
        <v>683.65336812684109</v>
      </c>
      <c r="G115" s="339">
        <f t="shared" si="85"/>
        <v>943.50931361725713</v>
      </c>
      <c r="H115" s="410">
        <f t="shared" si="85"/>
        <v>777.88228700000002</v>
      </c>
      <c r="I115" s="19">
        <f t="shared" si="85"/>
        <v>1320.0730875348647</v>
      </c>
      <c r="J115" s="19">
        <f t="shared" si="85"/>
        <v>1678.8475381520402</v>
      </c>
      <c r="K115" s="19">
        <f t="shared" si="85"/>
        <v>1702.8808240094559</v>
      </c>
      <c r="L115" s="19">
        <f t="shared" si="85"/>
        <v>1743.3678598910763</v>
      </c>
      <c r="M115" s="19">
        <f t="shared" si="85"/>
        <v>2050.5653466610429</v>
      </c>
      <c r="N115" s="183">
        <f t="shared" si="85"/>
        <v>2543.53823808581</v>
      </c>
      <c r="O115" s="19">
        <f t="shared" si="85"/>
        <v>2589.3468261342164</v>
      </c>
      <c r="P115" s="19">
        <f t="shared" si="85"/>
        <v>2708.3261975500186</v>
      </c>
      <c r="Q115" s="19">
        <f t="shared" si="85"/>
        <v>2791.8097061172239</v>
      </c>
      <c r="R115" s="19">
        <f t="shared" si="85"/>
        <v>2900.1275228683203</v>
      </c>
      <c r="S115" s="19">
        <f t="shared" si="85"/>
        <v>3012.8794659076348</v>
      </c>
      <c r="T115" s="19">
        <f t="shared" si="85"/>
        <v>3153.798546027173</v>
      </c>
      <c r="U115" s="19">
        <f t="shared" si="85"/>
        <v>3275.8166517132358</v>
      </c>
      <c r="V115" s="19">
        <f t="shared" si="85"/>
        <v>3429.090730776933</v>
      </c>
      <c r="W115" s="19">
        <f t="shared" si="85"/>
        <v>3547.9404956618255</v>
      </c>
      <c r="X115" s="183">
        <f t="shared" si="85"/>
        <v>3666.7400104710459</v>
      </c>
      <c r="Y115" s="207">
        <f t="shared" si="85"/>
        <v>3760.2878514628674</v>
      </c>
      <c r="Z115" s="207">
        <f t="shared" si="85"/>
        <v>3777.2707534788697</v>
      </c>
      <c r="AA115" s="207">
        <f t="shared" si="85"/>
        <v>3872.3389514897312</v>
      </c>
      <c r="AB115" s="207">
        <f t="shared" si="85"/>
        <v>3949.2405518878177</v>
      </c>
      <c r="AC115" s="207">
        <f t="shared" si="85"/>
        <v>4050.998599027303</v>
      </c>
      <c r="AD115" s="207">
        <f t="shared" si="85"/>
        <v>4151.8849689050658</v>
      </c>
      <c r="AE115" s="207">
        <f t="shared" si="85"/>
        <v>4229.7804205444363</v>
      </c>
      <c r="AF115" s="207">
        <f t="shared" si="85"/>
        <v>4387.6735077594894</v>
      </c>
      <c r="AG115" s="207">
        <f t="shared" si="85"/>
        <v>4493.3991966230342</v>
      </c>
      <c r="AH115" s="183">
        <f t="shared" si="85"/>
        <v>4631.0326890468159</v>
      </c>
    </row>
    <row r="116" spans="1:35" s="20" customFormat="1">
      <c r="A116" s="10" t="s">
        <v>141</v>
      </c>
      <c r="B116" s="37"/>
      <c r="C116" s="339">
        <f>C47*Inputs!$C$60</f>
        <v>5796.0132999999987</v>
      </c>
      <c r="D116" s="339">
        <f>D47*Inputs!$C$60</f>
        <v>7743.5879331521328</v>
      </c>
      <c r="E116" s="339">
        <f>E47*Inputs!$C$60</f>
        <v>5863.1986065411556</v>
      </c>
      <c r="F116" s="339">
        <f>F47*Inputs!$C$60</f>
        <v>4948.491659248828</v>
      </c>
      <c r="G116" s="339">
        <f>G47*Inputs!$C$60</f>
        <v>5813.4927226020272</v>
      </c>
      <c r="H116" s="410">
        <f>H47*Inputs!$C$60</f>
        <v>6352.6595267329549</v>
      </c>
      <c r="I116" s="19">
        <f>I47*Inputs!$C$60</f>
        <v>6474.4620074604982</v>
      </c>
      <c r="J116" s="19">
        <f>J47*Inputs!$C$60</f>
        <v>4514.3018003825209</v>
      </c>
      <c r="K116" s="19">
        <f>K47*Inputs!$C$60</f>
        <v>4149.2387997223759</v>
      </c>
      <c r="L116" s="19">
        <f>L47*Inputs!$C$60</f>
        <v>4208.555921356221</v>
      </c>
      <c r="M116" s="19">
        <f>M47*Inputs!$C$60</f>
        <v>4122.0092516527393</v>
      </c>
      <c r="N116" s="183">
        <f>N47*Inputs!$C$60</f>
        <v>3974.9520953261454</v>
      </c>
      <c r="O116" s="19">
        <f>O47*Inputs!$C$60</f>
        <v>3882.2120556139362</v>
      </c>
      <c r="P116" s="19">
        <f>P47*Inputs!$C$60</f>
        <v>3865.0754468639766</v>
      </c>
      <c r="Q116" s="19">
        <f>Q47*Inputs!$C$60</f>
        <v>3864.3996649655587</v>
      </c>
      <c r="R116" s="19">
        <f>R47*Inputs!$C$60</f>
        <v>3941.0994844314546</v>
      </c>
      <c r="S116" s="19">
        <f>S47*Inputs!$C$60</f>
        <v>4034.2024779772146</v>
      </c>
      <c r="T116" s="19">
        <f>T47*Inputs!$C$60</f>
        <v>4018.4021626993717</v>
      </c>
      <c r="U116" s="19">
        <f>U47*Inputs!$C$60</f>
        <v>4011.720602334573</v>
      </c>
      <c r="V116" s="19">
        <f>V47*Inputs!$C$60</f>
        <v>3965.5825839294962</v>
      </c>
      <c r="W116" s="19">
        <f>W47*Inputs!$C$60</f>
        <v>3929.4844671996352</v>
      </c>
      <c r="X116" s="183">
        <f>X47*Inputs!$C$60</f>
        <v>3882.4063455585215</v>
      </c>
      <c r="Y116" s="207">
        <f>Y47*Inputs!$C$60</f>
        <v>3841.9181517251914</v>
      </c>
      <c r="Z116" s="207">
        <f>Z47*Inputs!$C$60</f>
        <v>3830.5636819365159</v>
      </c>
      <c r="AA116" s="207">
        <f>AA47*Inputs!$C$60</f>
        <v>3798.2290055505068</v>
      </c>
      <c r="AB116" s="207">
        <f>AB47*Inputs!$C$60</f>
        <v>3771.2380316357167</v>
      </c>
      <c r="AC116" s="207">
        <f>AC47*Inputs!$C$60</f>
        <v>3736.1765805288355</v>
      </c>
      <c r="AD116" s="207">
        <f>AD47*Inputs!$C$60</f>
        <v>3701.7078137078938</v>
      </c>
      <c r="AE116" s="207">
        <f>AE47*Inputs!$C$60</f>
        <v>3676.1815139529635</v>
      </c>
      <c r="AF116" s="207">
        <f>AF47*Inputs!$C$60</f>
        <v>3627.8144394307683</v>
      </c>
      <c r="AG116" s="207">
        <f>AG47*Inputs!$C$60</f>
        <v>3593.8407128828239</v>
      </c>
      <c r="AH116" s="183">
        <f>AH47*Inputs!$C$60</f>
        <v>3553.0795527015907</v>
      </c>
      <c r="AI116" s="31"/>
    </row>
    <row r="117" spans="1:35" s="20" customFormat="1">
      <c r="A117" s="10" t="s">
        <v>221</v>
      </c>
      <c r="B117" s="37"/>
      <c r="C117" s="339">
        <f>C48*Inputs!$C$61</f>
        <v>2484.0056999999997</v>
      </c>
      <c r="D117" s="339">
        <f>D48*Inputs!$C$61</f>
        <v>1445.8144106027137</v>
      </c>
      <c r="E117" s="339">
        <f>E48*Inputs!$C$61</f>
        <v>1316.7500344860628</v>
      </c>
      <c r="F117" s="339">
        <f>F48*Inputs!$C$61</f>
        <v>2063.1325583457456</v>
      </c>
      <c r="G117" s="339">
        <f>G48*Inputs!$C$61</f>
        <v>1672.1437954618198</v>
      </c>
      <c r="H117" s="410">
        <f>H48*Inputs!$C$61</f>
        <v>2265.1099632670448</v>
      </c>
      <c r="I117" s="19">
        <f>I48*Inputs!$C$61</f>
        <v>2166.5018678581346</v>
      </c>
      <c r="J117" s="19">
        <f>J48*Inputs!$C$61</f>
        <v>3758.9145314703269</v>
      </c>
      <c r="K117" s="19">
        <f>K48*Inputs!$C$61</f>
        <v>3857.3539226409625</v>
      </c>
      <c r="L117" s="19">
        <f>L48*Inputs!$C$61</f>
        <v>3811.4108233200045</v>
      </c>
      <c r="M117" s="19">
        <f>M48*Inputs!$C$61</f>
        <v>3722.5735524307979</v>
      </c>
      <c r="N117" s="183">
        <f>N48*Inputs!$C$61</f>
        <v>3593.6226876738556</v>
      </c>
      <c r="O117" s="19">
        <f>O48*Inputs!$C$61</f>
        <v>3569.8251975818798</v>
      </c>
      <c r="P117" s="19">
        <f>P48*Inputs!$C$61</f>
        <v>3671.2857958409231</v>
      </c>
      <c r="Q117" s="19">
        <f>Q48*Inputs!$C$61</f>
        <v>3645.6157208960612</v>
      </c>
      <c r="R117" s="19">
        <f>R48*Inputs!$C$61</f>
        <v>3598.4132194240046</v>
      </c>
      <c r="S117" s="19">
        <f>S48*Inputs!$C$61</f>
        <v>3533.5896789969711</v>
      </c>
      <c r="T117" s="19">
        <f>T48*Inputs!$C$61</f>
        <v>3634.0493244908007</v>
      </c>
      <c r="U117" s="19">
        <f>U48*Inputs!$C$61</f>
        <v>3664.7403849775887</v>
      </c>
      <c r="V117" s="19">
        <f>V48*Inputs!$C$61</f>
        <v>3793.0224140364239</v>
      </c>
      <c r="W117" s="19">
        <f>W48*Inputs!$C$61</f>
        <v>3819.2926937693442</v>
      </c>
      <c r="X117" s="183">
        <f>X48*Inputs!$C$61</f>
        <v>3845.5600434414778</v>
      </c>
      <c r="Y117" s="207">
        <f>Y48*Inputs!$C$61</f>
        <v>3856.9317425344716</v>
      </c>
      <c r="Z117" s="207">
        <f>Z48*Inputs!$C$61</f>
        <v>3680.9005364998316</v>
      </c>
      <c r="AA117" s="207">
        <f>AA48*Inputs!$C$61</f>
        <v>3679.3692324684666</v>
      </c>
      <c r="AB117" s="207">
        <f>AB48*Inputs!$C$61</f>
        <v>3632.5352678229838</v>
      </c>
      <c r="AC117" s="207">
        <f>AC48*Inputs!$C$61</f>
        <v>3635.2652940441126</v>
      </c>
      <c r="AD117" s="207">
        <f>AD48*Inputs!$C$61</f>
        <v>3629.6797003188281</v>
      </c>
      <c r="AE117" s="207">
        <f>AE48*Inputs!$C$61</f>
        <v>3569.9461817643937</v>
      </c>
      <c r="AF117" s="207">
        <f>AF48*Inputs!$C$61</f>
        <v>3662.6182475244541</v>
      </c>
      <c r="AG117" s="207">
        <f>AG48*Inputs!$C$61</f>
        <v>3645.8054830531119</v>
      </c>
      <c r="AH117" s="183">
        <f>AH48*Inputs!$C$61</f>
        <v>3679.9807157984087</v>
      </c>
      <c r="AI117" s="31"/>
    </row>
    <row r="118" spans="1:35" s="20" customFormat="1">
      <c r="A118" s="10" t="s">
        <v>58</v>
      </c>
      <c r="B118" s="37"/>
      <c r="C118" s="339">
        <f>SUM(C113,C116,C117)</f>
        <v>12033.024012</v>
      </c>
      <c r="D118" s="339">
        <f>SUM(D113,D116,D117)</f>
        <v>13274.863285375683</v>
      </c>
      <c r="E118" s="339">
        <f t="shared" ref="E118:AH118" si="86">SUM(E113,E116,E117)</f>
        <v>10292.082586174522</v>
      </c>
      <c r="F118" s="339">
        <f t="shared" si="86"/>
        <v>10171.248039180569</v>
      </c>
      <c r="G118" s="339">
        <f t="shared" si="86"/>
        <v>11005.848298721467</v>
      </c>
      <c r="H118" s="410">
        <f t="shared" si="86"/>
        <v>11372.006192000001</v>
      </c>
      <c r="I118" s="19">
        <f t="shared" si="86"/>
        <v>12035.710735672312</v>
      </c>
      <c r="J118" s="19">
        <f t="shared" si="86"/>
        <v>12012.227344148196</v>
      </c>
      <c r="K118" s="19">
        <f t="shared" si="86"/>
        <v>11730.404079120028</v>
      </c>
      <c r="L118" s="19">
        <f t="shared" si="86"/>
        <v>11809.624835530969</v>
      </c>
      <c r="M118" s="19">
        <f t="shared" si="86"/>
        <v>11963.209512177846</v>
      </c>
      <c r="N118" s="183">
        <f t="shared" si="86"/>
        <v>12206.470216085811</v>
      </c>
      <c r="O118" s="19">
        <f t="shared" si="86"/>
        <v>12097.441172274977</v>
      </c>
      <c r="P118" s="19">
        <f t="shared" si="86"/>
        <v>12318.423664805217</v>
      </c>
      <c r="Q118" s="19">
        <f t="shared" si="86"/>
        <v>12363.02782776982</v>
      </c>
      <c r="R118" s="19">
        <f t="shared" si="86"/>
        <v>12504.110873099402</v>
      </c>
      <c r="S118" s="19">
        <f t="shared" si="86"/>
        <v>12648.45034639896</v>
      </c>
      <c r="T118" s="19">
        <f t="shared" si="86"/>
        <v>12892.952361077221</v>
      </c>
      <c r="U118" s="19">
        <f t="shared" si="86"/>
        <v>13041.686958052196</v>
      </c>
      <c r="V118" s="19">
        <f t="shared" si="86"/>
        <v>13295.998703236686</v>
      </c>
      <c r="W118" s="19">
        <f t="shared" si="86"/>
        <v>13399.298743490002</v>
      </c>
      <c r="X118" s="183">
        <f t="shared" si="86"/>
        <v>13489.063594471045</v>
      </c>
      <c r="Y118" s="207">
        <f t="shared" si="86"/>
        <v>13557.372302501983</v>
      </c>
      <c r="Z118" s="207">
        <f t="shared" si="86"/>
        <v>13347.813491249075</v>
      </c>
      <c r="AA118" s="207">
        <f t="shared" si="86"/>
        <v>13412.131308836473</v>
      </c>
      <c r="AB118" s="207">
        <f t="shared" si="86"/>
        <v>13407.629978678568</v>
      </c>
      <c r="AC118" s="207">
        <f t="shared" si="86"/>
        <v>13481.361366631618</v>
      </c>
      <c r="AD118" s="207">
        <f t="shared" si="86"/>
        <v>13544.770300139191</v>
      </c>
      <c r="AE118" s="207">
        <f t="shared" si="86"/>
        <v>13527.613148566295</v>
      </c>
      <c r="AF118" s="207">
        <f t="shared" si="86"/>
        <v>13757.278461064492</v>
      </c>
      <c r="AG118" s="207">
        <f t="shared" si="86"/>
        <v>13813.17202915738</v>
      </c>
      <c r="AH118" s="183">
        <f t="shared" si="86"/>
        <v>13958.450152546815</v>
      </c>
      <c r="AI118" s="31"/>
    </row>
    <row r="119" spans="1:35" s="1" customFormat="1">
      <c r="A119" s="1" t="s">
        <v>332</v>
      </c>
      <c r="B119" s="13"/>
      <c r="C119" s="346">
        <f>C118-'Output - Jobs vs Yr (BAU)'!C55</f>
        <v>0.5389999999988504</v>
      </c>
      <c r="D119" s="346">
        <f>D118-'Output - Jobs vs Yr (BAU)'!D55</f>
        <v>-155.29172662431665</v>
      </c>
      <c r="E119" s="346">
        <f>E118-'Output - Jobs vs Yr (BAU)'!E55</f>
        <v>122.1630041745193</v>
      </c>
      <c r="F119" s="346">
        <f>F118-'Output - Jobs vs Yr (BAU)'!F55</f>
        <v>260.0386171805676</v>
      </c>
      <c r="G119" s="346">
        <f>G118-'Output - Jobs vs Yr (BAU)'!G55</f>
        <v>201.15347672146527</v>
      </c>
      <c r="H119" s="411">
        <f>H118-'Output - Jobs vs Yr (BAU)'!H55</f>
        <v>-32.937519999999495</v>
      </c>
      <c r="I119" s="15">
        <f>I118-'Output - Jobs vs Yr (BAU)'!I55</f>
        <v>-8.3722463276881172</v>
      </c>
      <c r="J119" s="15">
        <f>J118-'Output - Jobs vs Yr (BAU)'!J55</f>
        <v>-6.5117678518072353</v>
      </c>
      <c r="K119" s="15">
        <f>K118-'Output - Jobs vs Yr (BAU)'!K55</f>
        <v>-9.4763228799711214</v>
      </c>
      <c r="L119" s="15">
        <f>L118-'Output - Jobs vs Yr (BAU)'!L55</f>
        <v>12.514513530968543</v>
      </c>
      <c r="M119" s="15">
        <f>M118-'Output - Jobs vs Yr (BAU)'!M55</f>
        <v>115.37977017784578</v>
      </c>
      <c r="N119" s="183">
        <f>N118-'Output - Jobs vs Yr (BAU)'!N55</f>
        <v>296.58767408581116</v>
      </c>
      <c r="O119" s="15">
        <f>O118-'Output - Jobs vs Yr (BAU)'!O55</f>
        <v>296.98214027497852</v>
      </c>
      <c r="P119" s="15">
        <f>P118-'Output - Jobs vs Yr (BAU)'!P55</f>
        <v>343.31747280521813</v>
      </c>
      <c r="Q119" s="15">
        <f>Q118-'Output - Jobs vs Yr (BAU)'!Q55</f>
        <v>373.11368576982022</v>
      </c>
      <c r="R119" s="15">
        <f>R118-'Output - Jobs vs Yr (BAU)'!R55</f>
        <v>408.33624109940138</v>
      </c>
      <c r="S119" s="15">
        <f>S118-'Output - Jobs vs Yr (BAU)'!S55</f>
        <v>449.49253439896165</v>
      </c>
      <c r="T119" s="15">
        <f>T118-'Output - Jobs vs Yr (BAU)'!T55</f>
        <v>506.2086090772209</v>
      </c>
      <c r="U119" s="15">
        <f>U118-'Output - Jobs vs Yr (BAU)'!U55</f>
        <v>553.40016605219535</v>
      </c>
      <c r="V119" s="15">
        <f>V118-'Output - Jobs vs Yr (BAU)'!V55</f>
        <v>611.35855123668625</v>
      </c>
      <c r="W119" s="15">
        <f>W118-'Output - Jobs vs Yr (BAU)'!W55</f>
        <v>650.25615149000078</v>
      </c>
      <c r="X119" s="191">
        <f>X118-'Output - Jobs vs Yr (BAU)'!X55</f>
        <v>660.63952247104498</v>
      </c>
      <c r="Y119" s="131">
        <f>Y118-'Output - Jobs vs Yr (BAU)'!Y55</f>
        <v>676.30644050197952</v>
      </c>
      <c r="Z119" s="131">
        <f>Z118-'Output - Jobs vs Yr (BAU)'!Z55</f>
        <v>667.36439924907609</v>
      </c>
      <c r="AA119" s="131">
        <f>AA118-'Output - Jobs vs Yr (BAU)'!AA55</f>
        <v>700.95066683647201</v>
      </c>
      <c r="AB119" s="131">
        <f>AB118-'Output - Jobs vs Yr (BAU)'!AB55</f>
        <v>726.00747667856558</v>
      </c>
      <c r="AC119" s="131">
        <f>AC118-'Output - Jobs vs Yr (BAU)'!AC55</f>
        <v>763.6332946316179</v>
      </c>
      <c r="AD119" s="131">
        <f>AD118-'Output - Jobs vs Yr (BAU)'!AD55</f>
        <v>800.29672813919024</v>
      </c>
      <c r="AE119" s="131">
        <f>AE118-'Output - Jobs vs Yr (BAU)'!AE55</f>
        <v>824.72069656629537</v>
      </c>
      <c r="AF119" s="131">
        <f>AF118-'Output - Jobs vs Yr (BAU)'!AF55</f>
        <v>886.79144906449255</v>
      </c>
      <c r="AG119" s="131">
        <f>AG118-'Output - Jobs vs Yr (BAU)'!AG55</f>
        <v>922.83208715738147</v>
      </c>
      <c r="AH119" s="191">
        <f>AH118-'Output - Jobs vs Yr (BAU)'!AH55</f>
        <v>709.49775054681231</v>
      </c>
    </row>
    <row r="120" spans="1:35" s="1" customFormat="1">
      <c r="B120" s="13"/>
      <c r="C120" s="333"/>
      <c r="D120" s="346"/>
      <c r="E120" s="346"/>
      <c r="F120" s="346"/>
      <c r="G120" s="346"/>
      <c r="H120" s="411"/>
      <c r="I120" s="15"/>
      <c r="J120" s="15"/>
      <c r="K120" s="15"/>
      <c r="L120" s="15"/>
      <c r="M120" s="15"/>
      <c r="N120" s="188" t="s">
        <v>0</v>
      </c>
      <c r="O120" s="15"/>
      <c r="P120" s="15"/>
      <c r="Q120" s="15"/>
      <c r="R120" s="15"/>
      <c r="S120" s="15"/>
      <c r="T120" s="15"/>
      <c r="U120" s="15"/>
      <c r="V120" s="15"/>
      <c r="W120" s="15"/>
      <c r="X120" s="191"/>
      <c r="Y120"/>
      <c r="Z120"/>
      <c r="AA120"/>
      <c r="AB120"/>
      <c r="AC120"/>
      <c r="AD120"/>
      <c r="AE120"/>
      <c r="AF120"/>
      <c r="AG120"/>
      <c r="AH120" s="281"/>
    </row>
    <row r="121" spans="1:35" hidden="1">
      <c r="W121" s="2" t="s">
        <v>132</v>
      </c>
      <c r="X121" s="188">
        <f>X100</f>
        <v>0</v>
      </c>
    </row>
    <row r="122" spans="1:35" hidden="1">
      <c r="W122" s="2" t="s">
        <v>135</v>
      </c>
      <c r="X122" s="188">
        <f>X103-'Output - Jobs vs Yr (BAU)'!X43</f>
        <v>0</v>
      </c>
    </row>
    <row r="123" spans="1:35" hidden="1">
      <c r="W123" s="2" t="s">
        <v>133</v>
      </c>
      <c r="X123" s="188">
        <f>X115-'Output - Jobs vs Yr (BAU)'!X51</f>
        <v>1953.0839834710459</v>
      </c>
    </row>
    <row r="124" spans="1:35" hidden="1">
      <c r="W124" s="2" t="s">
        <v>136</v>
      </c>
      <c r="X124" s="188">
        <f>SUM(X101,X106,X111)</f>
        <v>0</v>
      </c>
    </row>
    <row r="125" spans="1:35" hidden="1">
      <c r="W125" s="2" t="s">
        <v>131</v>
      </c>
      <c r="X125" s="188">
        <f>SUM(X121:X124)</f>
        <v>1953.0839834710459</v>
      </c>
    </row>
    <row r="126" spans="1:35">
      <c r="A126" s="1" t="s">
        <v>139</v>
      </c>
      <c r="C126" s="333">
        <v>2009</v>
      </c>
      <c r="D126" s="333">
        <v>2010</v>
      </c>
      <c r="E126" s="333">
        <v>2011</v>
      </c>
      <c r="F126" s="333">
        <v>2012</v>
      </c>
      <c r="G126" s="333">
        <v>2013</v>
      </c>
      <c r="H126" s="406">
        <v>2014</v>
      </c>
      <c r="I126" s="13">
        <v>2015</v>
      </c>
      <c r="J126" s="13">
        <v>2016</v>
      </c>
      <c r="K126" s="13">
        <v>2017</v>
      </c>
      <c r="L126" s="13">
        <v>2018</v>
      </c>
      <c r="M126" s="13">
        <v>2019</v>
      </c>
      <c r="N126" s="177">
        <v>2020</v>
      </c>
      <c r="O126" s="13">
        <v>2021</v>
      </c>
      <c r="P126" s="13">
        <v>2022</v>
      </c>
      <c r="Q126" s="13">
        <v>2023</v>
      </c>
      <c r="R126" s="13">
        <v>2024</v>
      </c>
      <c r="S126" s="13">
        <v>2025</v>
      </c>
      <c r="T126" s="13">
        <v>2026</v>
      </c>
      <c r="U126" s="13">
        <v>2027</v>
      </c>
      <c r="V126" s="13">
        <v>2028</v>
      </c>
      <c r="W126" s="13">
        <v>2029</v>
      </c>
      <c r="X126" s="177">
        <v>2030</v>
      </c>
      <c r="Y126" s="13">
        <v>2031</v>
      </c>
      <c r="Z126" s="13">
        <v>2032</v>
      </c>
      <c r="AA126" s="13">
        <v>2033</v>
      </c>
      <c r="AB126" s="13">
        <v>2034</v>
      </c>
      <c r="AC126" s="13">
        <v>2035</v>
      </c>
      <c r="AD126" s="13">
        <v>2036</v>
      </c>
      <c r="AE126" s="13">
        <v>2037</v>
      </c>
      <c r="AF126" s="13">
        <v>2038</v>
      </c>
      <c r="AG126" s="13">
        <v>2039</v>
      </c>
      <c r="AH126" s="177">
        <v>2040</v>
      </c>
      <c r="AI126" s="1" t="s">
        <v>0</v>
      </c>
    </row>
    <row r="127" spans="1:35">
      <c r="A127" s="10" t="s">
        <v>61</v>
      </c>
      <c r="B127" s="35">
        <v>0</v>
      </c>
      <c r="C127" s="336">
        <v>0</v>
      </c>
      <c r="D127" s="336">
        <f xml:space="preserve"> IF(D100&gt; 0, D100*Inputs!$H44, 0)</f>
        <v>0</v>
      </c>
      <c r="E127" s="336">
        <f xml:space="preserve"> IF(E100&gt; 0, E100*Inputs!$H44, 0)</f>
        <v>0</v>
      </c>
      <c r="F127" s="336">
        <f xml:space="preserve"> IF(F100&gt; 0, F100*Inputs!$H44, 0)</f>
        <v>0</v>
      </c>
      <c r="G127" s="336">
        <f xml:space="preserve"> IF(G100&gt; 0, G100*Inputs!$H44, 0)</f>
        <v>0</v>
      </c>
      <c r="H127" s="408">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3">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8">
        <f xml:space="preserve"> IF(X100&gt; 0, X100*Inputs!$H44, 0)</f>
        <v>0</v>
      </c>
      <c r="Y127" s="159">
        <f xml:space="preserve"> IF(Y100&gt; 0, Y100*Inputs!$H44, 0)</f>
        <v>0</v>
      </c>
      <c r="Z127" s="159">
        <f xml:space="preserve"> IF(Z100&gt; 0, Z100*Inputs!$H44, 0)</f>
        <v>0</v>
      </c>
      <c r="AA127" s="159">
        <f xml:space="preserve"> IF(AA100&gt; 0, AA100*Inputs!$H44, 0)</f>
        <v>0</v>
      </c>
      <c r="AB127" s="159">
        <f xml:space="preserve"> IF(AB100&gt; 0, AB100*Inputs!$H44, 0)</f>
        <v>0</v>
      </c>
      <c r="AC127" s="159">
        <f xml:space="preserve"> IF(AC100&gt; 0, AC100*Inputs!$H44, 0)</f>
        <v>0</v>
      </c>
      <c r="AD127" s="159">
        <f xml:space="preserve"> IF(AD100&gt; 0, AD100*Inputs!$H44, 0)</f>
        <v>0</v>
      </c>
      <c r="AE127" s="159">
        <f xml:space="preserve"> IF(AE100&gt; 0, AE100*Inputs!$H44, 0)</f>
        <v>0</v>
      </c>
      <c r="AF127" s="159">
        <f xml:space="preserve"> IF(AF100&gt; 0, AF100*Inputs!$H44, 0)</f>
        <v>0</v>
      </c>
      <c r="AG127" s="159">
        <f xml:space="preserve"> IF(AG100&gt; 0, AG100*Inputs!$H44, 0)</f>
        <v>0</v>
      </c>
      <c r="AH127" s="188">
        <f xml:space="preserve"> IF(AH100&gt; 0, AH100*Inputs!$H44, 0)</f>
        <v>0</v>
      </c>
    </row>
    <row r="128" spans="1:35">
      <c r="A128" s="10" t="s">
        <v>60</v>
      </c>
      <c r="B128" s="35">
        <v>0</v>
      </c>
      <c r="C128" s="336">
        <f>C101*Inputs!$H47</f>
        <v>0</v>
      </c>
      <c r="D128" s="336">
        <f>D101*Inputs!$H47</f>
        <v>0</v>
      </c>
      <c r="E128" s="336">
        <f>E101*Inputs!$H47</f>
        <v>0</v>
      </c>
      <c r="F128" s="336">
        <f>F101*Inputs!$H47</f>
        <v>0</v>
      </c>
      <c r="G128" s="336">
        <f>G101*Inputs!$H47</f>
        <v>0</v>
      </c>
      <c r="H128" s="408">
        <f>H101*Inputs!$H47</f>
        <v>0</v>
      </c>
      <c r="I128" s="14">
        <f>I101*Inputs!$H47</f>
        <v>0</v>
      </c>
      <c r="J128" s="14">
        <f>J101*Inputs!$H47</f>
        <v>0</v>
      </c>
      <c r="K128" s="14">
        <f>K101*Inputs!$H47</f>
        <v>0</v>
      </c>
      <c r="L128" s="14">
        <f>L101*Inputs!$H47</f>
        <v>0</v>
      </c>
      <c r="M128" s="14">
        <f>M101*Inputs!$H47</f>
        <v>0</v>
      </c>
      <c r="N128" s="183">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8">
        <f>X101*Inputs!$H47</f>
        <v>0</v>
      </c>
      <c r="Y128" s="159">
        <f>Y101*Inputs!$H47</f>
        <v>0</v>
      </c>
      <c r="Z128" s="159">
        <f>Z101*Inputs!$H47</f>
        <v>0</v>
      </c>
      <c r="AA128" s="159">
        <f>AA101*Inputs!$H47</f>
        <v>0</v>
      </c>
      <c r="AB128" s="159">
        <f>AB101*Inputs!$H47</f>
        <v>0</v>
      </c>
      <c r="AC128" s="159">
        <f>AC101*Inputs!$H47</f>
        <v>0</v>
      </c>
      <c r="AD128" s="159">
        <f>AD101*Inputs!$H47</f>
        <v>0</v>
      </c>
      <c r="AE128" s="159">
        <f>AE101*Inputs!$H47</f>
        <v>0</v>
      </c>
      <c r="AF128" s="159">
        <f>AF101*Inputs!$H47</f>
        <v>0</v>
      </c>
      <c r="AG128" s="159">
        <f>AG101*Inputs!$H47</f>
        <v>0</v>
      </c>
      <c r="AH128" s="188">
        <f>AH101*Inputs!$H47</f>
        <v>0</v>
      </c>
    </row>
    <row r="129" spans="1:35">
      <c r="A129" s="10" t="s">
        <v>49</v>
      </c>
      <c r="B129" s="35">
        <v>0</v>
      </c>
      <c r="C129" s="336">
        <f>C102*Inputs!$H48</f>
        <v>185.2199865</v>
      </c>
      <c r="D129" s="336">
        <f>D102*Inputs!$H48</f>
        <v>192.97144381720912</v>
      </c>
      <c r="E129" s="336">
        <f>E102*Inputs!$H48</f>
        <v>139.63803078213107</v>
      </c>
      <c r="F129" s="336">
        <f>F102*Inputs!$H48</f>
        <v>129.19654849970402</v>
      </c>
      <c r="G129" s="336">
        <f>G102*Inputs!$H48</f>
        <v>130.00113133619405</v>
      </c>
      <c r="H129" s="408">
        <f>H102*Inputs!$H48</f>
        <v>67.418851500000002</v>
      </c>
      <c r="I129" s="14">
        <f>I102*Inputs!$H48</f>
        <v>70.700119098887996</v>
      </c>
      <c r="J129" s="14">
        <f>J102*Inputs!$H48</f>
        <v>70.134502891751637</v>
      </c>
      <c r="K129" s="14">
        <f>K102*Inputs!$H48</f>
        <v>68.730091925691255</v>
      </c>
      <c r="L129" s="14">
        <f>L102*Inputs!$H48</f>
        <v>69.523870820228709</v>
      </c>
      <c r="M129" s="14">
        <f>M102*Inputs!$H48</f>
        <v>70.195111928626716</v>
      </c>
      <c r="N129" s="183">
        <f>N102*Inputs!$H48</f>
        <v>71.019301499999997</v>
      </c>
      <c r="O129" s="14">
        <f>O102*Inputs!$H48</f>
        <v>69.720551457828307</v>
      </c>
      <c r="P129" s="14">
        <f>P102*Inputs!$H48</f>
        <v>70.320047847812091</v>
      </c>
      <c r="Q129" s="14">
        <f>Q102*Inputs!$H48</f>
        <v>69.895039344405689</v>
      </c>
      <c r="R129" s="14">
        <f>R102*Inputs!$H48</f>
        <v>70.005853644678936</v>
      </c>
      <c r="S129" s="14">
        <f>S102*Inputs!$H48</f>
        <v>70.11802998616426</v>
      </c>
      <c r="T129" s="14">
        <f>T102*Inputs!$H48</f>
        <v>70.759726238117793</v>
      </c>
      <c r="U129" s="14">
        <f>U102*Inputs!$H48</f>
        <v>70.851519854937521</v>
      </c>
      <c r="V129" s="14">
        <f>V102*Inputs!$H48</f>
        <v>71.492200545535027</v>
      </c>
      <c r="W129" s="14">
        <f>W102*Inputs!$H48</f>
        <v>71.298172294745953</v>
      </c>
      <c r="X129" s="188">
        <f>X102*Inputs!$H48</f>
        <v>71.019301499999997</v>
      </c>
      <c r="Y129" s="159">
        <f>Y102*Inputs!$H48</f>
        <v>71.150782188154253</v>
      </c>
      <c r="Z129" s="159">
        <f>Z102*Inputs!$H48</f>
        <v>69.823007520331217</v>
      </c>
      <c r="AA129" s="159">
        <f>AA102*Inputs!$H48</f>
        <v>69.928656993997464</v>
      </c>
      <c r="AB129" s="159">
        <f>AB102*Inputs!$H48</f>
        <v>69.671688555379006</v>
      </c>
      <c r="AC129" s="159">
        <f>AC102*Inputs!$H48</f>
        <v>69.817662438829487</v>
      </c>
      <c r="AD129" s="159">
        <f>AD102*Inputs!$H48</f>
        <v>69.905045505785623</v>
      </c>
      <c r="AE129" s="159">
        <f>AE102*Inputs!$H48</f>
        <v>69.5729738108502</v>
      </c>
      <c r="AF129" s="159">
        <f>AF102*Inputs!$H48</f>
        <v>70.504383114234443</v>
      </c>
      <c r="AG129" s="159">
        <f>AG102*Inputs!$H48</f>
        <v>70.536745649427431</v>
      </c>
      <c r="AH129" s="188">
        <f>AH102*Inputs!$H48</f>
        <v>71.019301500000012</v>
      </c>
    </row>
    <row r="130" spans="1:35">
      <c r="A130" s="10" t="s">
        <v>59</v>
      </c>
      <c r="B130" s="35">
        <v>0</v>
      </c>
      <c r="C130" s="336">
        <f>C103*Inputs!$H53</f>
        <v>2753.2260000000006</v>
      </c>
      <c r="D130" s="336">
        <f>D103*Inputs!$H53</f>
        <v>2947.1058465575579</v>
      </c>
      <c r="E130" s="336">
        <f>E103*Inputs!$H53</f>
        <v>2196.5127148069237</v>
      </c>
      <c r="F130" s="336">
        <f>F103*Inputs!$H53</f>
        <v>2099.1768596135353</v>
      </c>
      <c r="G130" s="336">
        <f>G103*Inputs!$H53</f>
        <v>2189.0310890001319</v>
      </c>
      <c r="H130" s="408">
        <f>H103*Inputs!$H53</f>
        <v>1711.3001220000001</v>
      </c>
      <c r="I130" s="14">
        <f>I103*Inputs!$H53</f>
        <v>1796.5062764380452</v>
      </c>
      <c r="J130" s="14">
        <f>J103*Inputs!$H53</f>
        <v>1784.0126238372259</v>
      </c>
      <c r="K130" s="14">
        <f>K103*Inputs!$H53</f>
        <v>1750.1073875468194</v>
      </c>
      <c r="L130" s="14">
        <f>L103*Inputs!$H53</f>
        <v>1772.1373370470722</v>
      </c>
      <c r="M130" s="14">
        <f>M103*Inputs!$H53</f>
        <v>1791.0601133613113</v>
      </c>
      <c r="N130" s="183">
        <f>N103*Inputs!$H53</f>
        <v>1813.9021740000001</v>
      </c>
      <c r="O130" s="14">
        <f>O103*Inputs!$H53</f>
        <v>1780.7308321926209</v>
      </c>
      <c r="P130" s="14">
        <f>P103*Inputs!$H53</f>
        <v>1796.0425542474588</v>
      </c>
      <c r="Q130" s="14">
        <f>Q103*Inputs!$H53</f>
        <v>1785.1874228674724</v>
      </c>
      <c r="R130" s="14">
        <f>R103*Inputs!$H53</f>
        <v>1788.0177280933826</v>
      </c>
      <c r="S130" s="14">
        <f>S103*Inputs!$H53</f>
        <v>1790.8828211792616</v>
      </c>
      <c r="T130" s="14">
        <f>T103*Inputs!$H53</f>
        <v>1807.2723688357698</v>
      </c>
      <c r="U130" s="14">
        <f>U103*Inputs!$H53</f>
        <v>1809.6168672691799</v>
      </c>
      <c r="V130" s="14">
        <f>V103*Inputs!$H53</f>
        <v>1825.9804764989137</v>
      </c>
      <c r="W130" s="14">
        <f>W103*Inputs!$H53</f>
        <v>1821.0248058785303</v>
      </c>
      <c r="X130" s="188">
        <f>X103*Inputs!$H53</f>
        <v>1813.9021739999998</v>
      </c>
      <c r="Y130" s="159">
        <f>Y103*Inputs!$H53</f>
        <v>1817.2603189133515</v>
      </c>
      <c r="Z130" s="159">
        <f>Z103*Inputs!$H53</f>
        <v>1783.3476598801403</v>
      </c>
      <c r="AA130" s="159">
        <f>AA103*Inputs!$H53</f>
        <v>1786.0460504009932</v>
      </c>
      <c r="AB130" s="159">
        <f>AB103*Inputs!$H53</f>
        <v>1779.4828260434654</v>
      </c>
      <c r="AC130" s="159">
        <f>AC103*Inputs!$H53</f>
        <v>1783.2111412893996</v>
      </c>
      <c r="AD130" s="159">
        <f>AD103*Inputs!$H53</f>
        <v>1785.4429899808788</v>
      </c>
      <c r="AE130" s="159">
        <f>AE103*Inputs!$H53</f>
        <v>1776.9615552632026</v>
      </c>
      <c r="AF130" s="159">
        <f>AF103*Inputs!$H53</f>
        <v>1800.7506566005691</v>
      </c>
      <c r="AG130" s="159">
        <f>AG103*Inputs!$H53</f>
        <v>1801.5772272891409</v>
      </c>
      <c r="AH130" s="188">
        <f>AH103*Inputs!$H53</f>
        <v>1813.9021739999998</v>
      </c>
    </row>
    <row r="131" spans="1:35">
      <c r="A131" s="10" t="s">
        <v>120</v>
      </c>
      <c r="B131" s="35">
        <v>1</v>
      </c>
      <c r="C131" s="335">
        <f>Inputs!$H46*'Output -Jobs vs Yr'!C104</f>
        <v>281.42099999999999</v>
      </c>
      <c r="D131" s="335">
        <f>Inputs!$H46*'Output -Jobs vs Yr'!D104</f>
        <v>339.26713503796128</v>
      </c>
      <c r="E131" s="335">
        <f>Inputs!$H46*'Output -Jobs vs Yr'!E104</f>
        <v>285.0336563462817</v>
      </c>
      <c r="F131" s="335">
        <f>Inputs!$H46*'Output -Jobs vs Yr'!F104</f>
        <v>307.35250542197775</v>
      </c>
      <c r="G131" s="335">
        <f>Inputs!$H46*'Output -Jobs vs Yr'!G104</f>
        <v>361.99303181744949</v>
      </c>
      <c r="H131" s="287">
        <f>Inputs!$H46*'Output -Jobs vs Yr'!H104</f>
        <v>175.70460600000001</v>
      </c>
      <c r="I131" s="40">
        <f>Inputs!$H46*'Output -Jobs vs Yr'!I104</f>
        <v>200.27914570491649</v>
      </c>
      <c r="J131" s="40">
        <f>Inputs!$H46*'Output -Jobs vs Yr'!J104</f>
        <v>215.96209142570498</v>
      </c>
      <c r="K131" s="40">
        <f>Inputs!$H46*'Output -Jobs vs Yr'!K104</f>
        <v>230.05897003416763</v>
      </c>
      <c r="L131" s="40">
        <f>Inputs!$H46*'Output -Jobs vs Yr'!L104</f>
        <v>252.98144371838251</v>
      </c>
      <c r="M131" s="40">
        <f>Inputs!$H46*'Output -Jobs vs Yr'!M104</f>
        <v>277.67699991120043</v>
      </c>
      <c r="N131" s="178">
        <f>Inputs!$H46*'Output -Jobs vs Yr'!N104</f>
        <v>305.42416688873351</v>
      </c>
      <c r="O131" s="40">
        <f>Inputs!$H46*'Output -Jobs vs Yr'!O104</f>
        <v>310.9247918180302</v>
      </c>
      <c r="P131" s="40">
        <f>Inputs!$H46*'Output -Jobs vs Yr'!P104</f>
        <v>325.21165208515333</v>
      </c>
      <c r="Q131" s="40">
        <f>Inputs!$H46*'Output -Jobs vs Yr'!Q104</f>
        <v>335.23622363327991</v>
      </c>
      <c r="R131" s="40">
        <f>Inputs!$H46*'Output -Jobs vs Yr'!R104</f>
        <v>348.24286078346773</v>
      </c>
      <c r="S131" s="40">
        <f>Inputs!$H46*'Output -Jobs vs Yr'!S104</f>
        <v>361.78194101124717</v>
      </c>
      <c r="T131" s="40">
        <f>Inputs!$H46*'Output -Jobs vs Yr'!T104</f>
        <v>378.70328781853067</v>
      </c>
      <c r="U131" s="40">
        <f>Inputs!$H46*'Output -Jobs vs Yr'!U104</f>
        <v>393.35503463188059</v>
      </c>
      <c r="V131" s="40">
        <f>Inputs!$H46*'Output -Jobs vs Yr'!V104</f>
        <v>411.75995074546648</v>
      </c>
      <c r="W131" s="40">
        <f>Inputs!$H46*'Output -Jobs vs Yr'!W104</f>
        <v>426.03124805932492</v>
      </c>
      <c r="X131" s="185">
        <f>Inputs!$H46*'Output -Jobs vs Yr'!X104</f>
        <v>440.29651142123839</v>
      </c>
      <c r="Y131" s="272">
        <f>Inputs!$H46*'Output -Jobs vs Yr'!Y104</f>
        <v>451.52959255654264</v>
      </c>
      <c r="Z131" s="272">
        <f>Inputs!$H46*'Output -Jobs vs Yr'!Z104</f>
        <v>453.56887335913603</v>
      </c>
      <c r="AA131" s="272">
        <f>Inputs!$H46*'Output -Jobs vs Yr'!AA104</f>
        <v>464.98451663129396</v>
      </c>
      <c r="AB131" s="272">
        <f>Inputs!$H46*'Output -Jobs vs Yr'!AB104</f>
        <v>474.21874275076124</v>
      </c>
      <c r="AC131" s="272">
        <f>Inputs!$H46*'Output -Jobs vs Yr'!AC104</f>
        <v>486.43769283628905</v>
      </c>
      <c r="AD131" s="272">
        <f>Inputs!$H46*'Output -Jobs vs Yr'!AD104</f>
        <v>498.55197325439406</v>
      </c>
      <c r="AE131" s="272">
        <f>Inputs!$H46*'Output -Jobs vs Yr'!AE104</f>
        <v>507.90553950519325</v>
      </c>
      <c r="AF131" s="272">
        <f>Inputs!$H46*'Output -Jobs vs Yr'!AF104</f>
        <v>526.86509902667297</v>
      </c>
      <c r="AG131" s="272">
        <f>Inputs!$H46*'Output -Jobs vs Yr'!AG104</f>
        <v>539.56047743945726</v>
      </c>
      <c r="AH131" s="185">
        <f>Inputs!$H46*'Output -Jobs vs Yr'!AH104</f>
        <v>556.08729592013992</v>
      </c>
    </row>
    <row r="132" spans="1:35">
      <c r="A132" s="10" t="s">
        <v>50</v>
      </c>
      <c r="B132" s="35">
        <v>1</v>
      </c>
      <c r="C132" s="336">
        <f>C105*Inputs!$H49</f>
        <v>2.2500000000000003E-2</v>
      </c>
      <c r="D132" s="336">
        <f>D105*Inputs!$H49</f>
        <v>2.6647190261929556E-2</v>
      </c>
      <c r="E132" s="336">
        <f>E105*Inputs!$H49</f>
        <v>2.2500000000000003E-2</v>
      </c>
      <c r="F132" s="336">
        <f>F105*Inputs!$H49</f>
        <v>2.3297730630116129E-2</v>
      </c>
      <c r="G132" s="336">
        <f>G105*Inputs!$H49</f>
        <v>2.6956325250613894E-2</v>
      </c>
      <c r="H132" s="408">
        <f>H105*Inputs!$H49</f>
        <v>2.2500000000000003E-2</v>
      </c>
      <c r="I132" s="14">
        <f>I105*Inputs!$H49</f>
        <v>2.5195252620057985E-2</v>
      </c>
      <c r="J132" s="14">
        <f>J105*Inputs!$H49</f>
        <v>2.6689726707584283E-2</v>
      </c>
      <c r="K132" s="14">
        <f>K105*Inputs!$H49</f>
        <v>2.7931186751307287E-2</v>
      </c>
      <c r="L132" s="14">
        <f>L105*Inputs!$H49</f>
        <v>3.0173278363673377E-2</v>
      </c>
      <c r="M132" s="14">
        <f>M105*Inputs!$H49</f>
        <v>3.2535490344559895E-2</v>
      </c>
      <c r="N132" s="183">
        <f>N105*Inputs!$H49</f>
        <v>3.51564051799651E-2</v>
      </c>
      <c r="O132" s="14">
        <f>O105*Inputs!$H49</f>
        <v>3.578956463400338E-2</v>
      </c>
      <c r="P132" s="14">
        <f>P105*Inputs!$H49</f>
        <v>3.743407971418531E-2</v>
      </c>
      <c r="Q132" s="14">
        <f>Q105*Inputs!$H49</f>
        <v>3.8587976285931976E-2</v>
      </c>
      <c r="R132" s="14">
        <f>R105*Inputs!$H49</f>
        <v>4.0085128951809171E-2</v>
      </c>
      <c r="S132" s="14">
        <f>S105*Inputs!$H49</f>
        <v>4.1643569448187014E-2</v>
      </c>
      <c r="T132" s="14">
        <f>T105*Inputs!$H49</f>
        <v>4.3591331901327433E-2</v>
      </c>
      <c r="U132" s="14">
        <f>U105*Inputs!$H49</f>
        <v>4.527784791219714E-2</v>
      </c>
      <c r="V132" s="14">
        <f>V105*Inputs!$H49</f>
        <v>4.739637931324444E-2</v>
      </c>
      <c r="W132" s="14">
        <f>W105*Inputs!$H49</f>
        <v>4.9039102991336792E-2</v>
      </c>
      <c r="X132" s="188">
        <f>X105*Inputs!$H49</f>
        <v>5.0681132120397321E-2</v>
      </c>
      <c r="Y132" s="159">
        <f>Y105*Inputs!$H49</f>
        <v>5.1974136389951554E-2</v>
      </c>
      <c r="Z132" s="159">
        <f>Z105*Inputs!$H49</f>
        <v>5.2208871522086052E-2</v>
      </c>
      <c r="AA132" s="159">
        <f>AA105*Inputs!$H49</f>
        <v>5.352288993901156E-2</v>
      </c>
      <c r="AB132" s="159">
        <f>AB105*Inputs!$H49</f>
        <v>5.4585812360267355E-2</v>
      </c>
      <c r="AC132" s="159">
        <f>AC105*Inputs!$H49</f>
        <v>5.5992296871485103E-2</v>
      </c>
      <c r="AD132" s="159">
        <f>AD105*Inputs!$H49</f>
        <v>5.7386733189937172E-2</v>
      </c>
      <c r="AE132" s="159">
        <f>AE105*Inputs!$H49</f>
        <v>5.8463392474434911E-2</v>
      </c>
      <c r="AF132" s="159">
        <f>AF105*Inputs!$H49</f>
        <v>6.0645767115448931E-2</v>
      </c>
      <c r="AG132" s="159">
        <f>AG105*Inputs!$H49</f>
        <v>6.2107091777277079E-2</v>
      </c>
      <c r="AH132" s="188">
        <f>AH105*Inputs!$H49</f>
        <v>6.4009441328595637E-2</v>
      </c>
    </row>
    <row r="133" spans="1:35">
      <c r="A133" s="10" t="s">
        <v>118</v>
      </c>
      <c r="B133" s="35">
        <v>1</v>
      </c>
      <c r="C133" s="336">
        <f>C106*Inputs!$H50</f>
        <v>0</v>
      </c>
      <c r="D133" s="336">
        <f>D106*Inputs!$H50</f>
        <v>0</v>
      </c>
      <c r="E133" s="336">
        <f>E106*Inputs!$H50</f>
        <v>0</v>
      </c>
      <c r="F133" s="336">
        <f>F106*Inputs!$H50</f>
        <v>0</v>
      </c>
      <c r="G133" s="336">
        <f>G106*Inputs!$H50</f>
        <v>0</v>
      </c>
      <c r="H133" s="408">
        <f>H106*Inputs!$H50</f>
        <v>0</v>
      </c>
      <c r="I133" s="14">
        <f>I106*Inputs!$H50</f>
        <v>0</v>
      </c>
      <c r="J133" s="14">
        <f>J106*Inputs!$H50</f>
        <v>0</v>
      </c>
      <c r="K133" s="14">
        <f>K106*Inputs!$H50</f>
        <v>0</v>
      </c>
      <c r="L133" s="14">
        <f>L106*Inputs!$H50</f>
        <v>0</v>
      </c>
      <c r="M133" s="14">
        <f>M106*Inputs!$H50</f>
        <v>0</v>
      </c>
      <c r="N133" s="183">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8">
        <f>X106*Inputs!$H50</f>
        <v>0</v>
      </c>
      <c r="Y133" s="159">
        <f>Y106*Inputs!$H50</f>
        <v>0</v>
      </c>
      <c r="Z133" s="159">
        <f>Z106*Inputs!$H50</f>
        <v>0</v>
      </c>
      <c r="AA133" s="159">
        <f>AA106*Inputs!$H50</f>
        <v>0</v>
      </c>
      <c r="AB133" s="159">
        <f>AB106*Inputs!$H50</f>
        <v>0</v>
      </c>
      <c r="AC133" s="159">
        <f>AC106*Inputs!$H50</f>
        <v>0</v>
      </c>
      <c r="AD133" s="159">
        <f>AD106*Inputs!$H50</f>
        <v>0</v>
      </c>
      <c r="AE133" s="159">
        <f>AE106*Inputs!$H50</f>
        <v>0</v>
      </c>
      <c r="AF133" s="159">
        <f>AF106*Inputs!$H50</f>
        <v>0</v>
      </c>
      <c r="AG133" s="159">
        <f>AG106*Inputs!$H50</f>
        <v>0</v>
      </c>
      <c r="AH133" s="188">
        <f>AH106*Inputs!$H50</f>
        <v>0</v>
      </c>
    </row>
    <row r="134" spans="1:35">
      <c r="A134" s="10" t="s">
        <v>51</v>
      </c>
      <c r="B134" s="35">
        <v>1</v>
      </c>
      <c r="C134" s="336">
        <f>C107*Inputs!$H52</f>
        <v>111.91499999999999</v>
      </c>
      <c r="D134" s="336">
        <f>D107*Inputs!$H52</f>
        <v>132.55150904548958</v>
      </c>
      <c r="E134" s="336">
        <f>E107*Inputs!$H52</f>
        <v>109.40826139723636</v>
      </c>
      <c r="F134" s="336">
        <f>F107*Inputs!$H52</f>
        <v>138.39174</v>
      </c>
      <c r="G134" s="336">
        <f>G107*Inputs!$H52</f>
        <v>136.06191000000001</v>
      </c>
      <c r="H134" s="408">
        <f>H107*Inputs!$H52</f>
        <v>136.20190500000001</v>
      </c>
      <c r="I134" s="14">
        <f>I107*Inputs!$H52</f>
        <v>152.52704398055846</v>
      </c>
      <c r="J134" s="14">
        <f>J107*Inputs!$H52</f>
        <v>161.58451381094764</v>
      </c>
      <c r="K134" s="14">
        <f>K107*Inputs!$H52</f>
        <v>169.11123853009846</v>
      </c>
      <c r="L134" s="14">
        <f>L107*Inputs!$H52</f>
        <v>182.69768890393053</v>
      </c>
      <c r="M134" s="14">
        <f>M107*Inputs!$H52</f>
        <v>197.01322638385111</v>
      </c>
      <c r="N134" s="183">
        <f>N107*Inputs!$H52</f>
        <v>212.89720535079752</v>
      </c>
      <c r="O134" s="14">
        <f>O107*Inputs!$H52</f>
        <v>216.73143918716826</v>
      </c>
      <c r="P134" s="14">
        <f>P107*Inputs!$H52</f>
        <v>226.69015547046729</v>
      </c>
      <c r="Q134" s="14">
        <f>Q107*Inputs!$H52</f>
        <v>233.6778254023387</v>
      </c>
      <c r="R134" s="14">
        <f>R107*Inputs!$H52</f>
        <v>242.74415675553391</v>
      </c>
      <c r="S134" s="14">
        <f>S107*Inputs!$H52</f>
        <v>252.18162980449719</v>
      </c>
      <c r="T134" s="14">
        <f>T107*Inputs!$H52</f>
        <v>263.97672605617885</v>
      </c>
      <c r="U134" s="14">
        <f>U107*Inputs!$H52</f>
        <v>274.18978804745871</v>
      </c>
      <c r="V134" s="14">
        <f>V107*Inputs!$H52</f>
        <v>287.01901254928327</v>
      </c>
      <c r="W134" s="14">
        <f>W107*Inputs!$H52</f>
        <v>296.96688061028601</v>
      </c>
      <c r="X134" s="188">
        <f>X107*Inputs!$H52</f>
        <v>306.91054267960396</v>
      </c>
      <c r="Y134" s="159">
        <f>Y107*Inputs!$H52</f>
        <v>314.74060932281191</v>
      </c>
      <c r="Z134" s="159">
        <f>Z107*Inputs!$H52</f>
        <v>316.16209861824086</v>
      </c>
      <c r="AA134" s="159">
        <f>AA107*Inputs!$H52</f>
        <v>324.11942096991135</v>
      </c>
      <c r="AB134" s="159">
        <f>AB107*Inputs!$H52</f>
        <v>330.55617728306873</v>
      </c>
      <c r="AC134" s="159">
        <f>AC107*Inputs!$H52</f>
        <v>339.07344804140217</v>
      </c>
      <c r="AD134" s="159">
        <f>AD107*Inputs!$H52</f>
        <v>347.51775836603355</v>
      </c>
      <c r="AE134" s="159">
        <f>AE107*Inputs!$H52</f>
        <v>354.037701221715</v>
      </c>
      <c r="AF134" s="159">
        <f>AF107*Inputs!$H52</f>
        <v>367.25354225329784</v>
      </c>
      <c r="AG134" s="159">
        <f>AG107*Inputs!$H52</f>
        <v>376.10290938912522</v>
      </c>
      <c r="AH134" s="188">
        <f>AH107*Inputs!$H52</f>
        <v>387.62299800463785</v>
      </c>
    </row>
    <row r="135" spans="1:35">
      <c r="A135" s="9" t="s">
        <v>343</v>
      </c>
      <c r="B135" s="35">
        <v>1</v>
      </c>
      <c r="C135" s="336">
        <f>C108*Inputs!$H54</f>
        <v>0</v>
      </c>
      <c r="D135" s="336">
        <f>D108*Inputs!$H54</f>
        <v>0</v>
      </c>
      <c r="E135" s="336">
        <f>E108*Inputs!$H54</f>
        <v>0.113049</v>
      </c>
      <c r="F135" s="336">
        <f>F108*Inputs!$H54</f>
        <v>0.18414900000000001</v>
      </c>
      <c r="G135" s="336">
        <f>G108*Inputs!$H54</f>
        <v>0.31212899999999999</v>
      </c>
      <c r="H135" s="408">
        <f>H108*Inputs!$H54</f>
        <v>0.48348000000000002</v>
      </c>
      <c r="I135" s="14">
        <f>I108*Inputs!$H54</f>
        <v>0.75010500000000002</v>
      </c>
      <c r="J135" s="14">
        <f>J108*Inputs!$H54</f>
        <v>1.0601010000000002</v>
      </c>
      <c r="K135" s="14">
        <f>K108*Inputs!$H54</f>
        <v>1.0622340000000001</v>
      </c>
      <c r="L135" s="14">
        <f>L108*Inputs!$H54</f>
        <v>1.1098879980566771</v>
      </c>
      <c r="M135" s="14">
        <f>M108*Inputs!$H54</f>
        <v>1.3689234945108415</v>
      </c>
      <c r="N135" s="183">
        <f>N108*Inputs!$H54</f>
        <v>1.6919652808151444</v>
      </c>
      <c r="O135" s="14">
        <f>O108*Inputs!$H54</f>
        <v>1.7224372192277528</v>
      </c>
      <c r="P135" s="14">
        <f>P108*Inputs!$H54</f>
        <v>1.8015824675886527</v>
      </c>
      <c r="Q135" s="14">
        <f>Q108*Inputs!$H54</f>
        <v>1.8571158171177899</v>
      </c>
      <c r="R135" s="14">
        <f>R108*Inputs!$H54</f>
        <v>1.9291689840379285</v>
      </c>
      <c r="S135" s="14">
        <f>S108*Inputs!$H54</f>
        <v>2.0041717381190058</v>
      </c>
      <c r="T135" s="14">
        <f>T108*Inputs!$H54</f>
        <v>2.0979113121488036</v>
      </c>
      <c r="U135" s="14">
        <f>U108*Inputs!$H54</f>
        <v>2.1790779309007284</v>
      </c>
      <c r="V135" s="14">
        <f>V108*Inputs!$H54</f>
        <v>2.2810360679326513</v>
      </c>
      <c r="W135" s="14">
        <f>W108*Inputs!$H54</f>
        <v>2.3600951018434668</v>
      </c>
      <c r="X135" s="188">
        <f>X108*Inputs!$H54</f>
        <v>2.4391207093319376</v>
      </c>
      <c r="Y135" s="159">
        <f>Y108*Inputs!$H54</f>
        <v>2.5013488672119206</v>
      </c>
      <c r="Z135" s="159">
        <f>Z108*Inputs!$H54</f>
        <v>2.5126459179691314</v>
      </c>
      <c r="AA135" s="159">
        <f>AA108*Inputs!$H54</f>
        <v>2.5758854195168217</v>
      </c>
      <c r="AB135" s="159">
        <f>AB108*Inputs!$H54</f>
        <v>2.6270404743001152</v>
      </c>
      <c r="AC135" s="159">
        <f>AC108*Inputs!$H54</f>
        <v>2.6947300730745893</v>
      </c>
      <c r="AD135" s="159">
        <f>AD108*Inputs!$H54</f>
        <v>2.7618398308854686</v>
      </c>
      <c r="AE135" s="159">
        <f>AE108*Inputs!$H54</f>
        <v>2.8136559969386346</v>
      </c>
      <c r="AF135" s="159">
        <f>AF108*Inputs!$H54</f>
        <v>2.9186867048117882</v>
      </c>
      <c r="AG135" s="159">
        <f>AG108*Inputs!$H54</f>
        <v>2.9890155845466597</v>
      </c>
      <c r="AH135" s="188">
        <f>AH108*Inputs!$H54</f>
        <v>3.0805695809330569</v>
      </c>
    </row>
    <row r="136" spans="1:35">
      <c r="A136" s="9" t="s">
        <v>344</v>
      </c>
      <c r="B136" s="35">
        <v>1</v>
      </c>
      <c r="C136" s="336">
        <f>C109*Inputs!$H55</f>
        <v>0</v>
      </c>
      <c r="D136" s="336">
        <f>D109*Inputs!$H55</f>
        <v>0</v>
      </c>
      <c r="E136" s="336">
        <f>E109*Inputs!$H55</f>
        <v>2.0700000000000003E-2</v>
      </c>
      <c r="F136" s="336">
        <f>F109*Inputs!$H55</f>
        <v>2.0700000000000003E-2</v>
      </c>
      <c r="G136" s="336">
        <f>G109*Inputs!$H55</f>
        <v>2.0700000000000003E-2</v>
      </c>
      <c r="H136" s="408">
        <f>H109*Inputs!$H55</f>
        <v>2.0700000000000003E-2</v>
      </c>
      <c r="I136" s="14">
        <f>I109*Inputs!$H55</f>
        <v>2.3179632410453347E-2</v>
      </c>
      <c r="J136" s="14">
        <f>J109*Inputs!$H55</f>
        <v>2.4554548570977542E-2</v>
      </c>
      <c r="K136" s="14">
        <f>K109*Inputs!$H55</f>
        <v>2.5696691811202706E-2</v>
      </c>
      <c r="L136" s="14">
        <f>L109*Inputs!$H55</f>
        <v>2.7759416094579509E-2</v>
      </c>
      <c r="M136" s="14">
        <f>M109*Inputs!$H55</f>
        <v>2.9932651116995106E-2</v>
      </c>
      <c r="N136" s="188">
        <f>N109*Inputs!$H55</f>
        <v>3.2343892765567893E-2</v>
      </c>
      <c r="O136" s="14">
        <f>O109*Inputs!$H55</f>
        <v>3.2926399463283108E-2</v>
      </c>
      <c r="P136" s="14">
        <f>P109*Inputs!$H55</f>
        <v>3.4439353337050491E-2</v>
      </c>
      <c r="Q136" s="14">
        <f>Q109*Inputs!$H55</f>
        <v>3.5500938183057412E-2</v>
      </c>
      <c r="R136" s="14">
        <f>R109*Inputs!$H55</f>
        <v>3.6878318635664438E-2</v>
      </c>
      <c r="S136" s="14">
        <f>S109*Inputs!$H55</f>
        <v>3.8312083892332059E-2</v>
      </c>
      <c r="T136" s="14">
        <f>T109*Inputs!$H55</f>
        <v>4.0104025349221237E-2</v>
      </c>
      <c r="U136" s="14">
        <f>U109*Inputs!$H55</f>
        <v>4.165562007922137E-2</v>
      </c>
      <c r="V136" s="14">
        <f>V109*Inputs!$H55</f>
        <v>4.3604668968184886E-2</v>
      </c>
      <c r="W136" s="14">
        <f>W109*Inputs!$H55</f>
        <v>4.5115974752029851E-2</v>
      </c>
      <c r="X136" s="188">
        <f>X109*Inputs!$H55</f>
        <v>4.6626641550765541E-2</v>
      </c>
      <c r="Y136" s="159">
        <f>Y109*Inputs!$H55</f>
        <v>4.7816205478755432E-2</v>
      </c>
      <c r="Z136" s="159">
        <f>Z109*Inputs!$H55</f>
        <v>4.8032161800319176E-2</v>
      </c>
      <c r="AA136" s="159">
        <f>AA109*Inputs!$H55</f>
        <v>4.9241058743890634E-2</v>
      </c>
      <c r="AB136" s="159">
        <f>AB109*Inputs!$H55</f>
        <v>5.0218947371445971E-2</v>
      </c>
      <c r="AC136" s="159">
        <f>AC109*Inputs!$H55</f>
        <v>5.1512913121766299E-2</v>
      </c>
      <c r="AD136" s="159">
        <f>AD109*Inputs!$H55</f>
        <v>5.2795794534742202E-2</v>
      </c>
      <c r="AE136" s="159">
        <f>AE109*Inputs!$H55</f>
        <v>5.3786321076480126E-2</v>
      </c>
      <c r="AF136" s="159">
        <f>AF109*Inputs!$H55</f>
        <v>5.5794105746213019E-2</v>
      </c>
      <c r="AG136" s="159">
        <f>AG109*Inputs!$H55</f>
        <v>5.7138524435094915E-2</v>
      </c>
      <c r="AH136" s="188">
        <f>AH109*Inputs!$H55</f>
        <v>5.8888686022307998E-2</v>
      </c>
    </row>
    <row r="137" spans="1:35">
      <c r="A137" s="9" t="s">
        <v>340</v>
      </c>
      <c r="B137" s="35">
        <v>1</v>
      </c>
      <c r="C137" s="336">
        <f>C110*Inputs!$H56</f>
        <v>2.1600000000000003E-5</v>
      </c>
      <c r="D137" s="336">
        <f>D110*Inputs!$H56</f>
        <v>2.5581302651452373E-5</v>
      </c>
      <c r="E137" s="336">
        <f>E110*Inputs!$H56</f>
        <v>2.1600000000000003E-5</v>
      </c>
      <c r="F137" s="336">
        <f>F110*Inputs!$H56</f>
        <v>2.2365821404911486E-5</v>
      </c>
      <c r="G137" s="336">
        <f>G110*Inputs!$H56</f>
        <v>2.5878072240589336E-5</v>
      </c>
      <c r="H137" s="408">
        <f>H110*Inputs!$H56</f>
        <v>2.1600000000000003E-5</v>
      </c>
      <c r="I137" s="14">
        <f>I110*Inputs!$H56</f>
        <v>2.4187442515255668E-5</v>
      </c>
      <c r="J137" s="14">
        <f>J110*Inputs!$H56</f>
        <v>2.562213763928092E-5</v>
      </c>
      <c r="K137" s="14">
        <f>K110*Inputs!$H56</f>
        <v>2.6813939281255001E-5</v>
      </c>
      <c r="L137" s="14">
        <f>L110*Inputs!$H56</f>
        <v>2.8966347229126443E-5</v>
      </c>
      <c r="M137" s="14">
        <f>M110*Inputs!$H56</f>
        <v>3.1234070730777503E-5</v>
      </c>
      <c r="N137" s="188">
        <f>N110*Inputs!$H56</f>
        <v>3.3750148972766496E-5</v>
      </c>
      <c r="O137" s="14">
        <f>O110*Inputs!$H56</f>
        <v>3.4357982048643248E-5</v>
      </c>
      <c r="P137" s="14">
        <f>P110*Inputs!$H56</f>
        <v>3.5936716525617915E-5</v>
      </c>
      <c r="Q137" s="14">
        <f>Q110*Inputs!$H56</f>
        <v>3.7044457234494698E-5</v>
      </c>
      <c r="R137" s="14">
        <f>R110*Inputs!$H56</f>
        <v>3.8481723793736812E-5</v>
      </c>
      <c r="S137" s="14">
        <f>S110*Inputs!$H56</f>
        <v>3.9977826670259549E-5</v>
      </c>
      <c r="T137" s="14">
        <f>T110*Inputs!$H56</f>
        <v>4.1847678625274344E-5</v>
      </c>
      <c r="U137" s="14">
        <f>U110*Inputs!$H56</f>
        <v>4.3466733995709271E-5</v>
      </c>
      <c r="V137" s="14">
        <f>V110*Inputs!$H56</f>
        <v>4.5500524140714678E-5</v>
      </c>
      <c r="W137" s="14">
        <f>W110*Inputs!$H56</f>
        <v>4.7077538871683343E-5</v>
      </c>
      <c r="X137" s="188">
        <f>X110*Inputs!$H56</f>
        <v>4.8653886835581435E-5</v>
      </c>
      <c r="Y137" s="159">
        <f>Y110*Inputs!$H56</f>
        <v>4.9895170934353507E-5</v>
      </c>
      <c r="Z137" s="159">
        <f>Z110*Inputs!$H56</f>
        <v>5.0120516661202632E-5</v>
      </c>
      <c r="AA137" s="159">
        <f>AA110*Inputs!$H56</f>
        <v>5.138197434145111E-5</v>
      </c>
      <c r="AB137" s="159">
        <f>AB110*Inputs!$H56</f>
        <v>5.2402379865856683E-5</v>
      </c>
      <c r="AC137" s="159">
        <f>AC110*Inputs!$H56</f>
        <v>5.3752604996625703E-5</v>
      </c>
      <c r="AD137" s="159">
        <f>AD110*Inputs!$H56</f>
        <v>5.5091263862339698E-5</v>
      </c>
      <c r="AE137" s="159">
        <f>AE110*Inputs!$H56</f>
        <v>5.6124856775457526E-5</v>
      </c>
      <c r="AF137" s="159">
        <f>AF110*Inputs!$H56</f>
        <v>5.8219936430830982E-5</v>
      </c>
      <c r="AG137" s="159">
        <f>AG110*Inputs!$H56</f>
        <v>5.9622808106186012E-5</v>
      </c>
      <c r="AH137" s="188">
        <f>AH110*Inputs!$H56</f>
        <v>6.1449063675451821E-5</v>
      </c>
    </row>
    <row r="138" spans="1:35">
      <c r="A138" s="10" t="s">
        <v>119</v>
      </c>
      <c r="B138" s="35">
        <v>1</v>
      </c>
      <c r="C138" s="336">
        <f>C111*Inputs!$H56</f>
        <v>0</v>
      </c>
      <c r="D138" s="336">
        <f>D111*Inputs!$H56</f>
        <v>0</v>
      </c>
      <c r="E138" s="336">
        <f>E111*Inputs!$H56</f>
        <v>0</v>
      </c>
      <c r="F138" s="336">
        <f>F111*Inputs!$H56</f>
        <v>0</v>
      </c>
      <c r="G138" s="336">
        <f>G111*Inputs!$H56</f>
        <v>0</v>
      </c>
      <c r="H138" s="408">
        <f>H111*Inputs!$H56</f>
        <v>0</v>
      </c>
      <c r="I138" s="14">
        <f>I111*Inputs!$H56</f>
        <v>0</v>
      </c>
      <c r="J138" s="14">
        <f>J111*Inputs!$H56</f>
        <v>0</v>
      </c>
      <c r="K138" s="14">
        <f>K111*Inputs!$H56</f>
        <v>0</v>
      </c>
      <c r="L138" s="14">
        <f>L111*Inputs!$H56</f>
        <v>0</v>
      </c>
      <c r="M138" s="14">
        <f>M111*Inputs!$H56</f>
        <v>0</v>
      </c>
      <c r="N138" s="183">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8">
        <f>X111*Inputs!$H56</f>
        <v>0</v>
      </c>
      <c r="Y138" s="159">
        <f>Y111*Inputs!$H56</f>
        <v>0</v>
      </c>
      <c r="Z138" s="159">
        <f>Z111*Inputs!$H56</f>
        <v>0</v>
      </c>
      <c r="AA138" s="159">
        <f>AA111*Inputs!$H56</f>
        <v>0</v>
      </c>
      <c r="AB138" s="159">
        <f>AB111*Inputs!$H56</f>
        <v>0</v>
      </c>
      <c r="AC138" s="159">
        <f>AC111*Inputs!$H56</f>
        <v>0</v>
      </c>
      <c r="AD138" s="159">
        <f>AD111*Inputs!$H56</f>
        <v>0</v>
      </c>
      <c r="AE138" s="159">
        <f>AE111*Inputs!$H56</f>
        <v>0</v>
      </c>
      <c r="AF138" s="159">
        <f>AF111*Inputs!$H56</f>
        <v>0</v>
      </c>
      <c r="AG138" s="159">
        <f>AG111*Inputs!$H56</f>
        <v>0</v>
      </c>
      <c r="AH138" s="188">
        <f>AH111*Inputs!$H56</f>
        <v>0</v>
      </c>
    </row>
    <row r="139" spans="1:35">
      <c r="A139" s="10" t="s">
        <v>53</v>
      </c>
      <c r="B139" s="35">
        <v>1</v>
      </c>
      <c r="C139" s="336">
        <f>C112*Inputs!$H57</f>
        <v>45.900000000000006</v>
      </c>
      <c r="D139" s="336">
        <f>D112*Inputs!$H57</f>
        <v>64.992237031307923</v>
      </c>
      <c r="E139" s="336">
        <f>E112*Inputs!$H57</f>
        <v>70.171614000000005</v>
      </c>
      <c r="F139" s="336">
        <f>F112*Inputs!$H57</f>
        <v>169.31561399999998</v>
      </c>
      <c r="G139" s="336">
        <f>G112*Inputs!$H57</f>
        <v>350.74362600000001</v>
      </c>
      <c r="H139" s="408">
        <f>H112*Inputs!$H57</f>
        <v>387.660843</v>
      </c>
      <c r="I139" s="14">
        <f>I112*Inputs!$H57</f>
        <v>834.46108200000003</v>
      </c>
      <c r="J139" s="14">
        <f>J112*Inputs!$H57</f>
        <v>1132.3048050000002</v>
      </c>
      <c r="K139" s="14">
        <f>K112*Inputs!$H57</f>
        <v>1132.3066410000001</v>
      </c>
      <c r="L139" s="14">
        <f>L112*Inputs!$H57</f>
        <v>1132.1840880000002</v>
      </c>
      <c r="M139" s="14">
        <f>M112*Inputs!$H57</f>
        <v>1369.3871589255848</v>
      </c>
      <c r="N139" s="183">
        <f>N112*Inputs!$H57</f>
        <v>1769.1035384900197</v>
      </c>
      <c r="O139" s="14">
        <f>O112*Inputs!$H57</f>
        <v>1800.9647206795414</v>
      </c>
      <c r="P139" s="14">
        <f>P112*Inputs!$H57</f>
        <v>1883.7182739099501</v>
      </c>
      <c r="Q139" s="14">
        <f>Q112*Inputs!$H57</f>
        <v>1941.7834400632819</v>
      </c>
      <c r="R139" s="14">
        <f>R112*Inputs!$H57</f>
        <v>2017.1215773189219</v>
      </c>
      <c r="S139" s="14">
        <f>S112*Inputs!$H57</f>
        <v>2095.5437761346125</v>
      </c>
      <c r="T139" s="14">
        <f>T112*Inputs!$H57</f>
        <v>2193.5570238017085</v>
      </c>
      <c r="U139" s="14">
        <f>U112*Inputs!$H57</f>
        <v>2278.4241035636055</v>
      </c>
      <c r="V139" s="14">
        <f>V112*Inputs!$H57</f>
        <v>2385.0306061001866</v>
      </c>
      <c r="W139" s="14">
        <f>W112*Inputs!$H57</f>
        <v>2467.6940142842141</v>
      </c>
      <c r="X139" s="188">
        <f>X112*Inputs!$H57</f>
        <v>2550.3224721044735</v>
      </c>
      <c r="Y139" s="159">
        <f>Y112*Inputs!$H57</f>
        <v>2615.3876690960783</v>
      </c>
      <c r="Z139" s="159">
        <f>Z112*Inputs!$H57</f>
        <v>2627.1997628167333</v>
      </c>
      <c r="AA139" s="159">
        <f>AA112*Inputs!$H57</f>
        <v>2693.3224115666321</v>
      </c>
      <c r="AB139" s="159">
        <f>AB112*Inputs!$H57</f>
        <v>2746.8096724784969</v>
      </c>
      <c r="AC139" s="159">
        <f>AC112*Inputs!$H57</f>
        <v>2817.585302492133</v>
      </c>
      <c r="AD139" s="159">
        <f>AD112*Inputs!$H57</f>
        <v>2887.7546560578494</v>
      </c>
      <c r="AE139" s="159">
        <f>AE112*Inputs!$H57</f>
        <v>2941.9331689121314</v>
      </c>
      <c r="AF139" s="159">
        <f>AF112*Inputs!$H57</f>
        <v>3051.7523236284674</v>
      </c>
      <c r="AG139" s="159">
        <f>AG112*Inputs!$H57</f>
        <v>3125.28756185573</v>
      </c>
      <c r="AH139" s="188">
        <f>AH112*Inputs!$H57</f>
        <v>3221.015589378876</v>
      </c>
      <c r="AI139" s="31">
        <f>SUM(C139:X139)</f>
        <v>30072.691255407408</v>
      </c>
    </row>
    <row r="140" spans="1:35">
      <c r="A140" s="10" t="s">
        <v>380</v>
      </c>
      <c r="C140" s="336">
        <f t="shared" ref="C140:AH140" si="87">SUM(C127:C139)</f>
        <v>3377.7045081000006</v>
      </c>
      <c r="D140" s="336">
        <f t="shared" si="87"/>
        <v>3676.9148442610904</v>
      </c>
      <c r="E140" s="336">
        <f t="shared" si="87"/>
        <v>2800.9205479325724</v>
      </c>
      <c r="F140" s="336">
        <f t="shared" si="87"/>
        <v>2843.6614366316685</v>
      </c>
      <c r="G140" s="336">
        <f t="shared" si="87"/>
        <v>3168.1905993570986</v>
      </c>
      <c r="H140" s="408">
        <f t="shared" si="87"/>
        <v>2478.8130291000002</v>
      </c>
      <c r="I140" s="14">
        <f t="shared" si="87"/>
        <v>3055.2721712948814</v>
      </c>
      <c r="J140" s="14">
        <f t="shared" si="87"/>
        <v>3365.1099078630464</v>
      </c>
      <c r="K140" s="14">
        <f t="shared" si="87"/>
        <v>3351.4302177292789</v>
      </c>
      <c r="L140" s="14">
        <f t="shared" si="87"/>
        <v>3410.6922781484764</v>
      </c>
      <c r="M140" s="14">
        <f t="shared" si="87"/>
        <v>3706.7640333806175</v>
      </c>
      <c r="N140" s="183">
        <f t="shared" si="87"/>
        <v>4174.1058855584597</v>
      </c>
      <c r="O140" s="14">
        <f t="shared" si="87"/>
        <v>4180.8635228764961</v>
      </c>
      <c r="P140" s="14">
        <f t="shared" si="87"/>
        <v>4303.8561753981976</v>
      </c>
      <c r="Q140" s="14">
        <f t="shared" si="87"/>
        <v>4367.7111930868223</v>
      </c>
      <c r="R140" s="14">
        <f t="shared" si="87"/>
        <v>4468.1383475093344</v>
      </c>
      <c r="S140" s="14">
        <f t="shared" si="87"/>
        <v>4572.5923654850694</v>
      </c>
      <c r="T140" s="14">
        <f t="shared" si="87"/>
        <v>4716.4507812673837</v>
      </c>
      <c r="U140" s="14">
        <f t="shared" si="87"/>
        <v>4828.7033682326883</v>
      </c>
      <c r="V140" s="14">
        <f t="shared" si="87"/>
        <v>4983.654329056124</v>
      </c>
      <c r="W140" s="14">
        <f t="shared" si="87"/>
        <v>5085.4694183842266</v>
      </c>
      <c r="X140" s="188">
        <f t="shared" si="87"/>
        <v>5184.9874788422057</v>
      </c>
      <c r="Y140" s="159">
        <f t="shared" si="87"/>
        <v>5272.6701611811895</v>
      </c>
      <c r="Z140" s="159">
        <f t="shared" si="87"/>
        <v>5252.7143392663902</v>
      </c>
      <c r="AA140" s="159">
        <f t="shared" si="87"/>
        <v>5341.0797573130021</v>
      </c>
      <c r="AB140" s="159">
        <f t="shared" si="87"/>
        <v>5403.4710047475819</v>
      </c>
      <c r="AC140" s="159">
        <f t="shared" si="87"/>
        <v>5498.9275361337259</v>
      </c>
      <c r="AD140" s="159">
        <f t="shared" si="87"/>
        <v>5592.0445006148148</v>
      </c>
      <c r="AE140" s="159">
        <f t="shared" si="87"/>
        <v>5653.3369005484383</v>
      </c>
      <c r="AF140" s="159">
        <f t="shared" si="87"/>
        <v>5820.1611894208527</v>
      </c>
      <c r="AG140" s="159">
        <f t="shared" si="87"/>
        <v>5916.1732424464481</v>
      </c>
      <c r="AH140" s="188">
        <f t="shared" si="87"/>
        <v>6052.8508879610017</v>
      </c>
      <c r="AI140" s="48" t="s">
        <v>0</v>
      </c>
    </row>
    <row r="141" spans="1:35">
      <c r="A141" s="10" t="s">
        <v>383</v>
      </c>
      <c r="C141" s="336">
        <f>SUM(C128:C130)</f>
        <v>2938.4459865000008</v>
      </c>
      <c r="D141" s="336">
        <f t="shared" ref="D141:AH141" si="88">SUM(D128:D130)</f>
        <v>3140.077290374767</v>
      </c>
      <c r="E141" s="336">
        <f t="shared" si="88"/>
        <v>2336.1507455890546</v>
      </c>
      <c r="F141" s="336">
        <f t="shared" si="88"/>
        <v>2228.3734081132393</v>
      </c>
      <c r="G141" s="336">
        <f t="shared" si="88"/>
        <v>2319.0322203363262</v>
      </c>
      <c r="H141" s="408">
        <f t="shared" si="88"/>
        <v>1778.7189735000002</v>
      </c>
      <c r="I141" s="14">
        <f t="shared" si="88"/>
        <v>1867.2063955369333</v>
      </c>
      <c r="J141" s="14">
        <f t="shared" si="88"/>
        <v>1854.1471267289776</v>
      </c>
      <c r="K141" s="14">
        <f t="shared" si="88"/>
        <v>1818.8374794725107</v>
      </c>
      <c r="L141" s="14">
        <f t="shared" si="88"/>
        <v>1841.6612078673008</v>
      </c>
      <c r="M141" s="14">
        <f t="shared" si="88"/>
        <v>1861.2552252899382</v>
      </c>
      <c r="N141" s="188">
        <f t="shared" si="88"/>
        <v>1884.9214755</v>
      </c>
      <c r="O141" s="14">
        <f t="shared" si="88"/>
        <v>1850.4513836504493</v>
      </c>
      <c r="P141" s="14">
        <f t="shared" si="88"/>
        <v>1866.3626020952709</v>
      </c>
      <c r="Q141" s="14">
        <f t="shared" si="88"/>
        <v>1855.082462211878</v>
      </c>
      <c r="R141" s="14">
        <f t="shared" si="88"/>
        <v>1858.0235817380615</v>
      </c>
      <c r="S141" s="14">
        <f t="shared" si="88"/>
        <v>1861.0008511654257</v>
      </c>
      <c r="T141" s="14">
        <f t="shared" si="88"/>
        <v>1878.0320950738876</v>
      </c>
      <c r="U141" s="14">
        <f t="shared" si="88"/>
        <v>1880.4683871241175</v>
      </c>
      <c r="V141" s="14">
        <f t="shared" si="88"/>
        <v>1897.4726770444488</v>
      </c>
      <c r="W141" s="14">
        <f t="shared" si="88"/>
        <v>1892.3229781732762</v>
      </c>
      <c r="X141" s="188">
        <f t="shared" si="88"/>
        <v>1884.9214754999998</v>
      </c>
      <c r="Y141" s="159">
        <f t="shared" si="88"/>
        <v>1888.4111011015057</v>
      </c>
      <c r="Z141" s="159">
        <f t="shared" si="88"/>
        <v>1853.1706674004715</v>
      </c>
      <c r="AA141" s="159">
        <f t="shared" si="88"/>
        <v>1855.9747073949907</v>
      </c>
      <c r="AB141" s="159">
        <f t="shared" si="88"/>
        <v>1849.1545145988443</v>
      </c>
      <c r="AC141" s="159">
        <f t="shared" si="88"/>
        <v>1853.0288037282291</v>
      </c>
      <c r="AD141" s="159">
        <f t="shared" si="88"/>
        <v>1855.3480354866645</v>
      </c>
      <c r="AE141" s="159">
        <f t="shared" si="88"/>
        <v>1846.5345290740529</v>
      </c>
      <c r="AF141" s="159">
        <f t="shared" si="88"/>
        <v>1871.2550397148036</v>
      </c>
      <c r="AG141" s="159">
        <f t="shared" si="88"/>
        <v>1872.1139729385684</v>
      </c>
      <c r="AH141" s="188">
        <f t="shared" si="88"/>
        <v>1884.9214754999998</v>
      </c>
      <c r="AI141" s="48"/>
    </row>
    <row r="142" spans="1:35">
      <c r="A142" s="10" t="s">
        <v>382</v>
      </c>
      <c r="C142" s="335">
        <f t="shared" ref="C142:AH142" si="89">SUMPRODUCT($B131:$B139,C131:C139)</f>
        <v>439.25852159999999</v>
      </c>
      <c r="D142" s="335">
        <f t="shared" si="89"/>
        <v>536.83755388632335</v>
      </c>
      <c r="E142" s="335">
        <f t="shared" si="89"/>
        <v>464.76980234351799</v>
      </c>
      <c r="F142" s="335">
        <f t="shared" si="89"/>
        <v>615.2880285184292</v>
      </c>
      <c r="G142" s="335">
        <f t="shared" si="89"/>
        <v>849.15837902077237</v>
      </c>
      <c r="H142" s="287">
        <f t="shared" si="89"/>
        <v>700.09405560000005</v>
      </c>
      <c r="I142" s="40">
        <f t="shared" si="89"/>
        <v>1188.0657757579479</v>
      </c>
      <c r="J142" s="40">
        <f t="shared" si="89"/>
        <v>1510.962781134069</v>
      </c>
      <c r="K142" s="40">
        <f t="shared" si="89"/>
        <v>1532.5927382567679</v>
      </c>
      <c r="L142" s="40">
        <f t="shared" si="89"/>
        <v>1569.0310702811753</v>
      </c>
      <c r="M142" s="40">
        <f t="shared" si="89"/>
        <v>1845.5088080906794</v>
      </c>
      <c r="N142" s="178">
        <f t="shared" si="89"/>
        <v>2289.1844100584603</v>
      </c>
      <c r="O142" s="40">
        <f t="shared" si="89"/>
        <v>2330.4121392260467</v>
      </c>
      <c r="P142" s="40">
        <f t="shared" si="89"/>
        <v>2437.493573302927</v>
      </c>
      <c r="Q142" s="40">
        <f t="shared" si="89"/>
        <v>2512.6287308749447</v>
      </c>
      <c r="R142" s="40">
        <f t="shared" si="89"/>
        <v>2610.1147657712727</v>
      </c>
      <c r="S142" s="40">
        <f t="shared" si="89"/>
        <v>2711.591514319643</v>
      </c>
      <c r="T142" s="40">
        <f t="shared" si="89"/>
        <v>2838.4186861934959</v>
      </c>
      <c r="U142" s="40">
        <f t="shared" si="89"/>
        <v>2948.234981108571</v>
      </c>
      <c r="V142" s="40">
        <f t="shared" si="89"/>
        <v>3086.1816520116745</v>
      </c>
      <c r="W142" s="40">
        <f t="shared" si="89"/>
        <v>3193.1464402109505</v>
      </c>
      <c r="X142" s="185">
        <f t="shared" si="89"/>
        <v>3300.0660033422059</v>
      </c>
      <c r="Y142" s="272">
        <f t="shared" si="89"/>
        <v>3384.2590600796843</v>
      </c>
      <c r="Z142" s="272">
        <f t="shared" si="89"/>
        <v>3399.5436718659184</v>
      </c>
      <c r="AA142" s="272">
        <f t="shared" si="89"/>
        <v>3485.1050499180114</v>
      </c>
      <c r="AB142" s="272">
        <f t="shared" si="89"/>
        <v>3554.3164901487385</v>
      </c>
      <c r="AC142" s="272">
        <f t="shared" si="89"/>
        <v>3645.898732405497</v>
      </c>
      <c r="AD142" s="272">
        <f t="shared" si="89"/>
        <v>3736.696465128151</v>
      </c>
      <c r="AE142" s="272">
        <f t="shared" si="89"/>
        <v>3806.8023714743858</v>
      </c>
      <c r="AF142" s="272">
        <f t="shared" si="89"/>
        <v>3948.9061497060484</v>
      </c>
      <c r="AG142" s="272">
        <f t="shared" si="89"/>
        <v>4044.0592695078794</v>
      </c>
      <c r="AH142" s="185">
        <f t="shared" si="89"/>
        <v>4167.9294124610014</v>
      </c>
    </row>
    <row r="143" spans="1:35">
      <c r="A143" s="10" t="s">
        <v>141</v>
      </c>
      <c r="C143" s="336">
        <f>C116*Inputs!$H$60</f>
        <v>5216.4119699999992</v>
      </c>
      <c r="D143" s="336">
        <f>D116*Inputs!$H$60</f>
        <v>6969.2291398369198</v>
      </c>
      <c r="E143" s="336">
        <f>E116*Inputs!$H$60</f>
        <v>5276.8787458870402</v>
      </c>
      <c r="F143" s="336">
        <f>F116*Inputs!$H$60</f>
        <v>4453.642493323945</v>
      </c>
      <c r="G143" s="336">
        <f>G116*Inputs!$H$60</f>
        <v>5232.143450341825</v>
      </c>
      <c r="H143" s="408">
        <f>H116*Inputs!$H$60</f>
        <v>5717.3935740596598</v>
      </c>
      <c r="I143" s="14">
        <f>I116*Inputs!$H$60</f>
        <v>5827.0158067144484</v>
      </c>
      <c r="J143" s="14">
        <f>J116*Inputs!$H$60</f>
        <v>4062.8716203442691</v>
      </c>
      <c r="K143" s="14">
        <f>K116*Inputs!$H$60</f>
        <v>3734.3149197501384</v>
      </c>
      <c r="L143" s="14">
        <f>L116*Inputs!$H$60</f>
        <v>3787.7003292205991</v>
      </c>
      <c r="M143" s="14">
        <f>M116*Inputs!$H$60</f>
        <v>3709.8083264874654</v>
      </c>
      <c r="N143" s="183">
        <f>N116*Inputs!$H$60</f>
        <v>3577.456885793531</v>
      </c>
      <c r="O143" s="14">
        <f>O116*Inputs!$H$60</f>
        <v>3493.9908500525426</v>
      </c>
      <c r="P143" s="14">
        <f>P116*Inputs!$H$60</f>
        <v>3478.5679021775791</v>
      </c>
      <c r="Q143" s="14">
        <f>Q116*Inputs!$H$60</f>
        <v>3477.9596984690029</v>
      </c>
      <c r="R143" s="14">
        <f>R116*Inputs!$H$60</f>
        <v>3546.9895359883094</v>
      </c>
      <c r="S143" s="14">
        <f>S116*Inputs!$H$60</f>
        <v>3630.7822301794931</v>
      </c>
      <c r="T143" s="14">
        <f>T116*Inputs!$H$60</f>
        <v>3616.5619464294346</v>
      </c>
      <c r="U143" s="14">
        <f>U116*Inputs!$H$60</f>
        <v>3610.5485421011158</v>
      </c>
      <c r="V143" s="14">
        <f>V116*Inputs!$H$60</f>
        <v>3569.0243255365467</v>
      </c>
      <c r="W143" s="14">
        <f>W116*Inputs!$H$60</f>
        <v>3536.5360204796716</v>
      </c>
      <c r="X143" s="188">
        <f>X116*Inputs!$H$60</f>
        <v>3494.1657110026695</v>
      </c>
      <c r="Y143" s="159">
        <f>Y116*Inputs!$H$60</f>
        <v>3457.7263365526724</v>
      </c>
      <c r="Z143" s="159">
        <f>Z116*Inputs!$H$60</f>
        <v>3447.5073137428644</v>
      </c>
      <c r="AA143" s="159">
        <f>AA116*Inputs!$H$60</f>
        <v>3418.4061049954562</v>
      </c>
      <c r="AB143" s="159">
        <f>AB116*Inputs!$H$60</f>
        <v>3394.114228472145</v>
      </c>
      <c r="AC143" s="159">
        <f>AC116*Inputs!$H$60</f>
        <v>3362.5589224759519</v>
      </c>
      <c r="AD143" s="159">
        <f>AD116*Inputs!$H$60</f>
        <v>3331.5370323371044</v>
      </c>
      <c r="AE143" s="159">
        <f>AE116*Inputs!$H$60</f>
        <v>3308.5633625576675</v>
      </c>
      <c r="AF143" s="159">
        <f>AF116*Inputs!$H$60</f>
        <v>3265.0329954876916</v>
      </c>
      <c r="AG143" s="159">
        <f>AG116*Inputs!$H$60</f>
        <v>3234.4566415945415</v>
      </c>
      <c r="AH143" s="188">
        <f>AH116*Inputs!$H$60</f>
        <v>3197.7715974314319</v>
      </c>
      <c r="AI143" s="48"/>
    </row>
    <row r="144" spans="1:35">
      <c r="A144" s="10" t="s">
        <v>221</v>
      </c>
      <c r="C144" s="336">
        <f>C117*Inputs!$H$61</f>
        <v>2235.6051299999999</v>
      </c>
      <c r="D144" s="336">
        <f>D117*Inputs!$H$61</f>
        <v>1301.2329695424423</v>
      </c>
      <c r="E144" s="336">
        <f>E117*Inputs!$H$61</f>
        <v>1185.0750310374565</v>
      </c>
      <c r="F144" s="336">
        <f>F117*Inputs!$H$61</f>
        <v>1856.8193025111711</v>
      </c>
      <c r="G144" s="336">
        <f>G117*Inputs!$H$61</f>
        <v>1504.9294159156377</v>
      </c>
      <c r="H144" s="408">
        <f>H117*Inputs!$H$61</f>
        <v>2038.5989669403405</v>
      </c>
      <c r="I144" s="14">
        <f>I117*Inputs!$H$61</f>
        <v>1949.8516810723211</v>
      </c>
      <c r="J144" s="14">
        <f>J117*Inputs!$H$61</f>
        <v>3383.0230783232942</v>
      </c>
      <c r="K144" s="14">
        <f>K117*Inputs!$H$61</f>
        <v>3471.6185303768661</v>
      </c>
      <c r="L144" s="14">
        <f>L117*Inputs!$H$61</f>
        <v>3430.2697409880043</v>
      </c>
      <c r="M144" s="14">
        <f>M117*Inputs!$H$61</f>
        <v>3350.316197187718</v>
      </c>
      <c r="N144" s="183">
        <f>N117*Inputs!$H$61</f>
        <v>3234.26041890647</v>
      </c>
      <c r="O144" s="14">
        <f>O117*Inputs!$H$61</f>
        <v>3212.8426778236917</v>
      </c>
      <c r="P144" s="14">
        <f>P117*Inputs!$H$61</f>
        <v>3304.1572162568309</v>
      </c>
      <c r="Q144" s="14">
        <f>Q117*Inputs!$H$61</f>
        <v>3281.054148806455</v>
      </c>
      <c r="R144" s="14">
        <f>R117*Inputs!$H$61</f>
        <v>3238.5718974816041</v>
      </c>
      <c r="S144" s="14">
        <f>S117*Inputs!$H$61</f>
        <v>3180.2307110972743</v>
      </c>
      <c r="T144" s="14">
        <f>T117*Inputs!$H$61</f>
        <v>3270.6443920417205</v>
      </c>
      <c r="U144" s="14">
        <f>U117*Inputs!$H$61</f>
        <v>3298.2663464798297</v>
      </c>
      <c r="V144" s="14">
        <f>V117*Inputs!$H$61</f>
        <v>3413.7201726327817</v>
      </c>
      <c r="W144" s="14">
        <f>W117*Inputs!$H$61</f>
        <v>3437.3634243924098</v>
      </c>
      <c r="X144" s="188">
        <f>X117*Inputs!$H$61</f>
        <v>3461.00403909733</v>
      </c>
      <c r="Y144" s="159">
        <f>Y117*Inputs!$H$61</f>
        <v>3471.2385682810245</v>
      </c>
      <c r="Z144" s="159">
        <f>Z117*Inputs!$H$61</f>
        <v>3312.8104828498485</v>
      </c>
      <c r="AA144" s="159">
        <f>AA117*Inputs!$H$61</f>
        <v>3311.43230922162</v>
      </c>
      <c r="AB144" s="159">
        <f>AB117*Inputs!$H$61</f>
        <v>3269.2817410406856</v>
      </c>
      <c r="AC144" s="159">
        <f>AC117*Inputs!$H$61</f>
        <v>3271.7387646397015</v>
      </c>
      <c r="AD144" s="159">
        <f>AD117*Inputs!$H$61</f>
        <v>3266.7117302869451</v>
      </c>
      <c r="AE144" s="159">
        <f>AE117*Inputs!$H$61</f>
        <v>3212.9515635879543</v>
      </c>
      <c r="AF144" s="159">
        <f>AF117*Inputs!$H$61</f>
        <v>3296.356422772009</v>
      </c>
      <c r="AG144" s="159">
        <f>AG117*Inputs!$H$61</f>
        <v>3281.2249347478009</v>
      </c>
      <c r="AH144" s="188">
        <f>AH117*Inputs!$H$61</f>
        <v>3311.9826442185681</v>
      </c>
      <c r="AI144" s="48"/>
    </row>
    <row r="145" spans="1:35">
      <c r="A145" s="10" t="s">
        <v>58</v>
      </c>
      <c r="C145" s="336">
        <f>SUM(C140,C143,C144)</f>
        <v>10829.721608100001</v>
      </c>
      <c r="D145" s="336">
        <f>SUM(D140,D143,D144)</f>
        <v>11947.376953640451</v>
      </c>
      <c r="E145" s="336">
        <f t="shared" ref="E145:AH145" si="90">SUM(E140,E143,E144)</f>
        <v>9262.87432485707</v>
      </c>
      <c r="F145" s="336">
        <f t="shared" si="90"/>
        <v>9154.1232324667835</v>
      </c>
      <c r="G145" s="336">
        <f t="shared" si="90"/>
        <v>9905.2634656145619</v>
      </c>
      <c r="H145" s="408">
        <f t="shared" si="90"/>
        <v>10234.805570100001</v>
      </c>
      <c r="I145" s="14">
        <f t="shared" si="90"/>
        <v>10832.139659081651</v>
      </c>
      <c r="J145" s="14">
        <f t="shared" si="90"/>
        <v>10811.004606530611</v>
      </c>
      <c r="K145" s="14">
        <f t="shared" si="90"/>
        <v>10557.363667856283</v>
      </c>
      <c r="L145" s="14">
        <f t="shared" si="90"/>
        <v>10628.66234835708</v>
      </c>
      <c r="M145" s="14">
        <f t="shared" si="90"/>
        <v>10766.888557055801</v>
      </c>
      <c r="N145" s="188">
        <f t="shared" si="90"/>
        <v>10985.823190258461</v>
      </c>
      <c r="O145" s="14">
        <f t="shared" si="90"/>
        <v>10887.697050752729</v>
      </c>
      <c r="P145" s="14">
        <f t="shared" si="90"/>
        <v>11086.581293832609</v>
      </c>
      <c r="Q145" s="14">
        <f t="shared" si="90"/>
        <v>11126.72504036228</v>
      </c>
      <c r="R145" s="14">
        <f t="shared" si="90"/>
        <v>11253.699780979248</v>
      </c>
      <c r="S145" s="14">
        <f t="shared" si="90"/>
        <v>11383.605306761836</v>
      </c>
      <c r="T145" s="14">
        <f t="shared" si="90"/>
        <v>11603.657119738538</v>
      </c>
      <c r="U145" s="14">
        <f t="shared" si="90"/>
        <v>11737.518256813633</v>
      </c>
      <c r="V145" s="14">
        <f t="shared" si="90"/>
        <v>11966.398827225452</v>
      </c>
      <c r="W145" s="14">
        <f t="shared" si="90"/>
        <v>12059.368863256308</v>
      </c>
      <c r="X145" s="188">
        <f t="shared" si="90"/>
        <v>12140.157228942206</v>
      </c>
      <c r="Y145" s="159">
        <f t="shared" si="90"/>
        <v>12201.635066014886</v>
      </c>
      <c r="Z145" s="159">
        <f t="shared" si="90"/>
        <v>12013.032135859105</v>
      </c>
      <c r="AA145" s="159">
        <f t="shared" si="90"/>
        <v>12070.918171530078</v>
      </c>
      <c r="AB145" s="159">
        <f t="shared" si="90"/>
        <v>12066.866974260412</v>
      </c>
      <c r="AC145" s="159">
        <f t="shared" si="90"/>
        <v>12133.225223249379</v>
      </c>
      <c r="AD145" s="159">
        <f t="shared" si="90"/>
        <v>12190.293263238864</v>
      </c>
      <c r="AE145" s="159">
        <f t="shared" si="90"/>
        <v>12174.851826694059</v>
      </c>
      <c r="AF145" s="159">
        <f t="shared" si="90"/>
        <v>12381.550607680554</v>
      </c>
      <c r="AG145" s="159">
        <f t="shared" si="90"/>
        <v>12431.85481878879</v>
      </c>
      <c r="AH145" s="188">
        <f t="shared" si="90"/>
        <v>12562.605129611002</v>
      </c>
      <c r="AI145" s="48"/>
    </row>
    <row r="146" spans="1:35" s="1" customFormat="1">
      <c r="A146" s="1" t="s">
        <v>332</v>
      </c>
      <c r="B146" s="13"/>
      <c r="C146" s="346">
        <f>C145-'Output - Jobs vs Yr (BAU)'!C73</f>
        <v>0.4850972999993246</v>
      </c>
      <c r="D146" s="346">
        <f>D145-'Output - Jobs vs Yr (BAU)'!D73</f>
        <v>-139.76255715954903</v>
      </c>
      <c r="E146" s="346">
        <f>E145-'Output - Jobs vs Yr (BAU)'!E73</f>
        <v>109.94670105706973</v>
      </c>
      <c r="F146" s="346">
        <f>F145-'Output - Jobs vs Yr (BAU)'!F73</f>
        <v>234.03475266678288</v>
      </c>
      <c r="G146" s="346">
        <f>G145-'Output - Jobs vs Yr (BAU)'!G73</f>
        <v>181.03812581456077</v>
      </c>
      <c r="H146" s="411">
        <f>H145-'Output - Jobs vs Yr (BAU)'!H73</f>
        <v>-29.64377069999864</v>
      </c>
      <c r="I146" s="15">
        <f>I145-'Output - Jobs vs Yr (BAU)'!I73</f>
        <v>-7.5350247183487227</v>
      </c>
      <c r="J146" s="15">
        <f>J145-'Output - Jobs vs Yr (BAU)'!J73</f>
        <v>-5.8605942693902762</v>
      </c>
      <c r="K146" s="15">
        <f>K145-'Output - Jobs vs Yr (BAU)'!K73</f>
        <v>-8.5286939437155525</v>
      </c>
      <c r="L146" s="15">
        <f>L145-'Output - Jobs vs Yr (BAU)'!L73</f>
        <v>11.263058557078693</v>
      </c>
      <c r="M146" s="15">
        <f>M145-'Output - Jobs vs Yr (BAU)'!M73</f>
        <v>103.8417892558009</v>
      </c>
      <c r="N146" s="183">
        <f>N145-'Output - Jobs vs Yr (BAU)'!N73</f>
        <v>266.92890245846138</v>
      </c>
      <c r="O146" s="15">
        <f>O145-'Output - Jobs vs Yr (BAU)'!O73</f>
        <v>267.28392195273045</v>
      </c>
      <c r="P146" s="15">
        <f>P145-'Output - Jobs vs Yr (BAU)'!P73</f>
        <v>308.98572103260813</v>
      </c>
      <c r="Q146" s="15">
        <f>Q145-'Output - Jobs vs Yr (BAU)'!Q73</f>
        <v>335.80231256228035</v>
      </c>
      <c r="R146" s="15">
        <f>R145-'Output - Jobs vs Yr (BAU)'!R73</f>
        <v>367.50261217924708</v>
      </c>
      <c r="S146" s="15">
        <f>S145-'Output - Jobs vs Yr (BAU)'!S73</f>
        <v>404.54327596183612</v>
      </c>
      <c r="T146" s="15">
        <f>T145-'Output - Jobs vs Yr (BAU)'!T73</f>
        <v>455.58774293853821</v>
      </c>
      <c r="U146" s="15">
        <f>U145-'Output - Jobs vs Yr (BAU)'!U73</f>
        <v>498.06014401363245</v>
      </c>
      <c r="V146" s="15">
        <f>V145-'Output - Jobs vs Yr (BAU)'!V73</f>
        <v>550.22269042545122</v>
      </c>
      <c r="W146" s="15">
        <f>W145-'Output - Jobs vs Yr (BAU)'!W73</f>
        <v>585.23053045630695</v>
      </c>
      <c r="X146" s="191">
        <f>X145-'Output - Jobs vs Yr (BAU)'!X73</f>
        <v>594.57556414220562</v>
      </c>
      <c r="Y146" s="131">
        <f>Y145-'Output - Jobs vs Yr (BAU)'!Y73</f>
        <v>608.67579021488382</v>
      </c>
      <c r="Z146" s="131">
        <f>Z145-'Output - Jobs vs Yr (BAU)'!Z73</f>
        <v>600.62795305910367</v>
      </c>
      <c r="AA146" s="131">
        <f>AA145-'Output - Jobs vs Yr (BAU)'!AA73</f>
        <v>630.85559373007891</v>
      </c>
      <c r="AB146" s="131">
        <f>AB145-'Output - Jobs vs Yr (BAU)'!AB73</f>
        <v>653.4067224604114</v>
      </c>
      <c r="AC146" s="131">
        <f>AC145-'Output - Jobs vs Yr (BAU)'!AC73</f>
        <v>687.26995844937846</v>
      </c>
      <c r="AD146" s="131">
        <f>AD145-'Output - Jobs vs Yr (BAU)'!AD73</f>
        <v>720.26704843886182</v>
      </c>
      <c r="AE146" s="131">
        <f>AE145-'Output - Jobs vs Yr (BAU)'!AE73</f>
        <v>742.24861989405872</v>
      </c>
      <c r="AF146" s="131">
        <f>AF145-'Output - Jobs vs Yr (BAU)'!AF73</f>
        <v>798.11229688055391</v>
      </c>
      <c r="AG146" s="131">
        <f>AG145-'Output - Jobs vs Yr (BAU)'!AG73</f>
        <v>830.54887098879044</v>
      </c>
      <c r="AH146" s="191">
        <f>AH145-'Output - Jobs vs Yr (BAU)'!AH73</f>
        <v>638.54796781100049</v>
      </c>
    </row>
    <row r="147" spans="1:35" s="1" customFormat="1">
      <c r="A147" s="11"/>
      <c r="B147" s="13"/>
      <c r="C147" s="333"/>
      <c r="D147" s="346"/>
      <c r="E147" s="346"/>
      <c r="F147" s="346"/>
      <c r="G147" s="346"/>
      <c r="H147" s="411"/>
      <c r="I147" s="15"/>
      <c r="J147" s="15"/>
      <c r="K147" s="15"/>
      <c r="L147" s="15"/>
      <c r="M147" s="15"/>
      <c r="N147" s="188" t="s">
        <v>0</v>
      </c>
      <c r="O147" s="15"/>
      <c r="P147" s="15"/>
      <c r="Q147" s="15"/>
      <c r="R147" s="15"/>
      <c r="S147" s="15"/>
      <c r="T147" s="15"/>
      <c r="U147" s="15"/>
      <c r="V147" s="15"/>
      <c r="W147" s="15"/>
      <c r="X147" s="191"/>
      <c r="Y147"/>
      <c r="Z147"/>
      <c r="AA147"/>
      <c r="AB147"/>
      <c r="AC147"/>
      <c r="AD147"/>
      <c r="AE147"/>
      <c r="AF147"/>
      <c r="AG147"/>
      <c r="AH147" s="281"/>
    </row>
    <row r="148" spans="1:35" hidden="1">
      <c r="A148" s="1" t="s">
        <v>198</v>
      </c>
    </row>
    <row r="149" spans="1:35" hidden="1">
      <c r="A149" s="20" t="s">
        <v>196</v>
      </c>
      <c r="C149" s="338">
        <f>'backup - EIA liq_fuelS_aeo2014'!E44</f>
        <v>7088.7783050537164</v>
      </c>
      <c r="D149" s="338">
        <f>'backup - EIA liq_fuelS_aeo2014'!F44</f>
        <v>7149.5953941345133</v>
      </c>
      <c r="E149" s="338">
        <f>'backup - EIA liq_fuelS_aeo2014'!G44</f>
        <v>6912.5827950000003</v>
      </c>
      <c r="F149" s="338">
        <f>'backup - EIA liq_fuelS_aeo2014'!H44</f>
        <v>6786.185485</v>
      </c>
      <c r="G149" s="338">
        <f>'backup - EIA liq_fuelS_aeo2014'!I44</f>
        <v>6929.6414350000005</v>
      </c>
      <c r="H149" s="412">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9">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5">
        <f>'backup - EIA liq_fuelS_aeo2014'!Z44</f>
        <v>6908.05278</v>
      </c>
    </row>
    <row r="150" spans="1:35" hidden="1">
      <c r="A150" s="20" t="s">
        <v>197</v>
      </c>
      <c r="C150" s="338">
        <f>'backup - EIA liq_fuelS_aeo2014'!E44</f>
        <v>7088.7783050537164</v>
      </c>
      <c r="D150" s="338">
        <f>'backup - EIA liq_fuelS_aeo2014'!F44</f>
        <v>7149.5953941345133</v>
      </c>
      <c r="E150" s="338">
        <f>'backup - EIA liq_fuelS_aeo2014'!G44</f>
        <v>6912.5827950000003</v>
      </c>
      <c r="F150" s="338">
        <f>'backup - EIA liq_fuelS_aeo2014'!H44</f>
        <v>6786.185485</v>
      </c>
      <c r="G150" s="338">
        <f>'backup - EIA liq_fuelS_aeo2014'!I44</f>
        <v>6929.6414350000005</v>
      </c>
      <c r="H150" s="412">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9">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5">
        <f>'backup - EIA liq_fuelS_aeo2014'!Z44</f>
        <v>6908.05278</v>
      </c>
    </row>
    <row r="151" spans="1:35" hidden="1">
      <c r="A151" s="20" t="s">
        <v>199</v>
      </c>
      <c r="C151" s="347">
        <f>'backup - EIA liq_fuelS_aeo2014'!E46</f>
        <v>273.77869168296451</v>
      </c>
      <c r="D151" s="347">
        <f>'backup - EIA liq_fuelS_aeo2014'!F46</f>
        <v>330.59007454663532</v>
      </c>
      <c r="E151" s="347">
        <f>'backup - EIA liq_fuelS_aeo2014'!G46</f>
        <v>346.41273999999999</v>
      </c>
      <c r="F151" s="347">
        <f>'backup - EIA liq_fuelS_aeo2014'!H46</f>
        <v>332.23648773503913</v>
      </c>
      <c r="G151" s="347">
        <f>'backup - EIA liq_fuelS_aeo2014'!I46</f>
        <v>336.63400877733272</v>
      </c>
      <c r="H151" s="413">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90">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6">
        <f>'backup - EIA liq_fuelS_aeo2014'!Z46</f>
        <v>459.60339229062083</v>
      </c>
    </row>
    <row r="152" spans="1:35" hidden="1">
      <c r="A152" s="20" t="s">
        <v>202</v>
      </c>
      <c r="C152" s="337">
        <f>C151/C149</f>
        <v>3.8621421054708789E-2</v>
      </c>
      <c r="D152" s="337">
        <f t="shared" ref="D152:X152" si="91">D151/D149</f>
        <v>4.62389906452398E-2</v>
      </c>
      <c r="E152" s="337">
        <f t="shared" si="91"/>
        <v>5.0113358533740347E-2</v>
      </c>
      <c r="F152" s="337">
        <f t="shared" si="91"/>
        <v>4.8957766991398283E-2</v>
      </c>
      <c r="G152" s="337">
        <f t="shared" si="91"/>
        <v>4.8578849560248959E-2</v>
      </c>
      <c r="H152" s="285">
        <f t="shared" si="91"/>
        <v>5.1284361693822764E-2</v>
      </c>
      <c r="I152" s="91">
        <f t="shared" si="91"/>
        <v>4.7576032869045513E-2</v>
      </c>
      <c r="J152" s="91">
        <f t="shared" si="91"/>
        <v>4.7305096007127082E-2</v>
      </c>
      <c r="K152" s="91">
        <f t="shared" si="91"/>
        <v>4.7990408149769591E-2</v>
      </c>
      <c r="L152" s="91">
        <f t="shared" si="91"/>
        <v>4.8486149400757073E-2</v>
      </c>
      <c r="M152" s="91">
        <f t="shared" si="91"/>
        <v>4.9368514215783074E-2</v>
      </c>
      <c r="N152" s="181">
        <f t="shared" si="91"/>
        <v>5.0830360119830421E-2</v>
      </c>
      <c r="O152" s="91">
        <f t="shared" si="91"/>
        <v>5.2227082464624618E-2</v>
      </c>
      <c r="P152" s="91">
        <f t="shared" si="91"/>
        <v>5.4509371249060634E-2</v>
      </c>
      <c r="Q152" s="91">
        <f t="shared" si="91"/>
        <v>5.6685779692733994E-2</v>
      </c>
      <c r="R152" s="91">
        <f t="shared" si="91"/>
        <v>5.8757749486676496E-2</v>
      </c>
      <c r="S152" s="91">
        <f t="shared" si="91"/>
        <v>6.059303768673973E-2</v>
      </c>
      <c r="T152" s="91">
        <f t="shared" si="91"/>
        <v>6.2328131729370434E-2</v>
      </c>
      <c r="U152" s="91">
        <f t="shared" si="91"/>
        <v>6.3760503080617439E-2</v>
      </c>
      <c r="V152" s="91">
        <f t="shared" si="91"/>
        <v>6.4904735244002754E-2</v>
      </c>
      <c r="W152" s="91">
        <f t="shared" si="91"/>
        <v>6.5845504400378327E-2</v>
      </c>
      <c r="X152" s="186">
        <f t="shared" si="91"/>
        <v>6.6531540352623195E-2</v>
      </c>
    </row>
    <row r="153" spans="1:35" hidden="1">
      <c r="A153" t="s">
        <v>200</v>
      </c>
      <c r="C153" s="347">
        <f>'backup - EIA liq_fuelS_aeo2014'!E46</f>
        <v>273.77869168296451</v>
      </c>
      <c r="D153" s="347">
        <f>'backup - EIA liq_fuelS_aeo2014'!F46</f>
        <v>330.59007454663532</v>
      </c>
      <c r="E153" s="347">
        <f>'backup - EIA liq_fuelS_aeo2014'!G46</f>
        <v>346.41273999999999</v>
      </c>
      <c r="F153" s="347">
        <f>'backup - EIA liq_fuelS_aeo2014'!H46</f>
        <v>332.23648773503913</v>
      </c>
      <c r="G153" s="347">
        <f>'backup - EIA liq_fuelS_aeo2014'!I46</f>
        <v>336.63400877733272</v>
      </c>
      <c r="H153" s="413">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90">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6">
        <f>'backup - EIA liq_fuelS_aeo2014'!Z46</f>
        <v>459.60339229062083</v>
      </c>
    </row>
    <row r="154" spans="1:35" hidden="1">
      <c r="A154" t="s">
        <v>203</v>
      </c>
      <c r="C154" s="337">
        <f>C153/C149</f>
        <v>3.8621421054708789E-2</v>
      </c>
      <c r="D154" s="337">
        <f t="shared" ref="D154:X154" si="92">D153/D149</f>
        <v>4.62389906452398E-2</v>
      </c>
      <c r="E154" s="337">
        <f t="shared" si="92"/>
        <v>5.0113358533740347E-2</v>
      </c>
      <c r="F154" s="337">
        <f t="shared" si="92"/>
        <v>4.8957766991398283E-2</v>
      </c>
      <c r="G154" s="337">
        <f t="shared" si="92"/>
        <v>4.8578849560248959E-2</v>
      </c>
      <c r="H154" s="285">
        <f t="shared" si="92"/>
        <v>5.1284361693822764E-2</v>
      </c>
      <c r="I154" s="91">
        <f t="shared" si="92"/>
        <v>4.7576032869045513E-2</v>
      </c>
      <c r="J154" s="91">
        <f t="shared" si="92"/>
        <v>4.7305096007127082E-2</v>
      </c>
      <c r="K154" s="91">
        <f t="shared" si="92"/>
        <v>4.7990408149769591E-2</v>
      </c>
      <c r="L154" s="91">
        <f t="shared" si="92"/>
        <v>4.8486149400757073E-2</v>
      </c>
      <c r="M154" s="91">
        <f t="shared" si="92"/>
        <v>4.9368514215783074E-2</v>
      </c>
      <c r="N154" s="181">
        <f t="shared" si="92"/>
        <v>5.0830360119830421E-2</v>
      </c>
      <c r="O154" s="91">
        <f t="shared" si="92"/>
        <v>5.2227082464624618E-2</v>
      </c>
      <c r="P154" s="91">
        <f t="shared" si="92"/>
        <v>5.4509371249060634E-2</v>
      </c>
      <c r="Q154" s="91">
        <f t="shared" si="92"/>
        <v>5.6685779692733994E-2</v>
      </c>
      <c r="R154" s="91">
        <f t="shared" si="92"/>
        <v>5.8757749486676496E-2</v>
      </c>
      <c r="S154" s="91">
        <f t="shared" si="92"/>
        <v>6.059303768673973E-2</v>
      </c>
      <c r="T154" s="91">
        <f t="shared" si="92"/>
        <v>6.2328131729370434E-2</v>
      </c>
      <c r="U154" s="91">
        <f t="shared" si="92"/>
        <v>6.3760503080617439E-2</v>
      </c>
      <c r="V154" s="91">
        <f t="shared" si="92"/>
        <v>6.4904735244002754E-2</v>
      </c>
      <c r="W154" s="91">
        <f t="shared" si="92"/>
        <v>6.5845504400378327E-2</v>
      </c>
      <c r="X154" s="186">
        <f t="shared" si="92"/>
        <v>6.6531540352623195E-2</v>
      </c>
    </row>
    <row r="155" spans="1:35" hidden="1">
      <c r="A155" s="1" t="s">
        <v>201</v>
      </c>
      <c r="C155" s="347">
        <f>MAX(C151,C153)</f>
        <v>273.77869168296451</v>
      </c>
      <c r="D155" s="347">
        <f t="shared" ref="D155:X155" si="93">MAX(D151,D153)</f>
        <v>330.59007454663532</v>
      </c>
      <c r="E155" s="347">
        <f t="shared" si="93"/>
        <v>346.41273999999999</v>
      </c>
      <c r="F155" s="347">
        <f t="shared" si="93"/>
        <v>332.23648773503913</v>
      </c>
      <c r="G155" s="347">
        <f t="shared" si="93"/>
        <v>336.63400877733272</v>
      </c>
      <c r="H155" s="413">
        <f t="shared" si="93"/>
        <v>352.19858305216189</v>
      </c>
      <c r="I155" s="52">
        <f t="shared" si="93"/>
        <v>332.67387741278202</v>
      </c>
      <c r="J155" s="52">
        <f t="shared" si="93"/>
        <v>334.25860074671806</v>
      </c>
      <c r="K155" s="52">
        <f t="shared" si="93"/>
        <v>341.17813427402433</v>
      </c>
      <c r="L155" s="52">
        <f t="shared" si="93"/>
        <v>345.58877710595249</v>
      </c>
      <c r="M155" s="52">
        <f t="shared" si="93"/>
        <v>352.0193896929872</v>
      </c>
      <c r="N155" s="190">
        <f t="shared" si="93"/>
        <v>362.16295876265764</v>
      </c>
      <c r="O155" s="52">
        <f t="shared" si="93"/>
        <v>371.28950968144909</v>
      </c>
      <c r="P155" s="52">
        <f t="shared" si="93"/>
        <v>386.73310267300621</v>
      </c>
      <c r="Q155" s="52">
        <f t="shared" si="93"/>
        <v>401.15959175664915</v>
      </c>
      <c r="R155" s="52">
        <f t="shared" si="93"/>
        <v>414.56272820760728</v>
      </c>
      <c r="S155" s="52">
        <f t="shared" si="93"/>
        <v>426.01426158540727</v>
      </c>
      <c r="T155" s="52">
        <f t="shared" si="93"/>
        <v>436.3142303161336</v>
      </c>
      <c r="U155" s="52">
        <f t="shared" si="93"/>
        <v>444.95490300330164</v>
      </c>
      <c r="V155" s="52">
        <f t="shared" si="93"/>
        <v>451.53307562319765</v>
      </c>
      <c r="W155" s="52">
        <f t="shared" si="93"/>
        <v>456.17321024350161</v>
      </c>
      <c r="X155" s="376">
        <f t="shared" si="93"/>
        <v>459.60339229062083</v>
      </c>
    </row>
    <row r="156" spans="1:35" hidden="1">
      <c r="A156" t="s">
        <v>204</v>
      </c>
      <c r="I156" s="101"/>
      <c r="J156" s="101"/>
      <c r="K156" s="101"/>
      <c r="L156" s="101"/>
      <c r="M156" s="101"/>
      <c r="O156" s="101"/>
      <c r="P156" s="101"/>
      <c r="Q156" s="101"/>
      <c r="R156" s="101"/>
      <c r="S156" s="101"/>
      <c r="T156" s="101"/>
      <c r="U156" s="101"/>
      <c r="V156" s="101"/>
      <c r="W156" s="101"/>
    </row>
    <row r="157" spans="1:35" hidden="1">
      <c r="A157" t="s">
        <v>206</v>
      </c>
      <c r="C157" s="338">
        <f>C149-C150</f>
        <v>0</v>
      </c>
      <c r="D157" s="338">
        <f t="shared" ref="D157:X157" si="94">D149-D150</f>
        <v>0</v>
      </c>
      <c r="E157" s="338">
        <f t="shared" si="94"/>
        <v>0</v>
      </c>
      <c r="F157" s="338">
        <f t="shared" si="94"/>
        <v>0</v>
      </c>
      <c r="G157" s="338">
        <f t="shared" si="94"/>
        <v>0</v>
      </c>
      <c r="H157" s="412">
        <f t="shared" si="94"/>
        <v>0</v>
      </c>
      <c r="I157" s="16">
        <f t="shared" si="94"/>
        <v>0</v>
      </c>
      <c r="J157" s="16">
        <f t="shared" si="94"/>
        <v>0</v>
      </c>
      <c r="K157" s="16">
        <f t="shared" si="94"/>
        <v>0</v>
      </c>
      <c r="L157" s="16">
        <f t="shared" si="94"/>
        <v>0</v>
      </c>
      <c r="M157" s="16">
        <f t="shared" si="94"/>
        <v>0</v>
      </c>
      <c r="N157" s="189">
        <f t="shared" si="94"/>
        <v>0</v>
      </c>
      <c r="O157" s="16">
        <f t="shared" si="94"/>
        <v>0</v>
      </c>
      <c r="P157" s="16">
        <f t="shared" si="94"/>
        <v>0</v>
      </c>
      <c r="Q157" s="16">
        <f t="shared" si="94"/>
        <v>0</v>
      </c>
      <c r="R157" s="16">
        <f t="shared" si="94"/>
        <v>0</v>
      </c>
      <c r="S157" s="16">
        <f t="shared" si="94"/>
        <v>0</v>
      </c>
      <c r="T157" s="16">
        <f t="shared" si="94"/>
        <v>0</v>
      </c>
      <c r="U157" s="16">
        <f t="shared" si="94"/>
        <v>0</v>
      </c>
      <c r="V157" s="16">
        <f t="shared" si="94"/>
        <v>0</v>
      </c>
      <c r="W157" s="16">
        <f t="shared" si="94"/>
        <v>0</v>
      </c>
      <c r="X157" s="375">
        <f t="shared" si="94"/>
        <v>0</v>
      </c>
    </row>
    <row r="158" spans="1:35" hidden="1"/>
    <row r="159" spans="1:35" hidden="1">
      <c r="A159" s="1" t="s">
        <v>251</v>
      </c>
    </row>
    <row r="160" spans="1:35" hidden="1">
      <c r="A160" t="s">
        <v>283</v>
      </c>
      <c r="C160" s="335">
        <v>0</v>
      </c>
      <c r="D160" s="335">
        <v>0</v>
      </c>
      <c r="E160" s="335">
        <v>0</v>
      </c>
      <c r="F160" s="335">
        <v>0</v>
      </c>
      <c r="G160" s="335">
        <v>0</v>
      </c>
      <c r="H160" s="287">
        <v>0</v>
      </c>
      <c r="I160" s="83">
        <v>0</v>
      </c>
      <c r="J160" s="83">
        <v>0</v>
      </c>
      <c r="K160" s="83">
        <v>0</v>
      </c>
      <c r="L160" s="83">
        <v>0</v>
      </c>
      <c r="M160" s="83">
        <v>0</v>
      </c>
      <c r="N160" s="178">
        <v>0</v>
      </c>
      <c r="O160" s="83">
        <v>0</v>
      </c>
      <c r="P160" s="83">
        <v>0</v>
      </c>
      <c r="Q160" s="83">
        <v>0</v>
      </c>
      <c r="R160" s="83">
        <v>0</v>
      </c>
      <c r="S160" s="83">
        <v>0</v>
      </c>
      <c r="T160" s="83">
        <v>0</v>
      </c>
      <c r="U160" s="83">
        <v>0</v>
      </c>
      <c r="V160" s="83">
        <v>0</v>
      </c>
      <c r="W160" s="83">
        <v>0</v>
      </c>
      <c r="X160" s="185">
        <v>0</v>
      </c>
    </row>
    <row r="161" spans="1:35" hidden="1">
      <c r="A161" t="s">
        <v>284</v>
      </c>
      <c r="C161" s="335">
        <v>0</v>
      </c>
      <c r="D161" s="335">
        <v>0</v>
      </c>
      <c r="E161" s="335">
        <v>0</v>
      </c>
      <c r="F161" s="335">
        <v>0</v>
      </c>
      <c r="G161" s="335">
        <v>0</v>
      </c>
      <c r="H161" s="287">
        <v>0</v>
      </c>
      <c r="I161" s="83">
        <v>0</v>
      </c>
      <c r="J161" s="83">
        <v>0</v>
      </c>
      <c r="K161" s="83">
        <v>0</v>
      </c>
      <c r="L161" s="83">
        <v>0</v>
      </c>
      <c r="M161" s="83">
        <v>0</v>
      </c>
      <c r="N161" s="178">
        <v>0</v>
      </c>
      <c r="O161" s="83">
        <v>0</v>
      </c>
      <c r="P161" s="83">
        <v>0</v>
      </c>
      <c r="Q161" s="83">
        <v>0</v>
      </c>
      <c r="R161" s="83">
        <v>0</v>
      </c>
      <c r="S161" s="83">
        <v>0</v>
      </c>
      <c r="T161" s="83">
        <v>0</v>
      </c>
      <c r="U161" s="83">
        <v>0</v>
      </c>
      <c r="V161" s="83">
        <v>0</v>
      </c>
      <c r="W161" s="83">
        <v>0</v>
      </c>
      <c r="X161" s="185">
        <v>0</v>
      </c>
    </row>
    <row r="162" spans="1:35" hidden="1">
      <c r="A162" t="s">
        <v>285</v>
      </c>
      <c r="C162" s="335">
        <v>0</v>
      </c>
      <c r="D162" s="335">
        <v>0</v>
      </c>
      <c r="E162" s="335">
        <v>0</v>
      </c>
      <c r="F162" s="335">
        <v>0</v>
      </c>
      <c r="G162" s="335">
        <v>0</v>
      </c>
      <c r="H162" s="287">
        <v>0</v>
      </c>
      <c r="I162" s="83">
        <v>0</v>
      </c>
      <c r="J162" s="83">
        <v>0</v>
      </c>
      <c r="K162" s="83">
        <v>0</v>
      </c>
      <c r="L162" s="83">
        <v>0</v>
      </c>
      <c r="M162" s="83">
        <v>0</v>
      </c>
      <c r="N162" s="178">
        <v>0</v>
      </c>
      <c r="O162" s="83">
        <v>0</v>
      </c>
      <c r="P162" s="83">
        <v>0</v>
      </c>
      <c r="Q162" s="83">
        <v>0</v>
      </c>
      <c r="R162" s="83">
        <v>0</v>
      </c>
      <c r="S162" s="83">
        <v>0</v>
      </c>
      <c r="T162" s="83">
        <v>0</v>
      </c>
      <c r="U162" s="83">
        <v>0</v>
      </c>
      <c r="V162" s="83">
        <v>0</v>
      </c>
      <c r="W162" s="83">
        <v>0</v>
      </c>
      <c r="X162" s="185">
        <v>0</v>
      </c>
    </row>
    <row r="163" spans="1:35" hidden="1">
      <c r="A163" t="s">
        <v>286</v>
      </c>
      <c r="C163" s="335">
        <v>0</v>
      </c>
      <c r="D163" s="335">
        <v>0</v>
      </c>
      <c r="E163" s="335">
        <v>0</v>
      </c>
      <c r="F163" s="335">
        <v>0</v>
      </c>
      <c r="G163" s="335">
        <v>0</v>
      </c>
      <c r="H163" s="287">
        <v>0</v>
      </c>
      <c r="I163" s="83">
        <v>0</v>
      </c>
      <c r="J163" s="83">
        <v>0</v>
      </c>
      <c r="K163" s="83">
        <v>0</v>
      </c>
      <c r="L163" s="83">
        <v>0</v>
      </c>
      <c r="M163" s="83">
        <v>0</v>
      </c>
      <c r="N163" s="178">
        <v>0</v>
      </c>
      <c r="O163" s="83">
        <v>0</v>
      </c>
      <c r="P163" s="83">
        <v>0</v>
      </c>
      <c r="Q163" s="83">
        <v>0</v>
      </c>
      <c r="R163" s="83">
        <v>0</v>
      </c>
      <c r="S163" s="83">
        <v>0</v>
      </c>
      <c r="T163" s="83">
        <v>0</v>
      </c>
      <c r="U163" s="83">
        <v>0</v>
      </c>
      <c r="V163" s="83">
        <v>0</v>
      </c>
      <c r="W163" s="83">
        <v>0</v>
      </c>
      <c r="X163" s="185">
        <v>0</v>
      </c>
      <c r="AI163" s="79" t="s">
        <v>0</v>
      </c>
    </row>
    <row r="164" spans="1:35" hidden="1">
      <c r="A164" t="s">
        <v>287</v>
      </c>
      <c r="C164" s="335" t="e">
        <f>C157*#REF!</f>
        <v>#REF!</v>
      </c>
      <c r="D164" s="335" t="e">
        <f>D157*#REF!</f>
        <v>#REF!</v>
      </c>
      <c r="E164" s="335" t="e">
        <f>E157*#REF!</f>
        <v>#REF!</v>
      </c>
      <c r="F164" s="335" t="e">
        <f>F157*#REF!</f>
        <v>#REF!</v>
      </c>
      <c r="G164" s="335" t="e">
        <f>G157*#REF!</f>
        <v>#REF!</v>
      </c>
      <c r="H164" s="287" t="e">
        <f>H157*#REF!</f>
        <v>#REF!</v>
      </c>
      <c r="I164" s="83" t="e">
        <f>I157*#REF!</f>
        <v>#REF!</v>
      </c>
      <c r="J164" s="83" t="e">
        <f>J157*#REF!</f>
        <v>#REF!</v>
      </c>
      <c r="K164" s="83" t="e">
        <f>K157*#REF!</f>
        <v>#REF!</v>
      </c>
      <c r="L164" s="83" t="e">
        <f>L157*#REF!</f>
        <v>#REF!</v>
      </c>
      <c r="M164" s="83" t="e">
        <f>M157*#REF!</f>
        <v>#REF!</v>
      </c>
      <c r="N164" s="178"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5" t="e">
        <f>X157*#REF!</f>
        <v>#REF!</v>
      </c>
    </row>
    <row r="165" spans="1:35" hidden="1">
      <c r="A165" t="s">
        <v>288</v>
      </c>
      <c r="C165" s="335">
        <v>0</v>
      </c>
      <c r="D165" s="335">
        <v>0</v>
      </c>
      <c r="E165" s="335">
        <v>0</v>
      </c>
      <c r="F165" s="335">
        <v>0</v>
      </c>
      <c r="G165" s="335">
        <v>0</v>
      </c>
      <c r="H165" s="287">
        <v>0</v>
      </c>
      <c r="I165" s="83">
        <v>0</v>
      </c>
      <c r="J165" s="83">
        <v>0</v>
      </c>
      <c r="K165" s="83">
        <v>0</v>
      </c>
      <c r="L165" s="83">
        <v>0</v>
      </c>
      <c r="M165" s="83">
        <v>0</v>
      </c>
      <c r="N165" s="178">
        <v>0</v>
      </c>
      <c r="O165" s="83">
        <v>0</v>
      </c>
      <c r="P165" s="83">
        <v>0</v>
      </c>
      <c r="Q165" s="83">
        <v>0</v>
      </c>
      <c r="R165" s="83">
        <v>0</v>
      </c>
      <c r="S165" s="83">
        <v>0</v>
      </c>
      <c r="T165" s="83">
        <v>0</v>
      </c>
      <c r="U165" s="83">
        <v>0</v>
      </c>
      <c r="V165" s="83">
        <v>0</v>
      </c>
      <c r="W165" s="83">
        <v>0</v>
      </c>
      <c r="X165" s="185">
        <v>0</v>
      </c>
    </row>
    <row r="166" spans="1:35" hidden="1">
      <c r="A166" t="s">
        <v>253</v>
      </c>
      <c r="C166" s="335" t="e">
        <f>C162-C160+C164+C165</f>
        <v>#REF!</v>
      </c>
      <c r="D166" s="335">
        <v>0</v>
      </c>
      <c r="E166" s="335">
        <v>0</v>
      </c>
      <c r="F166" s="335">
        <v>0</v>
      </c>
      <c r="G166" s="335">
        <v>0</v>
      </c>
      <c r="H166" s="287">
        <v>0</v>
      </c>
      <c r="I166" s="83">
        <v>0</v>
      </c>
      <c r="J166" s="83">
        <v>0</v>
      </c>
      <c r="K166" s="83">
        <v>0</v>
      </c>
      <c r="L166" s="83">
        <v>0</v>
      </c>
      <c r="M166" s="83">
        <v>0</v>
      </c>
      <c r="N166" s="178">
        <v>0</v>
      </c>
      <c r="O166" s="83">
        <v>0</v>
      </c>
      <c r="P166" s="83">
        <v>0</v>
      </c>
      <c r="Q166" s="83">
        <v>0</v>
      </c>
      <c r="R166" s="83">
        <v>0</v>
      </c>
      <c r="S166" s="83">
        <v>0</v>
      </c>
      <c r="T166" s="83">
        <v>0</v>
      </c>
      <c r="U166" s="83">
        <v>0</v>
      </c>
      <c r="V166" s="83">
        <v>0</v>
      </c>
      <c r="W166" s="83">
        <v>0</v>
      </c>
      <c r="X166" s="185">
        <v>0</v>
      </c>
    </row>
    <row r="167" spans="1:35" hidden="1">
      <c r="I167" s="100"/>
      <c r="J167" s="100"/>
      <c r="K167" s="100"/>
      <c r="L167" s="100"/>
      <c r="M167" s="100"/>
      <c r="O167" s="100"/>
      <c r="P167" s="100"/>
      <c r="Q167" s="100"/>
      <c r="R167" s="100"/>
      <c r="S167" s="100"/>
      <c r="T167" s="100"/>
      <c r="U167" s="100"/>
      <c r="V167" s="100"/>
      <c r="W167" s="100"/>
    </row>
    <row r="168" spans="1:35" hidden="1">
      <c r="A168" s="1" t="s">
        <v>252</v>
      </c>
      <c r="I168" s="100"/>
      <c r="J168" s="100"/>
      <c r="K168" s="100"/>
      <c r="L168" s="100"/>
      <c r="M168" s="100"/>
      <c r="O168" s="100"/>
      <c r="P168" s="100"/>
      <c r="Q168" s="100"/>
      <c r="R168" s="100"/>
      <c r="S168" s="100"/>
      <c r="T168" s="100"/>
      <c r="U168" s="100"/>
      <c r="V168" s="100"/>
      <c r="W168" s="100"/>
    </row>
    <row r="169" spans="1:35" hidden="1">
      <c r="A169" s="55" t="s">
        <v>292</v>
      </c>
      <c r="C169" s="335">
        <v>0</v>
      </c>
      <c r="D169" s="335">
        <v>0</v>
      </c>
      <c r="E169" s="335">
        <v>0</v>
      </c>
      <c r="F169" s="335">
        <v>0</v>
      </c>
      <c r="G169" s="335">
        <v>0</v>
      </c>
      <c r="H169" s="287">
        <v>0</v>
      </c>
      <c r="I169" s="83">
        <v>0</v>
      </c>
      <c r="J169" s="83">
        <v>0</v>
      </c>
      <c r="K169" s="83">
        <v>0</v>
      </c>
      <c r="L169" s="83">
        <v>0</v>
      </c>
      <c r="M169" s="83">
        <v>0</v>
      </c>
      <c r="N169" s="178">
        <v>0</v>
      </c>
      <c r="O169" s="83">
        <v>0</v>
      </c>
      <c r="P169" s="83">
        <v>0</v>
      </c>
      <c r="Q169" s="83">
        <v>0</v>
      </c>
      <c r="R169" s="83">
        <v>0</v>
      </c>
      <c r="S169" s="83">
        <v>0</v>
      </c>
      <c r="T169" s="83">
        <v>0</v>
      </c>
      <c r="U169" s="83">
        <v>0</v>
      </c>
      <c r="V169" s="83">
        <v>0</v>
      </c>
      <c r="W169" s="83">
        <v>0</v>
      </c>
      <c r="X169" s="185">
        <v>0</v>
      </c>
    </row>
    <row r="170" spans="1:35" hidden="1">
      <c r="A170" s="55" t="s">
        <v>293</v>
      </c>
      <c r="C170" s="335">
        <v>0</v>
      </c>
      <c r="D170" s="335">
        <v>0</v>
      </c>
      <c r="E170" s="335">
        <v>0</v>
      </c>
      <c r="F170" s="335">
        <v>0</v>
      </c>
      <c r="G170" s="335">
        <v>0</v>
      </c>
      <c r="H170" s="287">
        <v>0</v>
      </c>
      <c r="I170" s="83">
        <v>0</v>
      </c>
      <c r="J170" s="83">
        <v>0</v>
      </c>
      <c r="K170" s="83">
        <v>0</v>
      </c>
      <c r="L170" s="83">
        <v>0</v>
      </c>
      <c r="M170" s="83">
        <v>0</v>
      </c>
      <c r="N170" s="178">
        <v>0</v>
      </c>
      <c r="O170" s="83">
        <v>0</v>
      </c>
      <c r="P170" s="83">
        <v>0</v>
      </c>
      <c r="Q170" s="83">
        <v>0</v>
      </c>
      <c r="R170" s="83">
        <v>0</v>
      </c>
      <c r="S170" s="83">
        <v>0</v>
      </c>
      <c r="T170" s="83">
        <v>0</v>
      </c>
      <c r="U170" s="83">
        <v>0</v>
      </c>
      <c r="V170" s="83">
        <v>0</v>
      </c>
      <c r="W170" s="83">
        <v>0</v>
      </c>
      <c r="X170" s="185">
        <v>0</v>
      </c>
    </row>
    <row r="171" spans="1:35" hidden="1">
      <c r="A171" s="55" t="s">
        <v>294</v>
      </c>
      <c r="C171" s="335">
        <v>0</v>
      </c>
      <c r="D171" s="335">
        <v>0</v>
      </c>
      <c r="E171" s="335">
        <v>0</v>
      </c>
      <c r="F171" s="335">
        <v>0</v>
      </c>
      <c r="G171" s="335">
        <v>0</v>
      </c>
      <c r="H171" s="287">
        <v>0</v>
      </c>
      <c r="I171" s="83">
        <v>0</v>
      </c>
      <c r="J171" s="83">
        <v>0</v>
      </c>
      <c r="K171" s="83">
        <v>0</v>
      </c>
      <c r="L171" s="83">
        <v>0</v>
      </c>
      <c r="M171" s="83">
        <v>0</v>
      </c>
      <c r="N171" s="178">
        <v>0</v>
      </c>
      <c r="O171" s="83">
        <v>0</v>
      </c>
      <c r="P171" s="83">
        <v>0</v>
      </c>
      <c r="Q171" s="83">
        <v>0</v>
      </c>
      <c r="R171" s="83">
        <v>0</v>
      </c>
      <c r="S171" s="83">
        <v>0</v>
      </c>
      <c r="T171" s="83">
        <v>0</v>
      </c>
      <c r="U171" s="83">
        <v>0</v>
      </c>
      <c r="V171" s="83">
        <v>0</v>
      </c>
      <c r="W171" s="83">
        <v>0</v>
      </c>
      <c r="X171" s="185">
        <v>0</v>
      </c>
    </row>
    <row r="172" spans="1:35" hidden="1">
      <c r="A172" s="55" t="s">
        <v>295</v>
      </c>
      <c r="C172" s="335">
        <v>0</v>
      </c>
      <c r="D172" s="335">
        <v>0</v>
      </c>
      <c r="E172" s="335">
        <v>0</v>
      </c>
      <c r="F172" s="335">
        <v>0</v>
      </c>
      <c r="G172" s="335">
        <v>0</v>
      </c>
      <c r="H172" s="287">
        <v>0</v>
      </c>
      <c r="I172" s="83">
        <v>0</v>
      </c>
      <c r="J172" s="83">
        <v>0</v>
      </c>
      <c r="K172" s="83">
        <v>0</v>
      </c>
      <c r="L172" s="83">
        <v>0</v>
      </c>
      <c r="M172" s="83">
        <v>0</v>
      </c>
      <c r="N172" s="178">
        <v>0</v>
      </c>
      <c r="O172" s="83">
        <v>0</v>
      </c>
      <c r="P172" s="83">
        <v>0</v>
      </c>
      <c r="Q172" s="83">
        <v>0</v>
      </c>
      <c r="R172" s="83">
        <v>0</v>
      </c>
      <c r="S172" s="83">
        <v>0</v>
      </c>
      <c r="T172" s="83">
        <v>0</v>
      </c>
      <c r="U172" s="83">
        <v>0</v>
      </c>
      <c r="V172" s="83">
        <v>0</v>
      </c>
      <c r="W172" s="83">
        <v>0</v>
      </c>
      <c r="X172" s="185">
        <v>0</v>
      </c>
    </row>
    <row r="173" spans="1:35" hidden="1">
      <c r="A173" s="55" t="s">
        <v>254</v>
      </c>
      <c r="C173" s="335" t="e">
        <f>'backup - Mass Transit'!BC34</f>
        <v>#REF!</v>
      </c>
      <c r="D173" s="335" t="e">
        <f>'backup - Mass Transit'!BD34</f>
        <v>#REF!</v>
      </c>
      <c r="E173" s="335" t="e">
        <f>'backup - Mass Transit'!BE34</f>
        <v>#REF!</v>
      </c>
      <c r="F173" s="335" t="e">
        <f>'backup - Mass Transit'!BF34</f>
        <v>#REF!</v>
      </c>
      <c r="G173" s="335" t="e">
        <f>'backup - Mass Transit'!BG34</f>
        <v>#REF!</v>
      </c>
      <c r="H173" s="287"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8"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5" t="e">
        <f>'backup - Mass Transit'!BX34</f>
        <v>#REF!</v>
      </c>
    </row>
    <row r="175" spans="1:35">
      <c r="A175" s="75" t="s">
        <v>255</v>
      </c>
      <c r="C175" s="333">
        <v>2009</v>
      </c>
      <c r="D175" s="333">
        <v>2010</v>
      </c>
      <c r="E175" s="333">
        <v>2011</v>
      </c>
      <c r="F175" s="333">
        <v>2012</v>
      </c>
      <c r="G175" s="333">
        <v>2013</v>
      </c>
      <c r="H175" s="406">
        <v>2014</v>
      </c>
      <c r="I175" s="13">
        <v>2015</v>
      </c>
      <c r="J175" s="13">
        <v>2016</v>
      </c>
      <c r="K175" s="13">
        <v>2017</v>
      </c>
      <c r="L175" s="13">
        <v>2018</v>
      </c>
      <c r="M175" s="13">
        <v>2019</v>
      </c>
      <c r="N175" s="177">
        <v>2020</v>
      </c>
      <c r="O175" s="13">
        <v>2021</v>
      </c>
      <c r="P175" s="13">
        <v>2022</v>
      </c>
      <c r="Q175" s="13">
        <v>2023</v>
      </c>
      <c r="R175" s="13">
        <v>2024</v>
      </c>
      <c r="S175" s="13">
        <v>2025</v>
      </c>
      <c r="T175" s="13">
        <v>2026</v>
      </c>
      <c r="U175" s="13">
        <v>2027</v>
      </c>
      <c r="V175" s="13">
        <v>2028</v>
      </c>
      <c r="W175" s="13">
        <v>2029</v>
      </c>
      <c r="X175" s="177">
        <v>2030</v>
      </c>
      <c r="Y175" s="13">
        <v>2031</v>
      </c>
      <c r="Z175" s="13">
        <v>2032</v>
      </c>
      <c r="AA175" s="13">
        <v>2033</v>
      </c>
      <c r="AB175" s="13">
        <v>2034</v>
      </c>
      <c r="AC175" s="13">
        <v>2035</v>
      </c>
      <c r="AD175" s="13">
        <v>2036</v>
      </c>
      <c r="AE175" s="13">
        <v>2037</v>
      </c>
      <c r="AF175" s="13">
        <v>2038</v>
      </c>
      <c r="AG175" s="13">
        <v>2039</v>
      </c>
      <c r="AH175" s="177">
        <v>2040</v>
      </c>
      <c r="AI175" s="1" t="s">
        <v>0</v>
      </c>
    </row>
    <row r="176" spans="1:35">
      <c r="A176" s="75" t="s">
        <v>297</v>
      </c>
      <c r="C176" s="339">
        <f>'Output - Jobs vs Yr (BAU)'!C55+'Output - Jobs vs Yr (BAU)'!C73</f>
        <v>22861.721522800002</v>
      </c>
      <c r="D176" s="339">
        <f>'Output - Jobs vs Yr (BAU)'!D55+'Output - Jobs vs Yr (BAU)'!D73</f>
        <v>25517.294522799999</v>
      </c>
      <c r="E176" s="339">
        <f>'Output - Jobs vs Yr (BAU)'!E55+'Output - Jobs vs Yr (BAU)'!E73</f>
        <v>19322.847205800004</v>
      </c>
      <c r="F176" s="339">
        <f>'Output - Jobs vs Yr (BAU)'!F55+'Output - Jobs vs Yr (BAU)'!F73</f>
        <v>18831.297901800004</v>
      </c>
      <c r="G176" s="339">
        <f>'Output - Jobs vs Yr (BAU)'!G55+'Output - Jobs vs Yr (BAU)'!G73</f>
        <v>20528.920161800001</v>
      </c>
      <c r="H176" s="410">
        <f>'Output - Jobs vs Yr (BAU)'!H55+'Output - Jobs vs Yr (BAU)'!H73</f>
        <v>21669.393052799998</v>
      </c>
      <c r="I176" s="19">
        <f>'Output - Jobs vs Yr (BAU)'!I55+'Output - Jobs vs Yr (BAU)'!I73</f>
        <v>22883.7576658</v>
      </c>
      <c r="J176" s="19">
        <f>'Output - Jobs vs Yr (BAU)'!J55+'Output - Jobs vs Yr (BAU)'!J73</f>
        <v>22835.604312800002</v>
      </c>
      <c r="K176" s="19">
        <f>'Output - Jobs vs Yr (BAU)'!K55+'Output - Jobs vs Yr (BAU)'!K73</f>
        <v>22305.7727638</v>
      </c>
      <c r="L176" s="19">
        <f>'Output - Jobs vs Yr (BAU)'!L55+'Output - Jobs vs Yr (BAU)'!L73</f>
        <v>22414.5096118</v>
      </c>
      <c r="M176" s="19">
        <f>'Output - Jobs vs Yr (BAU)'!M55+'Output - Jobs vs Yr (BAU)'!M73</f>
        <v>22510.8765098</v>
      </c>
      <c r="N176" s="183">
        <f>'Output - Jobs vs Yr (BAU)'!N55+'Output - Jobs vs Yr (BAU)'!N73</f>
        <v>22628.776829800001</v>
      </c>
      <c r="O176" s="19">
        <f>'Output - Jobs vs Yr (BAU)'!O55+'Output - Jobs vs Yr (BAU)'!O73</f>
        <v>22420.872160799998</v>
      </c>
      <c r="P176" s="19">
        <f>'Output - Jobs vs Yr (BAU)'!P55+'Output - Jobs vs Yr (BAU)'!P73</f>
        <v>22752.7017648</v>
      </c>
      <c r="Q176" s="19">
        <f>'Output - Jobs vs Yr (BAU)'!Q55+'Output - Jobs vs Yr (BAU)'!Q73</f>
        <v>22780.836869799998</v>
      </c>
      <c r="R176" s="19">
        <f>'Output - Jobs vs Yr (BAU)'!R55+'Output - Jobs vs Yr (BAU)'!R73</f>
        <v>22981.971800800002</v>
      </c>
      <c r="S176" s="19">
        <f>'Output - Jobs vs Yr (BAU)'!S55+'Output - Jobs vs Yr (BAU)'!S73</f>
        <v>23178.0198428</v>
      </c>
      <c r="T176" s="19">
        <f>'Output - Jobs vs Yr (BAU)'!T55+'Output - Jobs vs Yr (BAU)'!T73</f>
        <v>23534.8131288</v>
      </c>
      <c r="U176" s="19">
        <f>'Output - Jobs vs Yr (BAU)'!U55+'Output - Jobs vs Yr (BAU)'!U73</f>
        <v>23727.744904800002</v>
      </c>
      <c r="V176" s="19">
        <f>'Output - Jobs vs Yr (BAU)'!V55+'Output - Jobs vs Yr (BAU)'!V73</f>
        <v>24100.816288800001</v>
      </c>
      <c r="W176" s="19">
        <f>'Output - Jobs vs Yr (BAU)'!W55+'Output - Jobs vs Yr (BAU)'!W73</f>
        <v>24223.180924800003</v>
      </c>
      <c r="X176" s="183">
        <f>'Output - Jobs vs Yr (BAU)'!X55+'Output - Jobs vs Yr (BAU)'!X73</f>
        <v>24374.005736799998</v>
      </c>
      <c r="Y176" s="207">
        <f>'Output - Jobs vs Yr (BAU)'!Y55+'Output - Jobs vs Yr (BAU)'!Y73</f>
        <v>24474.025137800003</v>
      </c>
      <c r="Z176" s="207">
        <f>'Output - Jobs vs Yr (BAU)'!Z55+'Output - Jobs vs Yr (BAU)'!Z73</f>
        <v>24092.8532748</v>
      </c>
      <c r="AA176" s="207">
        <f>'Output - Jobs vs Yr (BAU)'!AA55+'Output - Jobs vs Yr (BAU)'!AA73</f>
        <v>24151.243219800002</v>
      </c>
      <c r="AB176" s="207">
        <f>'Output - Jobs vs Yr (BAU)'!AB55+'Output - Jobs vs Yr (BAU)'!AB73</f>
        <v>24095.082753800001</v>
      </c>
      <c r="AC176" s="207">
        <f>'Output - Jobs vs Yr (BAU)'!AC55+'Output - Jobs vs Yr (BAU)'!AC73</f>
        <v>24163.683336800001</v>
      </c>
      <c r="AD176" s="207">
        <f>'Output - Jobs vs Yr (BAU)'!AD55+'Output - Jobs vs Yr (BAU)'!AD73</f>
        <v>24214.499786800003</v>
      </c>
      <c r="AE176" s="207">
        <f>'Output - Jobs vs Yr (BAU)'!AE55+'Output - Jobs vs Yr (BAU)'!AE73</f>
        <v>24135.495658799999</v>
      </c>
      <c r="AF176" s="207">
        <f>'Output - Jobs vs Yr (BAU)'!AF55+'Output - Jobs vs Yr (BAU)'!AF73</f>
        <v>24453.925322800002</v>
      </c>
      <c r="AG176" s="207">
        <f>'Output - Jobs vs Yr (BAU)'!AG55+'Output - Jobs vs Yr (BAU)'!AG73</f>
        <v>24491.645889799998</v>
      </c>
      <c r="AH176" s="183">
        <f>'Output - Jobs vs Yr (BAU)'!AH55+'Output - Jobs vs Yr (BAU)'!AH73</f>
        <v>25173.009563800006</v>
      </c>
      <c r="AI176" s="1"/>
    </row>
    <row r="177" spans="1:35">
      <c r="A177" s="76" t="s">
        <v>298</v>
      </c>
      <c r="C177" s="339">
        <f>'Output - Jobs vs Yr (BAU)'!C55</f>
        <v>12032.485012000001</v>
      </c>
      <c r="D177" s="339">
        <f>'Output - Jobs vs Yr (BAU)'!D55</f>
        <v>13430.155011999999</v>
      </c>
      <c r="E177" s="339">
        <f>'Output - Jobs vs Yr (BAU)'!E55</f>
        <v>10169.919582000002</v>
      </c>
      <c r="F177" s="339">
        <f>'Output - Jobs vs Yr (BAU)'!F55</f>
        <v>9911.2094220000017</v>
      </c>
      <c r="G177" s="339">
        <f>'Output - Jobs vs Yr (BAU)'!G55</f>
        <v>10804.694822000001</v>
      </c>
      <c r="H177" s="410">
        <f>'Output - Jobs vs Yr (BAU)'!H55</f>
        <v>11404.943712</v>
      </c>
      <c r="I177" s="19">
        <f>'Output - Jobs vs Yr (BAU)'!I55</f>
        <v>12044.082982</v>
      </c>
      <c r="J177" s="19">
        <f>'Output - Jobs vs Yr (BAU)'!J55</f>
        <v>12018.739112000003</v>
      </c>
      <c r="K177" s="19">
        <f>'Output - Jobs vs Yr (BAU)'!K55</f>
        <v>11739.880401999999</v>
      </c>
      <c r="L177" s="19">
        <f>'Output - Jobs vs Yr (BAU)'!L55</f>
        <v>11797.110322</v>
      </c>
      <c r="M177" s="19">
        <f>'Output - Jobs vs Yr (BAU)'!M55</f>
        <v>11847.829742</v>
      </c>
      <c r="N177" s="183">
        <f>'Output - Jobs vs Yr (BAU)'!N55</f>
        <v>11909.882541999999</v>
      </c>
      <c r="O177" s="19">
        <f>'Output - Jobs vs Yr (BAU)'!O55</f>
        <v>11800.459031999999</v>
      </c>
      <c r="P177" s="19">
        <f>'Output - Jobs vs Yr (BAU)'!P55</f>
        <v>11975.106191999999</v>
      </c>
      <c r="Q177" s="19">
        <f>'Output - Jobs vs Yr (BAU)'!Q55</f>
        <v>11989.914142</v>
      </c>
      <c r="R177" s="19">
        <f>'Output - Jobs vs Yr (BAU)'!R55</f>
        <v>12095.774632000001</v>
      </c>
      <c r="S177" s="19">
        <f>'Output - Jobs vs Yr (BAU)'!S55</f>
        <v>12198.957811999999</v>
      </c>
      <c r="T177" s="19">
        <f>'Output - Jobs vs Yr (BAU)'!T55</f>
        <v>12386.743752</v>
      </c>
      <c r="U177" s="19">
        <f>'Output - Jobs vs Yr (BAU)'!U55</f>
        <v>12488.286792000001</v>
      </c>
      <c r="V177" s="19">
        <f>'Output - Jobs vs Yr (BAU)'!V55</f>
        <v>12684.640152</v>
      </c>
      <c r="W177" s="19">
        <f>'Output - Jobs vs Yr (BAU)'!W55</f>
        <v>12749.042592000002</v>
      </c>
      <c r="X177" s="183">
        <f>'Output - Jobs vs Yr (BAU)'!X55</f>
        <v>12828.424072</v>
      </c>
      <c r="Y177" s="207">
        <f>'Output - Jobs vs Yr (BAU)'!Y55</f>
        <v>12881.065862000003</v>
      </c>
      <c r="Z177" s="207">
        <f>'Output - Jobs vs Yr (BAU)'!Z55</f>
        <v>12680.449091999999</v>
      </c>
      <c r="AA177" s="207">
        <f>'Output - Jobs vs Yr (BAU)'!AA55</f>
        <v>12711.180642000001</v>
      </c>
      <c r="AB177" s="207">
        <f>'Output - Jobs vs Yr (BAU)'!AB55</f>
        <v>12681.622502000002</v>
      </c>
      <c r="AC177" s="207">
        <f>'Output - Jobs vs Yr (BAU)'!AC55</f>
        <v>12717.728072</v>
      </c>
      <c r="AD177" s="207">
        <f>'Output - Jobs vs Yr (BAU)'!AD55</f>
        <v>12744.473572000001</v>
      </c>
      <c r="AE177" s="207">
        <f>'Output - Jobs vs Yr (BAU)'!AE55</f>
        <v>12702.892452</v>
      </c>
      <c r="AF177" s="207">
        <f>'Output - Jobs vs Yr (BAU)'!AF55</f>
        <v>12870.487012</v>
      </c>
      <c r="AG177" s="207">
        <f>'Output - Jobs vs Yr (BAU)'!AG55</f>
        <v>12890.339941999999</v>
      </c>
      <c r="AH177" s="183">
        <f>'Output - Jobs vs Yr (BAU)'!AH55</f>
        <v>13248.952402000003</v>
      </c>
      <c r="AI177" s="1"/>
    </row>
    <row r="178" spans="1:35">
      <c r="A178" s="76" t="s">
        <v>299</v>
      </c>
      <c r="C178" s="339">
        <f>'Output - Jobs vs Yr (BAU)'!C73</f>
        <v>10829.236510800001</v>
      </c>
      <c r="D178" s="339">
        <f>'Output - Jobs vs Yr (BAU)'!D73</f>
        <v>12087.1395108</v>
      </c>
      <c r="E178" s="339">
        <f>'Output - Jobs vs Yr (BAU)'!E73</f>
        <v>9152.9276238000002</v>
      </c>
      <c r="F178" s="339">
        <f>'Output - Jobs vs Yr (BAU)'!F73</f>
        <v>8920.0884798000006</v>
      </c>
      <c r="G178" s="339">
        <f>'Output - Jobs vs Yr (BAU)'!G73</f>
        <v>9724.2253398000012</v>
      </c>
      <c r="H178" s="410">
        <f>'Output - Jobs vs Yr (BAU)'!H73</f>
        <v>10264.4493408</v>
      </c>
      <c r="I178" s="19">
        <f>'Output - Jobs vs Yr (BAU)'!I73</f>
        <v>10839.6746838</v>
      </c>
      <c r="J178" s="19">
        <f>'Output - Jobs vs Yr (BAU)'!J73</f>
        <v>10816.865200800001</v>
      </c>
      <c r="K178" s="19">
        <f>'Output - Jobs vs Yr (BAU)'!K73</f>
        <v>10565.892361799999</v>
      </c>
      <c r="L178" s="19">
        <f>'Output - Jobs vs Yr (BAU)'!L73</f>
        <v>10617.399289800001</v>
      </c>
      <c r="M178" s="19">
        <f>'Output - Jobs vs Yr (BAU)'!M73</f>
        <v>10663.0467678</v>
      </c>
      <c r="N178" s="183">
        <f>'Output - Jobs vs Yr (BAU)'!N73</f>
        <v>10718.8942878</v>
      </c>
      <c r="O178" s="19">
        <f>'Output - Jobs vs Yr (BAU)'!O73</f>
        <v>10620.413128799999</v>
      </c>
      <c r="P178" s="19">
        <f>'Output - Jobs vs Yr (BAU)'!P73</f>
        <v>10777.595572800001</v>
      </c>
      <c r="Q178" s="19">
        <f>'Output - Jobs vs Yr (BAU)'!Q73</f>
        <v>10790.9227278</v>
      </c>
      <c r="R178" s="19">
        <f>'Output - Jobs vs Yr (BAU)'!R73</f>
        <v>10886.197168800001</v>
      </c>
      <c r="S178" s="19">
        <f>'Output - Jobs vs Yr (BAU)'!S73</f>
        <v>10979.0620308</v>
      </c>
      <c r="T178" s="19">
        <f>'Output - Jobs vs Yr (BAU)'!T73</f>
        <v>11148.0693768</v>
      </c>
      <c r="U178" s="19">
        <f>'Output - Jobs vs Yr (BAU)'!U73</f>
        <v>11239.458112800001</v>
      </c>
      <c r="V178" s="19">
        <f>'Output - Jobs vs Yr (BAU)'!V73</f>
        <v>11416.176136800001</v>
      </c>
      <c r="W178" s="19">
        <f>'Output - Jobs vs Yr (BAU)'!W73</f>
        <v>11474.138332800001</v>
      </c>
      <c r="X178" s="183">
        <f>'Output - Jobs vs Yr (BAU)'!X73</f>
        <v>11545.5816648</v>
      </c>
      <c r="Y178" s="207">
        <f>'Output - Jobs vs Yr (BAU)'!Y73</f>
        <v>11592.959275800002</v>
      </c>
      <c r="Z178" s="207">
        <f>'Output - Jobs vs Yr (BAU)'!Z73</f>
        <v>11412.404182800001</v>
      </c>
      <c r="AA178" s="207">
        <f>'Output - Jobs vs Yr (BAU)'!AA73</f>
        <v>11440.062577799999</v>
      </c>
      <c r="AB178" s="207">
        <f>'Output - Jobs vs Yr (BAU)'!AB73</f>
        <v>11413.460251800001</v>
      </c>
      <c r="AC178" s="207">
        <f>'Output - Jobs vs Yr (BAU)'!AC73</f>
        <v>11445.955264800001</v>
      </c>
      <c r="AD178" s="207">
        <f>'Output - Jobs vs Yr (BAU)'!AD73</f>
        <v>11470.026214800002</v>
      </c>
      <c r="AE178" s="207">
        <f>'Output - Jobs vs Yr (BAU)'!AE73</f>
        <v>11432.6032068</v>
      </c>
      <c r="AF178" s="207">
        <f>'Output - Jobs vs Yr (BAU)'!AF73</f>
        <v>11583.4383108</v>
      </c>
      <c r="AG178" s="207">
        <f>'Output - Jobs vs Yr (BAU)'!AG73</f>
        <v>11601.3059478</v>
      </c>
      <c r="AH178" s="183">
        <f>'Output - Jobs vs Yr (BAU)'!AH73</f>
        <v>11924.057161800001</v>
      </c>
      <c r="AI178" s="80" t="s">
        <v>0</v>
      </c>
    </row>
    <row r="179" spans="1:35">
      <c r="A179" s="75" t="s">
        <v>296</v>
      </c>
      <c r="C179" s="336">
        <f>SUM(C118,C145)</f>
        <v>22862.745620100002</v>
      </c>
      <c r="D179" s="336">
        <f t="shared" ref="D179:AH179" si="95">SUM(D118,D145)+D249+D252</f>
        <v>25222.240239016133</v>
      </c>
      <c r="E179" s="336">
        <f t="shared" si="95"/>
        <v>19554.956911031593</v>
      </c>
      <c r="F179" s="336">
        <f t="shared" si="95"/>
        <v>19325.371271647353</v>
      </c>
      <c r="G179" s="336">
        <f t="shared" si="95"/>
        <v>20911.111764336027</v>
      </c>
      <c r="H179" s="408">
        <f>SUM(H118,H145)+H249+H252</f>
        <v>21606.811762100002</v>
      </c>
      <c r="I179" s="14">
        <f t="shared" si="95"/>
        <v>22867.850394753965</v>
      </c>
      <c r="J179" s="14">
        <f t="shared" si="95"/>
        <v>22823.231950678804</v>
      </c>
      <c r="K179" s="14">
        <f t="shared" si="95"/>
        <v>22287.767746976311</v>
      </c>
      <c r="L179" s="14">
        <f t="shared" si="95"/>
        <v>22438.287183888049</v>
      </c>
      <c r="M179" s="14">
        <f t="shared" si="95"/>
        <v>22730.098069233645</v>
      </c>
      <c r="N179" s="188">
        <f t="shared" si="95"/>
        <v>23192.293406344274</v>
      </c>
      <c r="O179" s="14">
        <f t="shared" si="95"/>
        <v>22985.138223027709</v>
      </c>
      <c r="P179" s="14">
        <f t="shared" si="95"/>
        <v>23405.004958637826</v>
      </c>
      <c r="Q179" s="14">
        <f t="shared" si="95"/>
        <v>23489.752868132098</v>
      </c>
      <c r="R179" s="14">
        <f t="shared" si="95"/>
        <v>23757.81065407865</v>
      </c>
      <c r="S179" s="14">
        <f t="shared" si="95"/>
        <v>24032.055653160794</v>
      </c>
      <c r="T179" s="14">
        <f t="shared" si="95"/>
        <v>24496.609480815758</v>
      </c>
      <c r="U179" s="14">
        <f t="shared" si="95"/>
        <v>24779.205214865829</v>
      </c>
      <c r="V179" s="14">
        <f t="shared" si="95"/>
        <v>25262.397530462138</v>
      </c>
      <c r="W179" s="14">
        <f t="shared" si="95"/>
        <v>25458.667606746312</v>
      </c>
      <c r="X179" s="188">
        <f t="shared" si="95"/>
        <v>25629.220823413249</v>
      </c>
      <c r="Y179" s="159">
        <f t="shared" si="95"/>
        <v>25759.007368516868</v>
      </c>
      <c r="Z179" s="159">
        <f t="shared" si="95"/>
        <v>25360.845627108181</v>
      </c>
      <c r="AA179" s="159">
        <f t="shared" si="95"/>
        <v>25483.04948036655</v>
      </c>
      <c r="AB179" s="159">
        <f t="shared" si="95"/>
        <v>25474.496952938978</v>
      </c>
      <c r="AC179" s="159">
        <f t="shared" si="95"/>
        <v>25614.586589880997</v>
      </c>
      <c r="AD179" s="159">
        <f t="shared" si="95"/>
        <v>25735.063563378055</v>
      </c>
      <c r="AE179" s="159">
        <f t="shared" si="95"/>
        <v>25702.464975260355</v>
      </c>
      <c r="AF179" s="159">
        <f t="shared" si="95"/>
        <v>26138.829068745046</v>
      </c>
      <c r="AG179" s="159">
        <f t="shared" si="95"/>
        <v>26245.02684794617</v>
      </c>
      <c r="AH179" s="188">
        <f t="shared" si="95"/>
        <v>26521.055282157817</v>
      </c>
    </row>
    <row r="180" spans="1:35">
      <c r="A180" s="76" t="s">
        <v>300</v>
      </c>
      <c r="C180" s="336">
        <f>C118</f>
        <v>12033.024012</v>
      </c>
      <c r="D180" s="336">
        <f t="shared" ref="D180:AH180" si="96">D118+D250+D253</f>
        <v>13274.863285375683</v>
      </c>
      <c r="E180" s="336">
        <f t="shared" si="96"/>
        <v>10292.082586174522</v>
      </c>
      <c r="F180" s="336">
        <f t="shared" si="96"/>
        <v>10171.248039180569</v>
      </c>
      <c r="G180" s="336">
        <f t="shared" si="96"/>
        <v>11005.848298721467</v>
      </c>
      <c r="H180" s="408">
        <f t="shared" si="96"/>
        <v>11372.006192000001</v>
      </c>
      <c r="I180" s="14">
        <f t="shared" si="96"/>
        <v>12035.710735672312</v>
      </c>
      <c r="J180" s="14">
        <f t="shared" si="96"/>
        <v>12012.227344148196</v>
      </c>
      <c r="K180" s="14">
        <f t="shared" si="96"/>
        <v>11730.404079120028</v>
      </c>
      <c r="L180" s="14">
        <f t="shared" si="96"/>
        <v>11809.624835530969</v>
      </c>
      <c r="M180" s="14">
        <f t="shared" si="96"/>
        <v>11963.209512177846</v>
      </c>
      <c r="N180" s="188">
        <f t="shared" si="96"/>
        <v>12206.470216085811</v>
      </c>
      <c r="O180" s="14">
        <f t="shared" si="96"/>
        <v>12097.441172274977</v>
      </c>
      <c r="P180" s="14">
        <f t="shared" si="96"/>
        <v>12318.423664805217</v>
      </c>
      <c r="Q180" s="14">
        <f t="shared" si="96"/>
        <v>12363.02782776982</v>
      </c>
      <c r="R180" s="14">
        <f t="shared" si="96"/>
        <v>12504.110873099402</v>
      </c>
      <c r="S180" s="14">
        <f t="shared" si="96"/>
        <v>12648.45034639896</v>
      </c>
      <c r="T180" s="14">
        <f t="shared" si="96"/>
        <v>12892.952361077221</v>
      </c>
      <c r="U180" s="14">
        <f t="shared" si="96"/>
        <v>13041.686958052196</v>
      </c>
      <c r="V180" s="14">
        <f t="shared" si="96"/>
        <v>13295.998703236686</v>
      </c>
      <c r="W180" s="14">
        <f t="shared" si="96"/>
        <v>13399.298743490002</v>
      </c>
      <c r="X180" s="188">
        <f t="shared" si="96"/>
        <v>13489.063594471045</v>
      </c>
      <c r="Y180" s="159">
        <f t="shared" si="96"/>
        <v>13557.372302501983</v>
      </c>
      <c r="Z180" s="159">
        <f t="shared" si="96"/>
        <v>13347.813491249075</v>
      </c>
      <c r="AA180" s="159">
        <f t="shared" si="96"/>
        <v>13412.131308836473</v>
      </c>
      <c r="AB180" s="159">
        <f t="shared" si="96"/>
        <v>13407.629978678568</v>
      </c>
      <c r="AC180" s="159">
        <f t="shared" si="96"/>
        <v>13481.361366631618</v>
      </c>
      <c r="AD180" s="159">
        <f t="shared" si="96"/>
        <v>13544.770300139191</v>
      </c>
      <c r="AE180" s="159">
        <f t="shared" si="96"/>
        <v>13527.613148566295</v>
      </c>
      <c r="AF180" s="159">
        <f t="shared" si="96"/>
        <v>13757.278461064492</v>
      </c>
      <c r="AG180" s="159">
        <f t="shared" si="96"/>
        <v>13813.17202915738</v>
      </c>
      <c r="AH180" s="188">
        <f t="shared" si="96"/>
        <v>13958.450152546815</v>
      </c>
    </row>
    <row r="181" spans="1:35">
      <c r="A181" s="76" t="s">
        <v>301</v>
      </c>
      <c r="C181" s="336">
        <f>C145</f>
        <v>10829.721608100001</v>
      </c>
      <c r="D181" s="336">
        <f t="shared" ref="D181:AH181" si="97">D145+D251+D254</f>
        <v>11947.376953640451</v>
      </c>
      <c r="E181" s="336">
        <f t="shared" si="97"/>
        <v>9262.87432485707</v>
      </c>
      <c r="F181" s="336">
        <f t="shared" si="97"/>
        <v>9154.1232324667835</v>
      </c>
      <c r="G181" s="336">
        <f t="shared" si="97"/>
        <v>9905.2634656145619</v>
      </c>
      <c r="H181" s="408">
        <f>H145+H251+H254</f>
        <v>10234.805570100001</v>
      </c>
      <c r="I181" s="14">
        <f t="shared" si="97"/>
        <v>10832.139659081651</v>
      </c>
      <c r="J181" s="14">
        <f t="shared" si="97"/>
        <v>10811.004606530611</v>
      </c>
      <c r="K181" s="14">
        <f t="shared" si="97"/>
        <v>10557.363667856283</v>
      </c>
      <c r="L181" s="14">
        <f t="shared" si="97"/>
        <v>10628.66234835708</v>
      </c>
      <c r="M181" s="14">
        <f t="shared" si="97"/>
        <v>10766.888557055801</v>
      </c>
      <c r="N181" s="188">
        <f t="shared" si="97"/>
        <v>10985.823190258461</v>
      </c>
      <c r="O181" s="14">
        <f t="shared" si="97"/>
        <v>10887.697050752729</v>
      </c>
      <c r="P181" s="14">
        <f t="shared" si="97"/>
        <v>11086.581293832609</v>
      </c>
      <c r="Q181" s="14">
        <f t="shared" si="97"/>
        <v>11126.72504036228</v>
      </c>
      <c r="R181" s="14">
        <f t="shared" si="97"/>
        <v>11253.699780979248</v>
      </c>
      <c r="S181" s="14">
        <f t="shared" si="97"/>
        <v>11383.605306761836</v>
      </c>
      <c r="T181" s="14">
        <f t="shared" si="97"/>
        <v>11603.657119738538</v>
      </c>
      <c r="U181" s="14">
        <f t="shared" si="97"/>
        <v>11737.518256813633</v>
      </c>
      <c r="V181" s="14">
        <f t="shared" si="97"/>
        <v>11966.398827225452</v>
      </c>
      <c r="W181" s="14">
        <f t="shared" si="97"/>
        <v>12059.368863256308</v>
      </c>
      <c r="X181" s="188">
        <f t="shared" si="97"/>
        <v>12140.157228942206</v>
      </c>
      <c r="Y181" s="159">
        <f t="shared" si="97"/>
        <v>12201.635066014886</v>
      </c>
      <c r="Z181" s="159">
        <f t="shared" si="97"/>
        <v>12013.032135859105</v>
      </c>
      <c r="AA181" s="159">
        <f t="shared" si="97"/>
        <v>12070.918171530078</v>
      </c>
      <c r="AB181" s="159">
        <f t="shared" si="97"/>
        <v>12066.866974260412</v>
      </c>
      <c r="AC181" s="159">
        <f t="shared" si="97"/>
        <v>12133.225223249379</v>
      </c>
      <c r="AD181" s="159">
        <f t="shared" si="97"/>
        <v>12190.293263238864</v>
      </c>
      <c r="AE181" s="159">
        <f t="shared" si="97"/>
        <v>12174.851826694059</v>
      </c>
      <c r="AF181" s="159">
        <f t="shared" si="97"/>
        <v>12381.550607680554</v>
      </c>
      <c r="AG181" s="159">
        <f t="shared" si="97"/>
        <v>12431.85481878879</v>
      </c>
      <c r="AH181" s="188">
        <f t="shared" si="97"/>
        <v>12562.605129611002</v>
      </c>
      <c r="AI181" s="31" t="s">
        <v>0</v>
      </c>
    </row>
    <row r="182" spans="1:35" s="1" customFormat="1">
      <c r="A182" s="75" t="s">
        <v>302</v>
      </c>
      <c r="B182" s="13"/>
      <c r="C182" s="346" t="s">
        <v>0</v>
      </c>
      <c r="D182" s="346">
        <f t="shared" ref="D182:AH182" si="98">D179-D176</f>
        <v>-295.05428378386569</v>
      </c>
      <c r="E182" s="346">
        <f t="shared" si="98"/>
        <v>232.10970523158903</v>
      </c>
      <c r="F182" s="346">
        <f t="shared" si="98"/>
        <v>494.07336984734866</v>
      </c>
      <c r="G182" s="346">
        <f t="shared" si="98"/>
        <v>382.19160253602604</v>
      </c>
      <c r="H182" s="411">
        <f>H179-H176</f>
        <v>-62.581290699996316</v>
      </c>
      <c r="I182" s="15">
        <f t="shared" si="98"/>
        <v>-15.907271046035021</v>
      </c>
      <c r="J182" s="15">
        <f t="shared" si="98"/>
        <v>-12.372362121197511</v>
      </c>
      <c r="K182" s="15">
        <f t="shared" si="98"/>
        <v>-18.005016823688493</v>
      </c>
      <c r="L182" s="15">
        <f t="shared" si="98"/>
        <v>23.777572088049055</v>
      </c>
      <c r="M182" s="15">
        <f t="shared" si="98"/>
        <v>219.22155943364487</v>
      </c>
      <c r="N182" s="191">
        <f t="shared" si="98"/>
        <v>563.51657654427254</v>
      </c>
      <c r="O182" s="15">
        <f t="shared" si="98"/>
        <v>564.26606222771079</v>
      </c>
      <c r="P182" s="15">
        <f t="shared" si="98"/>
        <v>652.30319383782626</v>
      </c>
      <c r="Q182" s="15">
        <f t="shared" si="98"/>
        <v>708.91599833210057</v>
      </c>
      <c r="R182" s="15">
        <f t="shared" si="98"/>
        <v>775.83885327864846</v>
      </c>
      <c r="S182" s="15">
        <f t="shared" si="98"/>
        <v>854.03581036079413</v>
      </c>
      <c r="T182" s="15">
        <f t="shared" si="98"/>
        <v>961.79635201575729</v>
      </c>
      <c r="U182" s="15">
        <f t="shared" si="98"/>
        <v>1051.4603100658278</v>
      </c>
      <c r="V182" s="15">
        <f t="shared" si="98"/>
        <v>1161.5812416621375</v>
      </c>
      <c r="W182" s="15">
        <f t="shared" si="98"/>
        <v>1235.4866819463095</v>
      </c>
      <c r="X182" s="191">
        <f t="shared" si="98"/>
        <v>1255.2150866132506</v>
      </c>
      <c r="Y182" s="131">
        <f t="shared" si="98"/>
        <v>1284.9822307168652</v>
      </c>
      <c r="Z182" s="131">
        <f t="shared" si="98"/>
        <v>1267.9923523081816</v>
      </c>
      <c r="AA182" s="131">
        <f t="shared" si="98"/>
        <v>1331.8062605665473</v>
      </c>
      <c r="AB182" s="131">
        <f t="shared" si="98"/>
        <v>1379.414199138977</v>
      </c>
      <c r="AC182" s="131">
        <f t="shared" si="98"/>
        <v>1450.9032530809964</v>
      </c>
      <c r="AD182" s="131">
        <f t="shared" si="98"/>
        <v>1520.5637765780521</v>
      </c>
      <c r="AE182" s="131">
        <f t="shared" si="98"/>
        <v>1566.9693164603559</v>
      </c>
      <c r="AF182" s="131">
        <f t="shared" si="98"/>
        <v>1684.9037459450446</v>
      </c>
      <c r="AG182" s="131">
        <f t="shared" si="98"/>
        <v>1753.3809581461719</v>
      </c>
      <c r="AH182" s="191">
        <f t="shared" si="98"/>
        <v>1348.045718357811</v>
      </c>
    </row>
    <row r="183" spans="1:35" s="20" customFormat="1">
      <c r="A183" s="20" t="s">
        <v>303</v>
      </c>
      <c r="B183" s="33"/>
      <c r="C183" s="339" t="s">
        <v>0</v>
      </c>
      <c r="D183" s="339">
        <f t="shared" ref="D183:AH183" si="99">D180-D177</f>
        <v>-155.29172662431665</v>
      </c>
      <c r="E183" s="339">
        <f t="shared" si="99"/>
        <v>122.1630041745193</v>
      </c>
      <c r="F183" s="339">
        <f t="shared" si="99"/>
        <v>260.0386171805676</v>
      </c>
      <c r="G183" s="339">
        <f t="shared" si="99"/>
        <v>201.15347672146527</v>
      </c>
      <c r="H183" s="410">
        <f>H180-H177</f>
        <v>-32.937519999999495</v>
      </c>
      <c r="I183" s="19">
        <f t="shared" si="99"/>
        <v>-8.3722463276881172</v>
      </c>
      <c r="J183" s="19">
        <f t="shared" si="99"/>
        <v>-6.5117678518072353</v>
      </c>
      <c r="K183" s="19">
        <f t="shared" si="99"/>
        <v>-9.4763228799711214</v>
      </c>
      <c r="L183" s="19">
        <f t="shared" si="99"/>
        <v>12.514513530968543</v>
      </c>
      <c r="M183" s="19">
        <f t="shared" si="99"/>
        <v>115.37977017784578</v>
      </c>
      <c r="N183" s="183">
        <f t="shared" si="99"/>
        <v>296.58767408581116</v>
      </c>
      <c r="O183" s="19">
        <f t="shared" si="99"/>
        <v>296.98214027497852</v>
      </c>
      <c r="P183" s="19">
        <f t="shared" si="99"/>
        <v>343.31747280521813</v>
      </c>
      <c r="Q183" s="19">
        <f t="shared" si="99"/>
        <v>373.11368576982022</v>
      </c>
      <c r="R183" s="19">
        <f t="shared" si="99"/>
        <v>408.33624109940138</v>
      </c>
      <c r="S183" s="19">
        <f t="shared" si="99"/>
        <v>449.49253439896165</v>
      </c>
      <c r="T183" s="19">
        <f t="shared" si="99"/>
        <v>506.2086090772209</v>
      </c>
      <c r="U183" s="19">
        <f t="shared" si="99"/>
        <v>553.40016605219535</v>
      </c>
      <c r="V183" s="19">
        <f t="shared" si="99"/>
        <v>611.35855123668625</v>
      </c>
      <c r="W183" s="19">
        <f t="shared" si="99"/>
        <v>650.25615149000078</v>
      </c>
      <c r="X183" s="183">
        <f t="shared" si="99"/>
        <v>660.63952247104498</v>
      </c>
      <c r="Y183" s="207">
        <f t="shared" si="99"/>
        <v>676.30644050197952</v>
      </c>
      <c r="Z183" s="207">
        <f t="shared" si="99"/>
        <v>667.36439924907609</v>
      </c>
      <c r="AA183" s="207">
        <f t="shared" si="99"/>
        <v>700.95066683647201</v>
      </c>
      <c r="AB183" s="207">
        <f t="shared" si="99"/>
        <v>726.00747667856558</v>
      </c>
      <c r="AC183" s="207">
        <f t="shared" si="99"/>
        <v>763.6332946316179</v>
      </c>
      <c r="AD183" s="207">
        <f t="shared" si="99"/>
        <v>800.29672813919024</v>
      </c>
      <c r="AE183" s="207">
        <f t="shared" si="99"/>
        <v>824.72069656629537</v>
      </c>
      <c r="AF183" s="207">
        <f t="shared" si="99"/>
        <v>886.79144906449255</v>
      </c>
      <c r="AG183" s="207">
        <f t="shared" si="99"/>
        <v>922.83208715738147</v>
      </c>
      <c r="AH183" s="183">
        <f t="shared" si="99"/>
        <v>709.49775054681231</v>
      </c>
    </row>
    <row r="184" spans="1:35" s="20" customFormat="1">
      <c r="A184" s="20" t="s">
        <v>304</v>
      </c>
      <c r="B184" s="33"/>
      <c r="C184" s="339" t="s">
        <v>0</v>
      </c>
      <c r="D184" s="339">
        <f t="shared" ref="D184:AH184" si="100">D181-D178</f>
        <v>-139.76255715954903</v>
      </c>
      <c r="E184" s="339">
        <f t="shared" si="100"/>
        <v>109.94670105706973</v>
      </c>
      <c r="F184" s="339">
        <f t="shared" si="100"/>
        <v>234.03475266678288</v>
      </c>
      <c r="G184" s="339">
        <f t="shared" si="100"/>
        <v>181.03812581456077</v>
      </c>
      <c r="H184" s="410">
        <f t="shared" si="100"/>
        <v>-29.64377069999864</v>
      </c>
      <c r="I184" s="19">
        <f t="shared" si="100"/>
        <v>-7.5350247183487227</v>
      </c>
      <c r="J184" s="19">
        <f t="shared" si="100"/>
        <v>-5.8605942693902762</v>
      </c>
      <c r="K184" s="19">
        <f t="shared" si="100"/>
        <v>-8.5286939437155525</v>
      </c>
      <c r="L184" s="19">
        <f t="shared" si="100"/>
        <v>11.263058557078693</v>
      </c>
      <c r="M184" s="19">
        <f t="shared" si="100"/>
        <v>103.8417892558009</v>
      </c>
      <c r="N184" s="183">
        <f t="shared" si="100"/>
        <v>266.92890245846138</v>
      </c>
      <c r="O184" s="19">
        <f t="shared" si="100"/>
        <v>267.28392195273045</v>
      </c>
      <c r="P184" s="19">
        <f t="shared" si="100"/>
        <v>308.98572103260813</v>
      </c>
      <c r="Q184" s="19">
        <f t="shared" si="100"/>
        <v>335.80231256228035</v>
      </c>
      <c r="R184" s="19">
        <f t="shared" si="100"/>
        <v>367.50261217924708</v>
      </c>
      <c r="S184" s="19">
        <f t="shared" si="100"/>
        <v>404.54327596183612</v>
      </c>
      <c r="T184" s="19">
        <f t="shared" si="100"/>
        <v>455.58774293853821</v>
      </c>
      <c r="U184" s="19">
        <f t="shared" si="100"/>
        <v>498.06014401363245</v>
      </c>
      <c r="V184" s="19">
        <f t="shared" si="100"/>
        <v>550.22269042545122</v>
      </c>
      <c r="W184" s="19">
        <f t="shared" si="100"/>
        <v>585.23053045630695</v>
      </c>
      <c r="X184" s="183">
        <f t="shared" si="100"/>
        <v>594.57556414220562</v>
      </c>
      <c r="Y184" s="207">
        <f t="shared" si="100"/>
        <v>608.67579021488382</v>
      </c>
      <c r="Z184" s="207">
        <f t="shared" si="100"/>
        <v>600.62795305910367</v>
      </c>
      <c r="AA184" s="207">
        <f t="shared" si="100"/>
        <v>630.85559373007891</v>
      </c>
      <c r="AB184" s="207">
        <f t="shared" si="100"/>
        <v>653.4067224604114</v>
      </c>
      <c r="AC184" s="207">
        <f t="shared" si="100"/>
        <v>687.26995844937846</v>
      </c>
      <c r="AD184" s="207">
        <f t="shared" si="100"/>
        <v>720.26704843886182</v>
      </c>
      <c r="AE184" s="207">
        <f t="shared" si="100"/>
        <v>742.24861989405872</v>
      </c>
      <c r="AF184" s="207">
        <f t="shared" si="100"/>
        <v>798.11229688055391</v>
      </c>
      <c r="AG184" s="207">
        <f t="shared" si="100"/>
        <v>830.54887098879044</v>
      </c>
      <c r="AH184" s="183">
        <f t="shared" si="100"/>
        <v>638.54796781100049</v>
      </c>
    </row>
    <row r="185" spans="1:35" s="1" customFormat="1">
      <c r="A185" s="1" t="s">
        <v>446</v>
      </c>
      <c r="B185" s="13"/>
      <c r="C185" s="346"/>
      <c r="D185" s="346">
        <f>D182</f>
        <v>-295.05428378386569</v>
      </c>
      <c r="E185" s="346">
        <f>D185+E182</f>
        <v>-62.944578552276653</v>
      </c>
      <c r="F185" s="346">
        <f t="shared" ref="E185:N187" si="101">E185+F182</f>
        <v>431.12879129507201</v>
      </c>
      <c r="G185" s="346">
        <f t="shared" si="101"/>
        <v>813.32039383109804</v>
      </c>
      <c r="H185" s="411">
        <f>H182</f>
        <v>-62.581290699996316</v>
      </c>
      <c r="I185" s="15">
        <f t="shared" si="101"/>
        <v>-78.488561746031337</v>
      </c>
      <c r="J185" s="15">
        <f t="shared" si="101"/>
        <v>-90.860923867228848</v>
      </c>
      <c r="K185" s="15">
        <f t="shared" si="101"/>
        <v>-108.86594069091734</v>
      </c>
      <c r="L185" s="15">
        <f t="shared" si="101"/>
        <v>-85.088368602868286</v>
      </c>
      <c r="M185" s="15">
        <f t="shared" si="101"/>
        <v>134.13319083077658</v>
      </c>
      <c r="N185" s="15">
        <f t="shared" si="101"/>
        <v>697.64976737504912</v>
      </c>
      <c r="O185" s="15">
        <f t="shared" ref="O185:X185" si="102">N185+O182</f>
        <v>1261.9158296027599</v>
      </c>
      <c r="P185" s="15">
        <f t="shared" si="102"/>
        <v>1914.2190234405862</v>
      </c>
      <c r="Q185" s="15">
        <f t="shared" si="102"/>
        <v>2623.1350217726867</v>
      </c>
      <c r="R185" s="15">
        <f t="shared" si="102"/>
        <v>3398.9738750513352</v>
      </c>
      <c r="S185" s="131">
        <f t="shared" si="102"/>
        <v>4253.0096854121293</v>
      </c>
      <c r="T185" s="15">
        <f t="shared" si="102"/>
        <v>5214.8060374278866</v>
      </c>
      <c r="U185" s="15">
        <f t="shared" si="102"/>
        <v>6266.2663474937144</v>
      </c>
      <c r="V185" s="15">
        <f t="shared" si="102"/>
        <v>7427.8475891558519</v>
      </c>
      <c r="W185" s="15">
        <f t="shared" si="102"/>
        <v>8663.3342711021614</v>
      </c>
      <c r="X185" s="191">
        <f t="shared" si="102"/>
        <v>9918.549357715412</v>
      </c>
      <c r="Y185" s="131">
        <f t="shared" ref="Y185:AH185" si="103">X185+Y182</f>
        <v>11203.531588432277</v>
      </c>
      <c r="Z185" s="131">
        <f t="shared" si="103"/>
        <v>12471.523940740459</v>
      </c>
      <c r="AA185" s="131">
        <f t="shared" si="103"/>
        <v>13803.330201307006</v>
      </c>
      <c r="AB185" s="131">
        <f t="shared" si="103"/>
        <v>15182.744400445983</v>
      </c>
      <c r="AC185" s="131">
        <f t="shared" si="103"/>
        <v>16633.647653526979</v>
      </c>
      <c r="AD185" s="131">
        <f t="shared" si="103"/>
        <v>18154.211430105031</v>
      </c>
      <c r="AE185" s="131">
        <f t="shared" si="103"/>
        <v>19721.180746565387</v>
      </c>
      <c r="AF185" s="131">
        <f t="shared" si="103"/>
        <v>21406.084492510432</v>
      </c>
      <c r="AG185" s="131">
        <f t="shared" si="103"/>
        <v>23159.465450656604</v>
      </c>
      <c r="AH185" s="191">
        <f t="shared" si="103"/>
        <v>24507.511169014415</v>
      </c>
    </row>
    <row r="186" spans="1:35" s="20" customFormat="1">
      <c r="A186" s="20" t="s">
        <v>447</v>
      </c>
      <c r="B186" s="33"/>
      <c r="C186" s="339"/>
      <c r="D186" s="339">
        <f>D183</f>
        <v>-155.29172662431665</v>
      </c>
      <c r="E186" s="339">
        <f t="shared" si="101"/>
        <v>-33.128722449797351</v>
      </c>
      <c r="F186" s="339">
        <f t="shared" si="101"/>
        <v>226.90989473077025</v>
      </c>
      <c r="G186" s="339">
        <f t="shared" si="101"/>
        <v>428.06337145223551</v>
      </c>
      <c r="H186" s="410">
        <f t="shared" si="101"/>
        <v>395.12585145223602</v>
      </c>
      <c r="I186" s="19">
        <f t="shared" ref="I186:X186" si="104">H186+I183</f>
        <v>386.7536051245479</v>
      </c>
      <c r="J186" s="19">
        <f t="shared" si="104"/>
        <v>380.24183727274067</v>
      </c>
      <c r="K186" s="19">
        <f t="shared" si="104"/>
        <v>370.76551439276955</v>
      </c>
      <c r="L186" s="19">
        <f t="shared" si="104"/>
        <v>383.28002792373809</v>
      </c>
      <c r="M186" s="19">
        <f t="shared" si="104"/>
        <v>498.65979810158387</v>
      </c>
      <c r="N186" s="183">
        <f t="shared" si="104"/>
        <v>795.24747218739503</v>
      </c>
      <c r="O186" s="19">
        <f t="shared" si="104"/>
        <v>1092.2296124623736</v>
      </c>
      <c r="P186" s="19">
        <f t="shared" si="104"/>
        <v>1435.5470852675917</v>
      </c>
      <c r="Q186" s="19">
        <f t="shared" si="104"/>
        <v>1808.6607710374119</v>
      </c>
      <c r="R186" s="19">
        <f t="shared" si="104"/>
        <v>2216.9970121368133</v>
      </c>
      <c r="S186" s="207">
        <f t="shared" si="104"/>
        <v>2666.4895465357749</v>
      </c>
      <c r="T186" s="19">
        <f t="shared" si="104"/>
        <v>3172.6981556129958</v>
      </c>
      <c r="U186" s="19">
        <f t="shared" si="104"/>
        <v>3726.0983216651912</v>
      </c>
      <c r="V186" s="19">
        <f t="shared" si="104"/>
        <v>4337.4568729018774</v>
      </c>
      <c r="W186" s="19">
        <f t="shared" si="104"/>
        <v>4987.7130243918782</v>
      </c>
      <c r="X186" s="183">
        <f t="shared" si="104"/>
        <v>5648.3525468629232</v>
      </c>
      <c r="Y186" s="207">
        <f t="shared" ref="Y186:AH186" si="105">X186+Y183</f>
        <v>6324.6589873649027</v>
      </c>
      <c r="Z186" s="207">
        <f t="shared" si="105"/>
        <v>6992.0233866139788</v>
      </c>
      <c r="AA186" s="207">
        <f t="shared" si="105"/>
        <v>7692.9740534504508</v>
      </c>
      <c r="AB186" s="207">
        <f t="shared" si="105"/>
        <v>8418.9815301290164</v>
      </c>
      <c r="AC186" s="207">
        <f t="shared" si="105"/>
        <v>9182.6148247606343</v>
      </c>
      <c r="AD186" s="207">
        <f t="shared" si="105"/>
        <v>9982.9115528998245</v>
      </c>
      <c r="AE186" s="207">
        <f t="shared" si="105"/>
        <v>10807.63224946612</v>
      </c>
      <c r="AF186" s="207">
        <f t="shared" si="105"/>
        <v>11694.423698530612</v>
      </c>
      <c r="AG186" s="207">
        <f t="shared" si="105"/>
        <v>12617.255785687994</v>
      </c>
      <c r="AH186" s="183">
        <f t="shared" si="105"/>
        <v>13326.753536234806</v>
      </c>
    </row>
    <row r="187" spans="1:35" s="20" customFormat="1">
      <c r="A187" s="20" t="s">
        <v>448</v>
      </c>
      <c r="B187" s="33"/>
      <c r="C187" s="339"/>
      <c r="D187" s="339">
        <f>D184</f>
        <v>-139.76255715954903</v>
      </c>
      <c r="E187" s="339">
        <f t="shared" si="101"/>
        <v>-29.815856102479302</v>
      </c>
      <c r="F187" s="339">
        <f t="shared" si="101"/>
        <v>204.21889656430358</v>
      </c>
      <c r="G187" s="339">
        <f t="shared" si="101"/>
        <v>385.25702237886435</v>
      </c>
      <c r="H187" s="410">
        <f t="shared" si="101"/>
        <v>355.61325167886571</v>
      </c>
      <c r="I187" s="19">
        <f t="shared" ref="I187:X187" si="106">H187+I184</f>
        <v>348.07822696051699</v>
      </c>
      <c r="J187" s="19">
        <f t="shared" si="106"/>
        <v>342.21763269112671</v>
      </c>
      <c r="K187" s="19">
        <f t="shared" si="106"/>
        <v>333.68893874741116</v>
      </c>
      <c r="L187" s="19">
        <f t="shared" si="106"/>
        <v>344.95199730448985</v>
      </c>
      <c r="M187" s="19">
        <f t="shared" si="106"/>
        <v>448.79378656029076</v>
      </c>
      <c r="N187" s="183">
        <f t="shared" si="106"/>
        <v>715.72268901875213</v>
      </c>
      <c r="O187" s="19">
        <f t="shared" si="106"/>
        <v>983.00661097148259</v>
      </c>
      <c r="P187" s="19">
        <f t="shared" si="106"/>
        <v>1291.9923320040907</v>
      </c>
      <c r="Q187" s="19">
        <f t="shared" si="106"/>
        <v>1627.7946445663711</v>
      </c>
      <c r="R187" s="19">
        <f t="shared" si="106"/>
        <v>1995.2972567456181</v>
      </c>
      <c r="S187" s="207">
        <f t="shared" si="106"/>
        <v>2399.8405327074543</v>
      </c>
      <c r="T187" s="19">
        <f t="shared" si="106"/>
        <v>2855.4282756459925</v>
      </c>
      <c r="U187" s="19">
        <f t="shared" si="106"/>
        <v>3353.4884196596249</v>
      </c>
      <c r="V187" s="19">
        <f t="shared" si="106"/>
        <v>3903.7111100850761</v>
      </c>
      <c r="W187" s="19">
        <f t="shared" si="106"/>
        <v>4488.9416405413831</v>
      </c>
      <c r="X187" s="183">
        <f t="shared" si="106"/>
        <v>5083.5172046835887</v>
      </c>
      <c r="Y187" s="207">
        <f t="shared" ref="Y187:AH187" si="107">X187+Y184</f>
        <v>5692.1929948984725</v>
      </c>
      <c r="Z187" s="207">
        <f t="shared" si="107"/>
        <v>6292.8209479575762</v>
      </c>
      <c r="AA187" s="207">
        <f t="shared" si="107"/>
        <v>6923.6765416876551</v>
      </c>
      <c r="AB187" s="207">
        <f t="shared" si="107"/>
        <v>7577.0832641480665</v>
      </c>
      <c r="AC187" s="207">
        <f t="shared" si="107"/>
        <v>8264.353222597445</v>
      </c>
      <c r="AD187" s="207">
        <f t="shared" si="107"/>
        <v>8984.6202710363068</v>
      </c>
      <c r="AE187" s="207">
        <f t="shared" si="107"/>
        <v>9726.8688909303655</v>
      </c>
      <c r="AF187" s="207">
        <f t="shared" si="107"/>
        <v>10524.981187810919</v>
      </c>
      <c r="AG187" s="207">
        <f t="shared" si="107"/>
        <v>11355.53005879971</v>
      </c>
      <c r="AH187" s="183">
        <f t="shared" si="107"/>
        <v>11994.07802661071</v>
      </c>
    </row>
    <row r="188" spans="1:35" s="292" customFormat="1">
      <c r="A188" s="292" t="s">
        <v>546</v>
      </c>
      <c r="B188" s="293"/>
      <c r="C188" s="346"/>
      <c r="D188" s="346"/>
      <c r="E188" s="346"/>
      <c r="F188" s="346"/>
      <c r="G188" s="346"/>
      <c r="H188" s="294"/>
      <c r="I188" s="294"/>
      <c r="J188" s="294"/>
      <c r="K188" s="294"/>
      <c r="L188" s="294"/>
      <c r="M188" s="294"/>
      <c r="N188" s="294"/>
      <c r="O188" s="294"/>
      <c r="P188" s="294"/>
      <c r="Q188" s="294"/>
      <c r="R188" s="294"/>
      <c r="S188" s="294"/>
      <c r="T188" s="294"/>
      <c r="U188" s="294"/>
      <c r="V188" s="294"/>
      <c r="W188" s="294"/>
      <c r="X188" s="377"/>
      <c r="Y188" s="295"/>
      <c r="Z188" s="295"/>
      <c r="AA188" s="295"/>
      <c r="AB188" s="295"/>
      <c r="AC188" s="295"/>
      <c r="AD188" s="295"/>
      <c r="AE188" s="295"/>
      <c r="AF188" s="295"/>
      <c r="AG188" s="295"/>
      <c r="AH188" s="377"/>
    </row>
    <row r="189" spans="1:35" s="1" customFormat="1">
      <c r="B189" s="13"/>
      <c r="C189" s="346"/>
      <c r="D189" s="346"/>
      <c r="E189" s="346"/>
      <c r="F189" s="346"/>
      <c r="G189" s="346"/>
      <c r="H189" s="411"/>
      <c r="I189" s="15" t="s">
        <v>0</v>
      </c>
      <c r="J189" s="15" t="s">
        <v>0</v>
      </c>
      <c r="K189" s="15" t="s">
        <v>0</v>
      </c>
      <c r="L189" s="15" t="s">
        <v>0</v>
      </c>
      <c r="M189" s="15" t="s">
        <v>0</v>
      </c>
      <c r="N189" s="15" t="s">
        <v>0</v>
      </c>
      <c r="O189" s="131"/>
      <c r="P189" s="131"/>
      <c r="Q189" s="131"/>
      <c r="R189" s="131"/>
      <c r="S189" s="159"/>
      <c r="T189" s="131"/>
      <c r="U189" s="15"/>
      <c r="V189" s="15"/>
      <c r="W189" s="15"/>
      <c r="X189" s="191"/>
      <c r="Y189"/>
      <c r="Z189"/>
      <c r="AA189"/>
      <c r="AB189"/>
      <c r="AC189"/>
      <c r="AD189"/>
      <c r="AE189"/>
      <c r="AF189"/>
      <c r="AG189"/>
      <c r="AH189" s="281"/>
    </row>
    <row r="190" spans="1:35" s="1" customFormat="1">
      <c r="A190" s="1" t="s">
        <v>408</v>
      </c>
      <c r="B190" s="13"/>
      <c r="C190" s="333"/>
      <c r="D190" s="333"/>
      <c r="E190" s="333"/>
      <c r="F190" s="333"/>
      <c r="G190" s="333"/>
      <c r="H190" s="406"/>
      <c r="I190" s="15" t="s">
        <v>0</v>
      </c>
      <c r="J190" s="13"/>
      <c r="K190" s="13"/>
      <c r="L190" s="13"/>
      <c r="M190" s="13"/>
      <c r="N190" s="192"/>
      <c r="O190" s="13"/>
      <c r="P190" s="13"/>
      <c r="Q190" s="13"/>
      <c r="R190" s="13"/>
      <c r="T190" s="13"/>
      <c r="U190" s="13"/>
      <c r="V190" s="13"/>
      <c r="W190" s="13"/>
      <c r="X190" s="177"/>
      <c r="Y190"/>
      <c r="Z190"/>
      <c r="AA190"/>
      <c r="AB190"/>
      <c r="AC190"/>
      <c r="AD190"/>
      <c r="AE190"/>
      <c r="AF190"/>
      <c r="AG190"/>
      <c r="AH190" s="281"/>
    </row>
    <row r="191" spans="1:35">
      <c r="A191" t="s">
        <v>402</v>
      </c>
      <c r="I191" s="112"/>
      <c r="J191" s="112"/>
      <c r="K191" s="112"/>
      <c r="L191" s="112"/>
      <c r="M191" s="132"/>
      <c r="N191" s="193"/>
      <c r="O191" s="132"/>
      <c r="P191" s="112"/>
      <c r="Q191" s="112"/>
      <c r="R191" s="132"/>
      <c r="S191" s="132"/>
      <c r="T191" s="132"/>
      <c r="U191" s="132"/>
      <c r="V191" s="112"/>
      <c r="W191" s="112"/>
    </row>
    <row r="192" spans="1:35">
      <c r="A192" t="s">
        <v>403</v>
      </c>
      <c r="I192" s="112"/>
      <c r="J192" s="112"/>
      <c r="K192" s="112"/>
      <c r="L192" s="112"/>
      <c r="M192" s="132"/>
      <c r="N192" s="193"/>
      <c r="O192" s="132"/>
      <c r="P192" s="112"/>
      <c r="Q192" s="112"/>
      <c r="R192" s="132"/>
      <c r="S192" s="132"/>
      <c r="T192" s="132"/>
      <c r="U192" s="132"/>
      <c r="V192" s="112"/>
      <c r="W192" s="112"/>
    </row>
    <row r="193" spans="1:34">
      <c r="A193" t="s">
        <v>404</v>
      </c>
      <c r="I193" s="112"/>
      <c r="J193" s="112"/>
      <c r="K193" s="112"/>
      <c r="L193" s="112"/>
      <c r="M193" s="132"/>
      <c r="N193" s="193"/>
      <c r="O193" s="132"/>
      <c r="P193" s="112"/>
      <c r="Q193" s="112"/>
      <c r="R193" s="132"/>
      <c r="S193" s="132"/>
      <c r="T193" s="132"/>
      <c r="U193" s="132"/>
      <c r="V193" s="112"/>
      <c r="W193" s="112"/>
    </row>
    <row r="194" spans="1:34">
      <c r="A194" t="s">
        <v>384</v>
      </c>
      <c r="C194" s="336">
        <f>SUM(C195:C196)</f>
        <v>927.32355129999996</v>
      </c>
      <c r="D194" s="336">
        <f t="shared" ref="D194:AH194" si="108">SUM(D195:D196)</f>
        <v>1009.2325513</v>
      </c>
      <c r="E194" s="336">
        <f t="shared" si="108"/>
        <v>733.44884330000002</v>
      </c>
      <c r="F194" s="336">
        <f t="shared" si="108"/>
        <v>968.33440529999984</v>
      </c>
      <c r="G194" s="336">
        <f t="shared" si="108"/>
        <v>1398.4542393000002</v>
      </c>
      <c r="H194" s="408">
        <f t="shared" si="108"/>
        <v>1477.9763453</v>
      </c>
      <c r="I194" s="14">
        <f t="shared" si="108"/>
        <v>2415.4939343000001</v>
      </c>
      <c r="J194" s="14">
        <f t="shared" si="108"/>
        <v>3043.5867003000003</v>
      </c>
      <c r="K194" s="14">
        <f t="shared" si="108"/>
        <v>3050.6996163000003</v>
      </c>
      <c r="L194" s="14">
        <f t="shared" si="108"/>
        <v>3040.6481223000001</v>
      </c>
      <c r="M194" s="14">
        <f t="shared" si="108"/>
        <v>3089.7706273000003</v>
      </c>
      <c r="N194" s="188">
        <f t="shared" si="108"/>
        <v>3092.9288452999999</v>
      </c>
      <c r="O194" s="14">
        <f t="shared" si="108"/>
        <v>3123.9425263000003</v>
      </c>
      <c r="P194" s="14">
        <f t="shared" si="108"/>
        <v>3125.7051183000003</v>
      </c>
      <c r="Q194" s="14">
        <f t="shared" si="108"/>
        <v>3115.9172303000005</v>
      </c>
      <c r="R194" s="14">
        <f t="shared" si="108"/>
        <v>3133.9655963</v>
      </c>
      <c r="S194" s="15">
        <f t="shared" si="108"/>
        <v>3134.7578962999996</v>
      </c>
      <c r="T194" s="14">
        <f t="shared" si="108"/>
        <v>3127.2727513</v>
      </c>
      <c r="U194" s="14">
        <f t="shared" si="108"/>
        <v>3116.7887983000001</v>
      </c>
      <c r="V194" s="14">
        <f t="shared" si="108"/>
        <v>3122.7352283000005</v>
      </c>
      <c r="W194" s="14">
        <f t="shared" si="108"/>
        <v>3133.1956213000003</v>
      </c>
      <c r="X194" s="188">
        <f t="shared" si="108"/>
        <v>3255.9464513000003</v>
      </c>
      <c r="Y194" s="159">
        <f t="shared" si="108"/>
        <v>3331.1191533000001</v>
      </c>
      <c r="Z194" s="159">
        <f t="shared" si="108"/>
        <v>3356.6346902999999</v>
      </c>
      <c r="AA194" s="159">
        <f t="shared" si="108"/>
        <v>3363.7232862999999</v>
      </c>
      <c r="AB194" s="159">
        <f t="shared" si="108"/>
        <v>3368.7630362999998</v>
      </c>
      <c r="AC194" s="159">
        <f t="shared" si="108"/>
        <v>3368.2713543</v>
      </c>
      <c r="AD194" s="159">
        <f t="shared" si="108"/>
        <v>3368.8364713000001</v>
      </c>
      <c r="AE194" s="159">
        <f t="shared" si="108"/>
        <v>3376.0214353000001</v>
      </c>
      <c r="AF194" s="159">
        <f t="shared" si="108"/>
        <v>3379.5476643000002</v>
      </c>
      <c r="AG194" s="159">
        <f t="shared" si="108"/>
        <v>3390.1205942999995</v>
      </c>
      <c r="AH194" s="188">
        <f t="shared" si="108"/>
        <v>3904.5179303000004</v>
      </c>
    </row>
    <row r="195" spans="1:34">
      <c r="A195" t="s">
        <v>385</v>
      </c>
      <c r="C195" s="335">
        <f>'Output - Jobs vs Yr (BAU)'!C51</f>
        <v>488.06502699999993</v>
      </c>
      <c r="D195" s="335">
        <f>'Output - Jobs vs Yr (BAU)'!D51</f>
        <v>531.175027</v>
      </c>
      <c r="E195" s="335">
        <f>'Output - Jobs vs Yr (BAU)'!E51</f>
        <v>386.02570700000001</v>
      </c>
      <c r="F195" s="335">
        <f>'Output - Jobs vs Yr (BAU)'!F51</f>
        <v>509.64968699999997</v>
      </c>
      <c r="G195" s="335">
        <f>'Output - Jobs vs Yr (BAU)'!G51</f>
        <v>736.02854700000012</v>
      </c>
      <c r="H195" s="287">
        <f>'Output - Jobs vs Yr (BAU)'!H51</f>
        <v>777.88228700000002</v>
      </c>
      <c r="I195" s="118">
        <f>'Output - Jobs vs Yr (BAU)'!I51</f>
        <v>1271.3125970000001</v>
      </c>
      <c r="J195" s="118">
        <f>'Output - Jobs vs Yr (BAU)'!J51</f>
        <v>1601.8877370000002</v>
      </c>
      <c r="K195" s="118">
        <f>'Output - Jobs vs Yr (BAU)'!K51</f>
        <v>1605.6313770000002</v>
      </c>
      <c r="L195" s="118">
        <f>'Output - Jobs vs Yr (BAU)'!L51</f>
        <v>1600.3411170000002</v>
      </c>
      <c r="M195" s="118">
        <f>'Output - Jobs vs Yr (BAU)'!M51</f>
        <v>1626.1950670000001</v>
      </c>
      <c r="N195" s="178">
        <f>'Output - Jobs vs Yr (BAU)'!N51</f>
        <v>1627.857287</v>
      </c>
      <c r="O195" s="118">
        <f>'Output - Jobs vs Yr (BAU)'!O51</f>
        <v>1644.1802770000002</v>
      </c>
      <c r="P195" s="118">
        <f>'Output - Jobs vs Yr (BAU)'!P51</f>
        <v>1645.1079570000002</v>
      </c>
      <c r="Q195" s="118">
        <f>'Output - Jobs vs Yr (BAU)'!Q51</f>
        <v>1639.9564370000001</v>
      </c>
      <c r="R195" s="118">
        <f>'Output - Jobs vs Yr (BAU)'!R51</f>
        <v>1649.4555769999999</v>
      </c>
      <c r="S195" s="118">
        <f>'Output - Jobs vs Yr (BAU)'!S51</f>
        <v>1649.8725769999999</v>
      </c>
      <c r="T195" s="118">
        <f>'Output - Jobs vs Yr (BAU)'!T51</f>
        <v>1645.933027</v>
      </c>
      <c r="U195" s="118">
        <f>'Output - Jobs vs Yr (BAU)'!U51</f>
        <v>1640.4151570000001</v>
      </c>
      <c r="V195" s="118">
        <f>'Output - Jobs vs Yr (BAU)'!V51</f>
        <v>1643.5448570000001</v>
      </c>
      <c r="W195" s="118">
        <f>'Output - Jobs vs Yr (BAU)'!W51</f>
        <v>1649.0503270000002</v>
      </c>
      <c r="X195" s="185">
        <f>'Output - Jobs vs Yr (BAU)'!X51</f>
        <v>1713.656027</v>
      </c>
      <c r="Y195" s="272">
        <f>'Output - Jobs vs Yr (BAU)'!Y51</f>
        <v>1753.220607</v>
      </c>
      <c r="Z195" s="272">
        <f>'Output - Jobs vs Yr (BAU)'!Z51</f>
        <v>1766.6498369999999</v>
      </c>
      <c r="AA195" s="272">
        <f>'Output - Jobs vs Yr (BAU)'!AA51</f>
        <v>1770.3806770000001</v>
      </c>
      <c r="AB195" s="272">
        <f>'Output - Jobs vs Yr (BAU)'!AB51</f>
        <v>1773.033177</v>
      </c>
      <c r="AC195" s="272">
        <f>'Output - Jobs vs Yr (BAU)'!AC51</f>
        <v>1772.7743969999999</v>
      </c>
      <c r="AD195" s="272">
        <f>'Output - Jobs vs Yr (BAU)'!AD51</f>
        <v>1773.071827</v>
      </c>
      <c r="AE195" s="272">
        <f>'Output - Jobs vs Yr (BAU)'!AE51</f>
        <v>1776.8533870000001</v>
      </c>
      <c r="AF195" s="272">
        <f>'Output - Jobs vs Yr (BAU)'!AF51</f>
        <v>1778.7092970000001</v>
      </c>
      <c r="AG195" s="272">
        <f>'Output - Jobs vs Yr (BAU)'!AG51</f>
        <v>1784.2739969999998</v>
      </c>
      <c r="AH195" s="185">
        <f>'Output - Jobs vs Yr (BAU)'!AH51</f>
        <v>2055.0094370000002</v>
      </c>
    </row>
    <row r="196" spans="1:34">
      <c r="A196" t="s">
        <v>386</v>
      </c>
      <c r="C196" s="335">
        <f>'Output - Jobs vs Yr (BAU)'!C69</f>
        <v>439.25852429999998</v>
      </c>
      <c r="D196" s="335">
        <f>'Output - Jobs vs Yr (BAU)'!D69</f>
        <v>478.05752429999995</v>
      </c>
      <c r="E196" s="335">
        <f>'Output - Jobs vs Yr (BAU)'!E69</f>
        <v>347.42313630000001</v>
      </c>
      <c r="F196" s="335">
        <f>'Output - Jobs vs Yr (BAU)'!F69</f>
        <v>458.68471829999993</v>
      </c>
      <c r="G196" s="335">
        <f>'Output - Jobs vs Yr (BAU)'!G69</f>
        <v>662.42569230000004</v>
      </c>
      <c r="H196" s="287">
        <f>'Output - Jobs vs Yr (BAU)'!H69</f>
        <v>700.09405830000003</v>
      </c>
      <c r="I196" s="118">
        <f>'Output - Jobs vs Yr (BAU)'!I69</f>
        <v>1144.1813373</v>
      </c>
      <c r="J196" s="118">
        <f>'Output - Jobs vs Yr (BAU)'!J69</f>
        <v>1441.6989633000003</v>
      </c>
      <c r="K196" s="118">
        <f>'Output - Jobs vs Yr (BAU)'!K69</f>
        <v>1445.0682393000002</v>
      </c>
      <c r="L196" s="118">
        <f>'Output - Jobs vs Yr (BAU)'!L69</f>
        <v>1440.3070053000001</v>
      </c>
      <c r="M196" s="118">
        <f>'Output - Jobs vs Yr (BAU)'!M69</f>
        <v>1463.5755603000002</v>
      </c>
      <c r="N196" s="178">
        <f>'Output - Jobs vs Yr (BAU)'!N69</f>
        <v>1465.0715583000001</v>
      </c>
      <c r="O196" s="118">
        <f>'Output - Jobs vs Yr (BAU)'!O69</f>
        <v>1479.7622493000001</v>
      </c>
      <c r="P196" s="118">
        <f>'Output - Jobs vs Yr (BAU)'!P69</f>
        <v>1480.5971613000002</v>
      </c>
      <c r="Q196" s="118">
        <f>'Output - Jobs vs Yr (BAU)'!Q69</f>
        <v>1475.9607933000002</v>
      </c>
      <c r="R196" s="118">
        <f>'Output - Jobs vs Yr (BAU)'!R69</f>
        <v>1484.5100193000001</v>
      </c>
      <c r="S196" s="118">
        <f>'Output - Jobs vs Yr (BAU)'!S69</f>
        <v>1484.8853193</v>
      </c>
      <c r="T196" s="118">
        <f>'Output - Jobs vs Yr (BAU)'!T69</f>
        <v>1481.3397243000002</v>
      </c>
      <c r="U196" s="118">
        <f>'Output - Jobs vs Yr (BAU)'!U69</f>
        <v>1476.3736413000001</v>
      </c>
      <c r="V196" s="118">
        <f>'Output - Jobs vs Yr (BAU)'!V69</f>
        <v>1479.1903713000004</v>
      </c>
      <c r="W196" s="118">
        <f>'Output - Jobs vs Yr (BAU)'!W69</f>
        <v>1484.1452943000002</v>
      </c>
      <c r="X196" s="185">
        <f>'Output - Jobs vs Yr (BAU)'!X69</f>
        <v>1542.2904243</v>
      </c>
      <c r="Y196" s="272">
        <f>'Output - Jobs vs Yr (BAU)'!Y69</f>
        <v>1577.8985462999999</v>
      </c>
      <c r="Z196" s="272">
        <f>'Output - Jobs vs Yr (BAU)'!Z69</f>
        <v>1589.9848532999999</v>
      </c>
      <c r="AA196" s="272">
        <f>'Output - Jobs vs Yr (BAU)'!AA69</f>
        <v>1593.3426093</v>
      </c>
      <c r="AB196" s="272">
        <f>'Output - Jobs vs Yr (BAU)'!AB69</f>
        <v>1595.7298593</v>
      </c>
      <c r="AC196" s="272">
        <f>'Output - Jobs vs Yr (BAU)'!AC69</f>
        <v>1595.4969572999998</v>
      </c>
      <c r="AD196" s="272">
        <f>'Output - Jobs vs Yr (BAU)'!AD69</f>
        <v>1595.7646442999999</v>
      </c>
      <c r="AE196" s="272">
        <f>'Output - Jobs vs Yr (BAU)'!AE69</f>
        <v>1599.1680483</v>
      </c>
      <c r="AF196" s="272">
        <f>'Output - Jobs vs Yr (BAU)'!AF69</f>
        <v>1600.8383673000003</v>
      </c>
      <c r="AG196" s="272">
        <f>'Output - Jobs vs Yr (BAU)'!AG69</f>
        <v>1605.8465972999998</v>
      </c>
      <c r="AH196" s="185">
        <f>'Output - Jobs vs Yr (BAU)'!AH69</f>
        <v>1849.5084933000003</v>
      </c>
    </row>
    <row r="197" spans="1:34">
      <c r="A197" t="s">
        <v>387</v>
      </c>
      <c r="C197" s="336">
        <f>SUM(C198:C199)</f>
        <v>6203.3859715000017</v>
      </c>
      <c r="D197" s="336">
        <f t="shared" ref="D197:AH197" si="109">SUM(D198:D199)</f>
        <v>8236.7849715000011</v>
      </c>
      <c r="E197" s="336">
        <f t="shared" si="109"/>
        <v>4282.2931215000008</v>
      </c>
      <c r="F197" s="336">
        <f t="shared" si="109"/>
        <v>2877.6718565000006</v>
      </c>
      <c r="G197" s="336">
        <f t="shared" si="109"/>
        <v>3734.1379535000005</v>
      </c>
      <c r="H197" s="408">
        <f t="shared" si="109"/>
        <v>3755.0733885</v>
      </c>
      <c r="I197" s="14">
        <f t="shared" si="109"/>
        <v>3887.8222275000007</v>
      </c>
      <c r="J197" s="14">
        <f t="shared" si="109"/>
        <v>3941.6216775000003</v>
      </c>
      <c r="K197" s="14">
        <f t="shared" si="109"/>
        <v>3961.2981344999998</v>
      </c>
      <c r="L197" s="14">
        <f t="shared" si="109"/>
        <v>3979.2786704999999</v>
      </c>
      <c r="M197" s="14">
        <f t="shared" si="109"/>
        <v>3979.2792405</v>
      </c>
      <c r="N197" s="188">
        <f t="shared" si="109"/>
        <v>3979.2786704999999</v>
      </c>
      <c r="O197" s="14">
        <f t="shared" si="109"/>
        <v>3979.2786704999999</v>
      </c>
      <c r="P197" s="14">
        <f t="shared" si="109"/>
        <v>3979.2786704999999</v>
      </c>
      <c r="Q197" s="14">
        <f t="shared" si="109"/>
        <v>3979.2784045000008</v>
      </c>
      <c r="R197" s="14">
        <f t="shared" si="109"/>
        <v>3979.2786704999999</v>
      </c>
      <c r="S197" s="15">
        <f t="shared" si="109"/>
        <v>3979.2786704999999</v>
      </c>
      <c r="T197" s="14">
        <f t="shared" si="109"/>
        <v>3979.2786704999999</v>
      </c>
      <c r="U197" s="14">
        <f t="shared" si="109"/>
        <v>3979.2786704999999</v>
      </c>
      <c r="V197" s="14">
        <f t="shared" si="109"/>
        <v>3979.2784045000008</v>
      </c>
      <c r="W197" s="14">
        <f t="shared" si="109"/>
        <v>3979.2784045000008</v>
      </c>
      <c r="X197" s="188">
        <f t="shared" si="109"/>
        <v>3979.2786704999999</v>
      </c>
      <c r="Y197" s="159">
        <f t="shared" si="109"/>
        <v>3979.2784045000008</v>
      </c>
      <c r="Z197" s="159">
        <f t="shared" si="109"/>
        <v>3979.2786704999999</v>
      </c>
      <c r="AA197" s="159">
        <f t="shared" si="109"/>
        <v>3979.2786704999999</v>
      </c>
      <c r="AB197" s="159">
        <f t="shared" si="109"/>
        <v>3979.2786704999999</v>
      </c>
      <c r="AC197" s="159">
        <f t="shared" si="109"/>
        <v>3979.2786704999999</v>
      </c>
      <c r="AD197" s="159">
        <f t="shared" si="109"/>
        <v>3979.2786704999999</v>
      </c>
      <c r="AE197" s="159">
        <f t="shared" si="109"/>
        <v>3979.2786704999999</v>
      </c>
      <c r="AF197" s="159">
        <f t="shared" si="109"/>
        <v>3979.2786704999999</v>
      </c>
      <c r="AG197" s="159">
        <f t="shared" si="109"/>
        <v>3979.2786704999999</v>
      </c>
      <c r="AH197" s="188">
        <f t="shared" si="109"/>
        <v>3979.2786704999999</v>
      </c>
    </row>
    <row r="198" spans="1:34">
      <c r="A198" t="s">
        <v>389</v>
      </c>
      <c r="C198" s="335">
        <f>SUM('Output - Jobs vs Yr (BAU)'!C40:C43)</f>
        <v>3264.9399850000004</v>
      </c>
      <c r="D198" s="335">
        <f>SUM('Output - Jobs vs Yr (BAU)'!D40:D43)</f>
        <v>4335.149985</v>
      </c>
      <c r="E198" s="335">
        <f>SUM('Output - Jobs vs Yr (BAU)'!E40:E43)</f>
        <v>2253.8384850000002</v>
      </c>
      <c r="F198" s="335">
        <f>SUM('Output - Jobs vs Yr (BAU)'!F40:F43)</f>
        <v>1514.5641350000003</v>
      </c>
      <c r="G198" s="335">
        <f>SUM('Output - Jobs vs Yr (BAU)'!G40:G43)</f>
        <v>1965.3357650000003</v>
      </c>
      <c r="H198" s="287">
        <f>SUM('Output - Jobs vs Yr (BAU)'!H40:H43)</f>
        <v>1976.354415</v>
      </c>
      <c r="I198" s="118">
        <f>SUM('Output - Jobs vs Yr (BAU)'!I40:I43)</f>
        <v>2046.2222250000002</v>
      </c>
      <c r="J198" s="118">
        <f>SUM('Output - Jobs vs Yr (BAU)'!J40:J43)</f>
        <v>2074.5377250000001</v>
      </c>
      <c r="K198" s="118">
        <f>SUM('Output - Jobs vs Yr (BAU)'!K40:K43)</f>
        <v>2084.8937550000001</v>
      </c>
      <c r="L198" s="118">
        <f>SUM('Output - Jobs vs Yr (BAU)'!L40:L43)</f>
        <v>2094.357195</v>
      </c>
      <c r="M198" s="118">
        <f>SUM('Output - Jobs vs Yr (BAU)'!M40:M43)</f>
        <v>2094.3574950000002</v>
      </c>
      <c r="N198" s="178">
        <f>SUM('Output - Jobs vs Yr (BAU)'!N40:N43)</f>
        <v>2094.357195</v>
      </c>
      <c r="O198" s="118">
        <f>SUM('Output - Jobs vs Yr (BAU)'!O40:O43)</f>
        <v>2094.357195</v>
      </c>
      <c r="P198" s="118">
        <f>SUM('Output - Jobs vs Yr (BAU)'!P40:P43)</f>
        <v>2094.357195</v>
      </c>
      <c r="Q198" s="118">
        <f>SUM('Output - Jobs vs Yr (BAU)'!Q40:Q43)</f>
        <v>2094.3570550000004</v>
      </c>
      <c r="R198" s="118">
        <f>SUM('Output - Jobs vs Yr (BAU)'!R40:R43)</f>
        <v>2094.357195</v>
      </c>
      <c r="S198" s="118">
        <f>SUM('Output - Jobs vs Yr (BAU)'!S40:S43)</f>
        <v>2094.357195</v>
      </c>
      <c r="T198" s="118">
        <f>SUM('Output - Jobs vs Yr (BAU)'!T40:T43)</f>
        <v>2094.357195</v>
      </c>
      <c r="U198" s="118">
        <f>SUM('Output - Jobs vs Yr (BAU)'!U40:U43)</f>
        <v>2094.357195</v>
      </c>
      <c r="V198" s="118">
        <f>SUM('Output - Jobs vs Yr (BAU)'!V40:V43)</f>
        <v>2094.3570550000004</v>
      </c>
      <c r="W198" s="118">
        <f>SUM('Output - Jobs vs Yr (BAU)'!W40:W43)</f>
        <v>2094.3570550000004</v>
      </c>
      <c r="X198" s="185">
        <f>SUM('Output - Jobs vs Yr (BAU)'!X40:X43)</f>
        <v>2094.357195</v>
      </c>
      <c r="Y198" s="272">
        <f>SUM('Output - Jobs vs Yr (BAU)'!Y40:Y43)</f>
        <v>2094.3570550000004</v>
      </c>
      <c r="Z198" s="272">
        <f>SUM('Output - Jobs vs Yr (BAU)'!Z40:Z43)</f>
        <v>2094.357195</v>
      </c>
      <c r="AA198" s="272">
        <f>SUM('Output - Jobs vs Yr (BAU)'!AA40:AA43)</f>
        <v>2094.357195</v>
      </c>
      <c r="AB198" s="272">
        <f>SUM('Output - Jobs vs Yr (BAU)'!AB40:AB43)</f>
        <v>2094.357195</v>
      </c>
      <c r="AC198" s="272">
        <f>SUM('Output - Jobs vs Yr (BAU)'!AC40:AC43)</f>
        <v>2094.357195</v>
      </c>
      <c r="AD198" s="272">
        <f>SUM('Output - Jobs vs Yr (BAU)'!AD40:AD43)</f>
        <v>2094.357195</v>
      </c>
      <c r="AE198" s="272">
        <f>SUM('Output - Jobs vs Yr (BAU)'!AE40:AE43)</f>
        <v>2094.357195</v>
      </c>
      <c r="AF198" s="272">
        <f>SUM('Output - Jobs vs Yr (BAU)'!AF40:AF43)</f>
        <v>2094.357195</v>
      </c>
      <c r="AG198" s="272">
        <f>SUM('Output - Jobs vs Yr (BAU)'!AG40:AG43)</f>
        <v>2094.357195</v>
      </c>
      <c r="AH198" s="185">
        <f>SUM('Output - Jobs vs Yr (BAU)'!AH40:AH43)</f>
        <v>2094.357195</v>
      </c>
    </row>
    <row r="199" spans="1:34">
      <c r="A199" t="s">
        <v>388</v>
      </c>
      <c r="C199" s="335">
        <f>SUM('Output - Jobs vs Yr (BAU)'!C58:C61)</f>
        <v>2938.4459865000008</v>
      </c>
      <c r="D199" s="335">
        <f>SUM('Output - Jobs vs Yr (BAU)'!D58:D61)</f>
        <v>3901.6349865000002</v>
      </c>
      <c r="E199" s="335">
        <f>SUM('Output - Jobs vs Yr (BAU)'!E58:E61)</f>
        <v>2028.4546365000001</v>
      </c>
      <c r="F199" s="335">
        <f>SUM('Output - Jobs vs Yr (BAU)'!F58:F61)</f>
        <v>1363.1077215000003</v>
      </c>
      <c r="G199" s="335">
        <f>SUM('Output - Jobs vs Yr (BAU)'!G58:G61)</f>
        <v>1768.8021885000005</v>
      </c>
      <c r="H199" s="287">
        <f>SUM('Output - Jobs vs Yr (BAU)'!H58:H61)</f>
        <v>1778.7189735000002</v>
      </c>
      <c r="I199" s="118">
        <f>SUM('Output - Jobs vs Yr (BAU)'!I58:I61)</f>
        <v>1841.6000025000003</v>
      </c>
      <c r="J199" s="118">
        <f>SUM('Output - Jobs vs Yr (BAU)'!J58:J61)</f>
        <v>1867.0839525000004</v>
      </c>
      <c r="K199" s="118">
        <f>SUM('Output - Jobs vs Yr (BAU)'!K58:K61)</f>
        <v>1876.4043795</v>
      </c>
      <c r="L199" s="118">
        <f>SUM('Output - Jobs vs Yr (BAU)'!L58:L61)</f>
        <v>1884.9214755</v>
      </c>
      <c r="M199" s="118">
        <f>SUM('Output - Jobs vs Yr (BAU)'!M58:M61)</f>
        <v>1884.9217455</v>
      </c>
      <c r="N199" s="178">
        <f>SUM('Output - Jobs vs Yr (BAU)'!N58:N61)</f>
        <v>1884.9214755</v>
      </c>
      <c r="O199" s="118">
        <f>SUM('Output - Jobs vs Yr (BAU)'!O58:O61)</f>
        <v>1884.9214755</v>
      </c>
      <c r="P199" s="118">
        <f>SUM('Output - Jobs vs Yr (BAU)'!P58:P61)</f>
        <v>1884.9214755</v>
      </c>
      <c r="Q199" s="118">
        <f>SUM('Output - Jobs vs Yr (BAU)'!Q58:Q61)</f>
        <v>1884.9213495000004</v>
      </c>
      <c r="R199" s="118">
        <f>SUM('Output - Jobs vs Yr (BAU)'!R58:R61)</f>
        <v>1884.9214755</v>
      </c>
      <c r="S199" s="118">
        <f>SUM('Output - Jobs vs Yr (BAU)'!S58:S61)</f>
        <v>1884.9214755</v>
      </c>
      <c r="T199" s="118">
        <f>SUM('Output - Jobs vs Yr (BAU)'!T58:T61)</f>
        <v>1884.9214755</v>
      </c>
      <c r="U199" s="118">
        <f>SUM('Output - Jobs vs Yr (BAU)'!U58:U61)</f>
        <v>1884.9214755</v>
      </c>
      <c r="V199" s="118">
        <f>SUM('Output - Jobs vs Yr (BAU)'!V58:V61)</f>
        <v>1884.9213495000004</v>
      </c>
      <c r="W199" s="118">
        <f>SUM('Output - Jobs vs Yr (BAU)'!W58:W61)</f>
        <v>1884.9213495000004</v>
      </c>
      <c r="X199" s="185">
        <f>SUM('Output - Jobs vs Yr (BAU)'!X58:X61)</f>
        <v>1884.9214755</v>
      </c>
      <c r="Y199" s="272">
        <f>SUM('Output - Jobs vs Yr (BAU)'!Y58:Y61)</f>
        <v>1884.9213495000004</v>
      </c>
      <c r="Z199" s="272">
        <f>SUM('Output - Jobs vs Yr (BAU)'!Z58:Z61)</f>
        <v>1884.9214755</v>
      </c>
      <c r="AA199" s="272">
        <f>SUM('Output - Jobs vs Yr (BAU)'!AA58:AA61)</f>
        <v>1884.9214755</v>
      </c>
      <c r="AB199" s="272">
        <f>SUM('Output - Jobs vs Yr (BAU)'!AB58:AB61)</f>
        <v>1884.9214755</v>
      </c>
      <c r="AC199" s="272">
        <f>SUM('Output - Jobs vs Yr (BAU)'!AC58:AC61)</f>
        <v>1884.9214755</v>
      </c>
      <c r="AD199" s="272">
        <f>SUM('Output - Jobs vs Yr (BAU)'!AD58:AD61)</f>
        <v>1884.9214755</v>
      </c>
      <c r="AE199" s="272">
        <f>SUM('Output - Jobs vs Yr (BAU)'!AE58:AE61)</f>
        <v>1884.9214755</v>
      </c>
      <c r="AF199" s="272">
        <f>SUM('Output - Jobs vs Yr (BAU)'!AF58:AF61)</f>
        <v>1884.9214755</v>
      </c>
      <c r="AG199" s="272">
        <f>SUM('Output - Jobs vs Yr (BAU)'!AG58:AG61)</f>
        <v>1884.9214755</v>
      </c>
      <c r="AH199" s="185">
        <f>SUM('Output - Jobs vs Yr (BAU)'!AH58:AH61)</f>
        <v>1884.9214755</v>
      </c>
    </row>
    <row r="200" spans="1:34">
      <c r="A200" t="s">
        <v>390</v>
      </c>
      <c r="C200" s="336">
        <f>SUM(C201:C202)</f>
        <v>15731.011999999999</v>
      </c>
      <c r="D200" s="336">
        <f t="shared" ref="D200:AH200" si="110">SUM(D201:D202)</f>
        <v>16271.276999999998</v>
      </c>
      <c r="E200" s="336">
        <f t="shared" si="110"/>
        <v>14307.105241000001</v>
      </c>
      <c r="F200" s="336">
        <f t="shared" si="110"/>
        <v>14985.291640000001</v>
      </c>
      <c r="G200" s="336">
        <f t="shared" si="110"/>
        <v>15396.327969</v>
      </c>
      <c r="H200" s="408">
        <f t="shared" si="110"/>
        <v>16436.343319</v>
      </c>
      <c r="I200" s="14">
        <f t="shared" si="110"/>
        <v>16580.441504000002</v>
      </c>
      <c r="J200" s="14">
        <f t="shared" si="110"/>
        <v>15850.395935</v>
      </c>
      <c r="K200" s="14">
        <f t="shared" si="110"/>
        <v>15293.775012999999</v>
      </c>
      <c r="L200" s="14">
        <f t="shared" si="110"/>
        <v>15394.582818999999</v>
      </c>
      <c r="M200" s="14">
        <f t="shared" si="110"/>
        <v>15441.826642</v>
      </c>
      <c r="N200" s="188">
        <f t="shared" si="110"/>
        <v>15556.569314</v>
      </c>
      <c r="O200" s="14">
        <f t="shared" si="110"/>
        <v>15317.650964</v>
      </c>
      <c r="P200" s="14">
        <f t="shared" si="110"/>
        <v>15647.717975999998</v>
      </c>
      <c r="Q200" s="14">
        <f t="shared" si="110"/>
        <v>15685.641234999999</v>
      </c>
      <c r="R200" s="14">
        <f t="shared" si="110"/>
        <v>15868.727534</v>
      </c>
      <c r="S200" s="15">
        <f t="shared" si="110"/>
        <v>16063.983275999999</v>
      </c>
      <c r="T200" s="14">
        <f t="shared" si="110"/>
        <v>16428.261706999998</v>
      </c>
      <c r="U200" s="14">
        <f t="shared" si="110"/>
        <v>16631.677435999998</v>
      </c>
      <c r="V200" s="14">
        <f t="shared" si="110"/>
        <v>16998.802656</v>
      </c>
      <c r="W200" s="14">
        <f t="shared" si="110"/>
        <v>17110.706899000001</v>
      </c>
      <c r="X200" s="188">
        <f t="shared" si="110"/>
        <v>17138.780615</v>
      </c>
      <c r="Y200" s="159">
        <f t="shared" si="110"/>
        <v>17163.627580000004</v>
      </c>
      <c r="Z200" s="159">
        <f t="shared" si="110"/>
        <v>16756.939914000002</v>
      </c>
      <c r="AA200" s="159">
        <f t="shared" si="110"/>
        <v>16808.241263000004</v>
      </c>
      <c r="AB200" s="159">
        <f t="shared" si="110"/>
        <v>16747.041047000002</v>
      </c>
      <c r="AC200" s="159">
        <f t="shared" si="110"/>
        <v>16816.133312000002</v>
      </c>
      <c r="AD200" s="159">
        <f t="shared" si="110"/>
        <v>16866.384645000002</v>
      </c>
      <c r="AE200" s="159">
        <f t="shared" si="110"/>
        <v>16780.195553000001</v>
      </c>
      <c r="AF200" s="159">
        <f t="shared" si="110"/>
        <v>17095.098988000002</v>
      </c>
      <c r="AG200" s="159">
        <f t="shared" si="110"/>
        <v>17122.246625</v>
      </c>
      <c r="AH200" s="188">
        <f t="shared" si="110"/>
        <v>17289.212963000002</v>
      </c>
    </row>
    <row r="201" spans="1:34">
      <c r="A201" t="s">
        <v>391</v>
      </c>
      <c r="C201" s="335">
        <f>SUM('Output - Jobs vs Yr (BAU)'!C53:C54)</f>
        <v>8279.48</v>
      </c>
      <c r="D201" s="335">
        <f>SUM('Output - Jobs vs Yr (BAU)'!D53:D54)</f>
        <v>8563.83</v>
      </c>
      <c r="E201" s="335">
        <f>SUM('Output - Jobs vs Yr (BAU)'!E53:E54)</f>
        <v>7530.0553900000004</v>
      </c>
      <c r="F201" s="335">
        <f>SUM('Output - Jobs vs Yr (BAU)'!F53:F54)</f>
        <v>7886.9956000000002</v>
      </c>
      <c r="G201" s="335">
        <f>SUM('Output - Jobs vs Yr (BAU)'!G53:G54)</f>
        <v>8103.3305099999998</v>
      </c>
      <c r="H201" s="287">
        <f>SUM('Output - Jobs vs Yr (BAU)'!H53:H54)</f>
        <v>8650.7070099999983</v>
      </c>
      <c r="I201" s="118">
        <f>SUM('Output - Jobs vs Yr (BAU)'!I53:I54)</f>
        <v>8726.5481600000003</v>
      </c>
      <c r="J201" s="118">
        <f>SUM('Output - Jobs vs Yr (BAU)'!J53:J54)</f>
        <v>8342.3136500000001</v>
      </c>
      <c r="K201" s="118">
        <f>SUM('Output - Jobs vs Yr (BAU)'!K53:K54)</f>
        <v>8049.3552699999991</v>
      </c>
      <c r="L201" s="118">
        <f>SUM('Output - Jobs vs Yr (BAU)'!L53:L54)</f>
        <v>8102.41201</v>
      </c>
      <c r="M201" s="118">
        <f>SUM('Output - Jobs vs Yr (BAU)'!M53:M54)</f>
        <v>8127.2771799999991</v>
      </c>
      <c r="N201" s="178">
        <f>SUM('Output - Jobs vs Yr (BAU)'!N53:N54)</f>
        <v>8187.66806</v>
      </c>
      <c r="O201" s="118">
        <f>SUM('Output - Jobs vs Yr (BAU)'!O53:O54)</f>
        <v>8061.9215599999998</v>
      </c>
      <c r="P201" s="118">
        <f>SUM('Output - Jobs vs Yr (BAU)'!P53:P54)</f>
        <v>8235.6410399999986</v>
      </c>
      <c r="Q201" s="118">
        <f>SUM('Output - Jobs vs Yr (BAU)'!Q53:Q54)</f>
        <v>8255.6006500000003</v>
      </c>
      <c r="R201" s="118">
        <f>SUM('Output - Jobs vs Yr (BAU)'!R53:R54)</f>
        <v>8351.9618599999994</v>
      </c>
      <c r="S201" s="118">
        <f>SUM('Output - Jobs vs Yr (BAU)'!S53:S54)</f>
        <v>8454.72804</v>
      </c>
      <c r="T201" s="118">
        <f>SUM('Output - Jobs vs Yr (BAU)'!T53:T54)</f>
        <v>8646.4535299999989</v>
      </c>
      <c r="U201" s="118">
        <f>SUM('Output - Jobs vs Yr (BAU)'!U53:U54)</f>
        <v>8753.514439999999</v>
      </c>
      <c r="V201" s="118">
        <f>SUM('Output - Jobs vs Yr (BAU)'!V53:V54)</f>
        <v>8946.7382400000006</v>
      </c>
      <c r="W201" s="118">
        <f>SUM('Output - Jobs vs Yr (BAU)'!W53:W54)</f>
        <v>9005.6352100000004</v>
      </c>
      <c r="X201" s="185">
        <f>SUM('Output - Jobs vs Yr (BAU)'!X53:X54)</f>
        <v>9020.4108500000002</v>
      </c>
      <c r="Y201" s="272">
        <f>SUM('Output - Jobs vs Yr (BAU)'!Y53:Y54)</f>
        <v>9033.4882000000016</v>
      </c>
      <c r="Z201" s="272">
        <f>SUM('Output - Jobs vs Yr (BAU)'!Z53:Z54)</f>
        <v>8819.4420600000012</v>
      </c>
      <c r="AA201" s="272">
        <f>SUM('Output - Jobs vs Yr (BAU)'!AA53:AA54)</f>
        <v>8846.4427700000015</v>
      </c>
      <c r="AB201" s="272">
        <f>SUM('Output - Jobs vs Yr (BAU)'!AB53:AB54)</f>
        <v>8814.2321300000003</v>
      </c>
      <c r="AC201" s="272">
        <f>SUM('Output - Jobs vs Yr (BAU)'!AC53:AC54)</f>
        <v>8850.5964800000002</v>
      </c>
      <c r="AD201" s="272">
        <f>SUM('Output - Jobs vs Yr (BAU)'!AD53:AD54)</f>
        <v>8877.0445500000005</v>
      </c>
      <c r="AE201" s="272">
        <f>SUM('Output - Jobs vs Yr (BAU)'!AE53:AE54)</f>
        <v>8831.6818700000003</v>
      </c>
      <c r="AF201" s="272">
        <f>SUM('Output - Jobs vs Yr (BAU)'!AF53:AF54)</f>
        <v>8997.4205199999997</v>
      </c>
      <c r="AG201" s="272">
        <f>SUM('Output - Jobs vs Yr (BAU)'!AG53:AG54)</f>
        <v>9011.7087499999998</v>
      </c>
      <c r="AH201" s="185">
        <f>SUM('Output - Jobs vs Yr (BAU)'!AH53:AH54)</f>
        <v>9099.5857700000015</v>
      </c>
    </row>
    <row r="202" spans="1:34">
      <c r="A202" t="s">
        <v>392</v>
      </c>
      <c r="C202" s="335">
        <f>SUM('Output - Jobs vs Yr (BAU)'!C71:C72)</f>
        <v>7451.5320000000002</v>
      </c>
      <c r="D202" s="335">
        <f>SUM('Output - Jobs vs Yr (BAU)'!D71:D72)</f>
        <v>7707.4469999999992</v>
      </c>
      <c r="E202" s="335">
        <f>SUM('Output - Jobs vs Yr (BAU)'!E71:E72)</f>
        <v>6777.0498510000007</v>
      </c>
      <c r="F202" s="335">
        <f>SUM('Output - Jobs vs Yr (BAU)'!F71:F72)</f>
        <v>7098.2960400000011</v>
      </c>
      <c r="G202" s="335">
        <f>SUM('Output - Jobs vs Yr (BAU)'!G71:G72)</f>
        <v>7292.9974590000002</v>
      </c>
      <c r="H202" s="287">
        <f>SUM('Output - Jobs vs Yr (BAU)'!H71:H72)</f>
        <v>7785.6363089999995</v>
      </c>
      <c r="I202" s="118">
        <f>SUM('Output - Jobs vs Yr (BAU)'!I71:I72)</f>
        <v>7853.8933440000001</v>
      </c>
      <c r="J202" s="118">
        <f>SUM('Output - Jobs vs Yr (BAU)'!J71:J72)</f>
        <v>7508.0822850000004</v>
      </c>
      <c r="K202" s="118">
        <f>SUM('Output - Jobs vs Yr (BAU)'!K71:K72)</f>
        <v>7244.4197429999995</v>
      </c>
      <c r="L202" s="118">
        <f>SUM('Output - Jobs vs Yr (BAU)'!L71:L72)</f>
        <v>7292.1708090000002</v>
      </c>
      <c r="M202" s="118">
        <f>SUM('Output - Jobs vs Yr (BAU)'!M71:M72)</f>
        <v>7314.5494619999999</v>
      </c>
      <c r="N202" s="178">
        <f>SUM('Output - Jobs vs Yr (BAU)'!N71:N72)</f>
        <v>7368.9012540000003</v>
      </c>
      <c r="O202" s="118">
        <f>SUM('Output - Jobs vs Yr (BAU)'!O71:O72)</f>
        <v>7255.7294039999997</v>
      </c>
      <c r="P202" s="118">
        <f>SUM('Output - Jobs vs Yr (BAU)'!P71:P72)</f>
        <v>7412.0769359999995</v>
      </c>
      <c r="Q202" s="118">
        <f>SUM('Output - Jobs vs Yr (BAU)'!Q71:Q72)</f>
        <v>7430.0405849999997</v>
      </c>
      <c r="R202" s="118">
        <f>SUM('Output - Jobs vs Yr (BAU)'!R71:R72)</f>
        <v>7516.7656740000002</v>
      </c>
      <c r="S202" s="118">
        <f>SUM('Output - Jobs vs Yr (BAU)'!S71:S72)</f>
        <v>7609.2552359999991</v>
      </c>
      <c r="T202" s="118">
        <f>SUM('Output - Jobs vs Yr (BAU)'!T71:T72)</f>
        <v>7781.8081769999999</v>
      </c>
      <c r="U202" s="118">
        <f>SUM('Output - Jobs vs Yr (BAU)'!U71:U72)</f>
        <v>7878.1629960000009</v>
      </c>
      <c r="V202" s="118">
        <f>SUM('Output - Jobs vs Yr (BAU)'!V71:V72)</f>
        <v>8052.0644160000011</v>
      </c>
      <c r="W202" s="118">
        <f>SUM('Output - Jobs vs Yr (BAU)'!W71:W72)</f>
        <v>8105.0716890000003</v>
      </c>
      <c r="X202" s="185">
        <f>SUM('Output - Jobs vs Yr (BAU)'!X71:X72)</f>
        <v>8118.3697649999995</v>
      </c>
      <c r="Y202" s="272">
        <f>SUM('Output - Jobs vs Yr (BAU)'!Y71:Y72)</f>
        <v>8130.1393800000014</v>
      </c>
      <c r="Z202" s="272">
        <f>SUM('Output - Jobs vs Yr (BAU)'!Z71:Z72)</f>
        <v>7937.4978540000011</v>
      </c>
      <c r="AA202" s="272">
        <f>SUM('Output - Jobs vs Yr (BAU)'!AA71:AA72)</f>
        <v>7961.7984930000002</v>
      </c>
      <c r="AB202" s="272">
        <f>SUM('Output - Jobs vs Yr (BAU)'!AB71:AB72)</f>
        <v>7932.8089170000021</v>
      </c>
      <c r="AC202" s="272">
        <f>SUM('Output - Jobs vs Yr (BAU)'!AC71:AC72)</f>
        <v>7965.5368320000007</v>
      </c>
      <c r="AD202" s="272">
        <f>SUM('Output - Jobs vs Yr (BAU)'!AD71:AD72)</f>
        <v>7989.3400950000005</v>
      </c>
      <c r="AE202" s="272">
        <f>SUM('Output - Jobs vs Yr (BAU)'!AE71:AE72)</f>
        <v>7948.513683000001</v>
      </c>
      <c r="AF202" s="272">
        <f>SUM('Output - Jobs vs Yr (BAU)'!AF71:AF72)</f>
        <v>8097.678468000001</v>
      </c>
      <c r="AG202" s="272">
        <f>SUM('Output - Jobs vs Yr (BAU)'!AG71:AG72)</f>
        <v>8110.537875</v>
      </c>
      <c r="AH202" s="185">
        <f>SUM('Output - Jobs vs Yr (BAU)'!AH71:AH72)</f>
        <v>8189.6271930000003</v>
      </c>
    </row>
    <row r="203" spans="1:34">
      <c r="A203" s="1" t="s">
        <v>421</v>
      </c>
      <c r="C203" s="336">
        <f>SUM(C191,C194,C197,C200)</f>
        <v>22861.721522799999</v>
      </c>
      <c r="D203" s="336">
        <f t="shared" ref="D203:AH203" si="111">SUM(D191,D194,D197,D200)</f>
        <v>25517.294522799999</v>
      </c>
      <c r="E203" s="336">
        <f t="shared" si="111"/>
        <v>19322.847205800001</v>
      </c>
      <c r="F203" s="336">
        <f t="shared" si="111"/>
        <v>18831.297901800001</v>
      </c>
      <c r="G203" s="336">
        <f t="shared" si="111"/>
        <v>20528.920161800001</v>
      </c>
      <c r="H203" s="408">
        <f t="shared" si="111"/>
        <v>21669.393052799998</v>
      </c>
      <c r="I203" s="14">
        <f t="shared" si="111"/>
        <v>22883.757665800003</v>
      </c>
      <c r="J203" s="14">
        <f t="shared" si="111"/>
        <v>22835.604312800002</v>
      </c>
      <c r="K203" s="14">
        <f t="shared" si="111"/>
        <v>22305.7727638</v>
      </c>
      <c r="L203" s="14">
        <f t="shared" si="111"/>
        <v>22414.5096118</v>
      </c>
      <c r="M203" s="133">
        <f t="shared" si="111"/>
        <v>22510.8765098</v>
      </c>
      <c r="N203" s="194">
        <f t="shared" si="111"/>
        <v>22628.776829800001</v>
      </c>
      <c r="O203" s="14">
        <f t="shared" si="111"/>
        <v>22420.872160800001</v>
      </c>
      <c r="P203" s="14">
        <f t="shared" si="111"/>
        <v>22752.701764799996</v>
      </c>
      <c r="Q203" s="14">
        <f t="shared" si="111"/>
        <v>22780.836869800001</v>
      </c>
      <c r="R203" s="14">
        <f t="shared" si="111"/>
        <v>22981.971800799998</v>
      </c>
      <c r="S203" s="14">
        <f t="shared" si="111"/>
        <v>23178.0198428</v>
      </c>
      <c r="T203" s="14">
        <f t="shared" si="111"/>
        <v>23534.813128799997</v>
      </c>
      <c r="U203" s="14">
        <f t="shared" si="111"/>
        <v>23727.744904799998</v>
      </c>
      <c r="V203" s="14">
        <f t="shared" si="111"/>
        <v>24100.816288800001</v>
      </c>
      <c r="W203" s="14">
        <f t="shared" si="111"/>
        <v>24223.180924800003</v>
      </c>
      <c r="X203" s="188">
        <f t="shared" si="111"/>
        <v>24374.005736799998</v>
      </c>
      <c r="Y203" s="159">
        <f t="shared" si="111"/>
        <v>24474.025137800003</v>
      </c>
      <c r="Z203" s="159">
        <f t="shared" si="111"/>
        <v>24092.8532748</v>
      </c>
      <c r="AA203" s="159">
        <f t="shared" si="111"/>
        <v>24151.243219800002</v>
      </c>
      <c r="AB203" s="159">
        <f t="shared" si="111"/>
        <v>24095.082753800001</v>
      </c>
      <c r="AC203" s="159">
        <f t="shared" si="111"/>
        <v>24163.683336800001</v>
      </c>
      <c r="AD203" s="159">
        <f t="shared" si="111"/>
        <v>24214.499786800003</v>
      </c>
      <c r="AE203" s="159">
        <f t="shared" si="111"/>
        <v>24135.495658800002</v>
      </c>
      <c r="AF203" s="159">
        <f t="shared" si="111"/>
        <v>24453.925322800002</v>
      </c>
      <c r="AG203" s="159">
        <f t="shared" si="111"/>
        <v>24491.645889799998</v>
      </c>
      <c r="AH203" s="188">
        <f t="shared" si="111"/>
        <v>25173.009563800002</v>
      </c>
    </row>
    <row r="204" spans="1:34">
      <c r="A204" s="1" t="s">
        <v>444</v>
      </c>
      <c r="C204" s="336"/>
      <c r="D204" s="336">
        <f>D194+D197</f>
        <v>9246.0175228000007</v>
      </c>
      <c r="E204" s="336">
        <f t="shared" ref="E204:AH204" si="112">E194+E197</f>
        <v>5015.7419648000005</v>
      </c>
      <c r="F204" s="336">
        <f t="shared" si="112"/>
        <v>3846.0062618000002</v>
      </c>
      <c r="G204" s="336">
        <f t="shared" si="112"/>
        <v>5132.5921928000007</v>
      </c>
      <c r="H204" s="408">
        <f t="shared" si="112"/>
        <v>5233.0497338000005</v>
      </c>
      <c r="I204" s="14">
        <f t="shared" si="112"/>
        <v>6303.3161618000013</v>
      </c>
      <c r="J204" s="14">
        <f t="shared" si="112"/>
        <v>6985.2083778000006</v>
      </c>
      <c r="K204" s="14">
        <f t="shared" si="112"/>
        <v>7011.9977508000002</v>
      </c>
      <c r="L204" s="14">
        <f t="shared" si="112"/>
        <v>7019.9267927999999</v>
      </c>
      <c r="M204" s="14">
        <f t="shared" si="112"/>
        <v>7069.0498678000004</v>
      </c>
      <c r="N204" s="188">
        <f t="shared" si="112"/>
        <v>7072.2075157999998</v>
      </c>
      <c r="O204" s="14">
        <f t="shared" si="112"/>
        <v>7103.2211968000001</v>
      </c>
      <c r="P204" s="14">
        <f t="shared" si="112"/>
        <v>7104.9837888000002</v>
      </c>
      <c r="Q204" s="14">
        <f t="shared" si="112"/>
        <v>7095.1956348000012</v>
      </c>
      <c r="R204" s="14">
        <f t="shared" si="112"/>
        <v>7113.2442668000003</v>
      </c>
      <c r="S204" s="14">
        <f t="shared" si="112"/>
        <v>7114.0365667999995</v>
      </c>
      <c r="T204" s="14">
        <f t="shared" si="112"/>
        <v>7106.5514217999998</v>
      </c>
      <c r="U204" s="14">
        <f t="shared" si="112"/>
        <v>7096.0674687999999</v>
      </c>
      <c r="V204" s="14">
        <f t="shared" si="112"/>
        <v>7102.0136328000008</v>
      </c>
      <c r="W204" s="14">
        <f t="shared" si="112"/>
        <v>7112.4740258000011</v>
      </c>
      <c r="X204" s="188">
        <f t="shared" si="112"/>
        <v>7235.2251218000001</v>
      </c>
      <c r="Y204" s="159">
        <f t="shared" si="112"/>
        <v>7310.3975578000009</v>
      </c>
      <c r="Z204" s="159">
        <f t="shared" si="112"/>
        <v>7335.9133607999993</v>
      </c>
      <c r="AA204" s="159">
        <f t="shared" si="112"/>
        <v>7343.0019567999998</v>
      </c>
      <c r="AB204" s="159">
        <f t="shared" si="112"/>
        <v>7348.0417067999997</v>
      </c>
      <c r="AC204" s="159">
        <f t="shared" si="112"/>
        <v>7347.5500247999998</v>
      </c>
      <c r="AD204" s="159">
        <f t="shared" si="112"/>
        <v>7348.1151417999999</v>
      </c>
      <c r="AE204" s="159">
        <f t="shared" si="112"/>
        <v>7355.3001058</v>
      </c>
      <c r="AF204" s="159">
        <f t="shared" si="112"/>
        <v>7358.8263348</v>
      </c>
      <c r="AG204" s="159">
        <f t="shared" si="112"/>
        <v>7369.3992647999994</v>
      </c>
      <c r="AH204" s="188">
        <f t="shared" si="112"/>
        <v>7883.7966008000003</v>
      </c>
    </row>
    <row r="205" spans="1:34">
      <c r="A205" s="1"/>
      <c r="C205" s="336"/>
      <c r="D205" s="336"/>
      <c r="E205" s="336"/>
      <c r="F205" s="336"/>
      <c r="G205" s="336"/>
      <c r="H205" s="408"/>
      <c r="I205" s="14"/>
      <c r="J205" s="14"/>
      <c r="K205" s="14"/>
      <c r="L205" s="14"/>
      <c r="M205" s="14"/>
      <c r="N205" s="188"/>
      <c r="O205" s="14"/>
      <c r="P205" s="14"/>
      <c r="Q205" s="14"/>
      <c r="R205" s="14"/>
      <c r="S205" s="14"/>
      <c r="T205" s="14"/>
      <c r="U205" s="14"/>
      <c r="V205" s="14"/>
      <c r="W205" s="14"/>
      <c r="X205" s="188"/>
    </row>
    <row r="206" spans="1:34">
      <c r="A206" s="1" t="s">
        <v>449</v>
      </c>
      <c r="C206" s="336"/>
      <c r="D206" s="336">
        <f>D194</f>
        <v>1009.2325513</v>
      </c>
      <c r="E206" s="336">
        <f>D206+E194</f>
        <v>1742.6813946</v>
      </c>
      <c r="F206" s="336">
        <f>E206+F194</f>
        <v>2711.0157998999998</v>
      </c>
      <c r="G206" s="336">
        <f>F206+G194</f>
        <v>4109.4700391999995</v>
      </c>
      <c r="H206" s="408">
        <f t="shared" ref="H206:X206" si="113">G206+H194</f>
        <v>5587.4463844999991</v>
      </c>
      <c r="I206" s="14">
        <f t="shared" si="113"/>
        <v>8002.9403187999997</v>
      </c>
      <c r="J206" s="14">
        <f t="shared" si="113"/>
        <v>11046.5270191</v>
      </c>
      <c r="K206" s="14">
        <f t="shared" si="113"/>
        <v>14097.2266354</v>
      </c>
      <c r="L206" s="14">
        <f t="shared" si="113"/>
        <v>17137.874757699999</v>
      </c>
      <c r="M206" s="14">
        <f t="shared" si="113"/>
        <v>20227.645385</v>
      </c>
      <c r="N206" s="188">
        <f t="shared" si="113"/>
        <v>23320.574230300001</v>
      </c>
      <c r="O206" s="14">
        <f t="shared" si="113"/>
        <v>26444.516756600002</v>
      </c>
      <c r="P206" s="14">
        <f t="shared" si="113"/>
        <v>29570.221874900002</v>
      </c>
      <c r="Q206" s="14">
        <f t="shared" si="113"/>
        <v>32686.139105200004</v>
      </c>
      <c r="R206" s="14">
        <f t="shared" si="113"/>
        <v>35820.1047015</v>
      </c>
      <c r="S206" s="14">
        <f t="shared" si="113"/>
        <v>38954.862597799998</v>
      </c>
      <c r="T206" s="14">
        <f t="shared" si="113"/>
        <v>42082.135349099997</v>
      </c>
      <c r="U206" s="14">
        <f t="shared" si="113"/>
        <v>45198.924147400001</v>
      </c>
      <c r="V206" s="14">
        <f t="shared" si="113"/>
        <v>48321.659375700001</v>
      </c>
      <c r="W206" s="14">
        <f t="shared" si="113"/>
        <v>51454.854997000002</v>
      </c>
      <c r="X206" s="188">
        <f t="shared" si="113"/>
        <v>54710.801448300001</v>
      </c>
      <c r="Y206" s="159">
        <f t="shared" ref="Y206:AH206" si="114">X206+Y194</f>
        <v>58041.920601600003</v>
      </c>
      <c r="Z206" s="159">
        <f t="shared" si="114"/>
        <v>61398.555291900004</v>
      </c>
      <c r="AA206" s="159">
        <f t="shared" si="114"/>
        <v>64762.278578200006</v>
      </c>
      <c r="AB206" s="159">
        <f t="shared" si="114"/>
        <v>68131.041614500005</v>
      </c>
      <c r="AC206" s="159">
        <f t="shared" si="114"/>
        <v>71499.312968800004</v>
      </c>
      <c r="AD206" s="159">
        <f t="shared" si="114"/>
        <v>74868.149440100009</v>
      </c>
      <c r="AE206" s="159">
        <f t="shared" si="114"/>
        <v>78244.170875400014</v>
      </c>
      <c r="AF206" s="159">
        <f t="shared" si="114"/>
        <v>81623.718539700014</v>
      </c>
      <c r="AG206" s="159">
        <f t="shared" si="114"/>
        <v>85013.839134000009</v>
      </c>
      <c r="AH206" s="188">
        <f t="shared" si="114"/>
        <v>88918.357064300013</v>
      </c>
    </row>
    <row r="207" spans="1:34">
      <c r="A207" s="1" t="s">
        <v>452</v>
      </c>
      <c r="C207" s="336"/>
      <c r="D207" s="336">
        <f>D200</f>
        <v>16271.276999999998</v>
      </c>
      <c r="E207" s="336">
        <f>D207+E200</f>
        <v>30578.382240999999</v>
      </c>
      <c r="F207" s="336">
        <f>E207+F200</f>
        <v>45563.673881000002</v>
      </c>
      <c r="G207" s="336">
        <f t="shared" ref="G207:X207" si="115">F207+G200</f>
        <v>60960.001850000001</v>
      </c>
      <c r="H207" s="408">
        <f t="shared" si="115"/>
        <v>77396.345169000007</v>
      </c>
      <c r="I207" s="14">
        <f t="shared" si="115"/>
        <v>93976.78667300001</v>
      </c>
      <c r="J207" s="14">
        <f t="shared" si="115"/>
        <v>109827.182608</v>
      </c>
      <c r="K207" s="14">
        <f t="shared" si="115"/>
        <v>125120.95762100001</v>
      </c>
      <c r="L207" s="14">
        <f t="shared" si="115"/>
        <v>140515.54044000001</v>
      </c>
      <c r="M207" s="14">
        <f t="shared" si="115"/>
        <v>155957.36708200001</v>
      </c>
      <c r="N207" s="188">
        <f t="shared" si="115"/>
        <v>171513.936396</v>
      </c>
      <c r="O207" s="14">
        <f t="shared" si="115"/>
        <v>186831.58736</v>
      </c>
      <c r="P207" s="14">
        <f t="shared" si="115"/>
        <v>202479.30533599999</v>
      </c>
      <c r="Q207" s="14">
        <f t="shared" si="115"/>
        <v>218164.94657099998</v>
      </c>
      <c r="R207" s="14">
        <f t="shared" si="115"/>
        <v>234033.67410499998</v>
      </c>
      <c r="S207" s="14">
        <f t="shared" si="115"/>
        <v>250097.657381</v>
      </c>
      <c r="T207" s="14">
        <f t="shared" si="115"/>
        <v>266525.91908799997</v>
      </c>
      <c r="U207" s="14">
        <f t="shared" si="115"/>
        <v>283157.59652399994</v>
      </c>
      <c r="V207" s="14">
        <f t="shared" si="115"/>
        <v>300156.39917999995</v>
      </c>
      <c r="W207" s="14">
        <f t="shared" si="115"/>
        <v>317267.10607899993</v>
      </c>
      <c r="X207" s="188">
        <f t="shared" si="115"/>
        <v>334405.88669399993</v>
      </c>
      <c r="Y207" s="159">
        <f t="shared" ref="Y207:AH207" si="116">X207+Y200</f>
        <v>351569.51427399996</v>
      </c>
      <c r="Z207" s="159">
        <f t="shared" si="116"/>
        <v>368326.45418799995</v>
      </c>
      <c r="AA207" s="159">
        <f t="shared" si="116"/>
        <v>385134.69545099995</v>
      </c>
      <c r="AB207" s="159">
        <f t="shared" si="116"/>
        <v>401881.73649799993</v>
      </c>
      <c r="AC207" s="159">
        <f t="shared" si="116"/>
        <v>418697.86980999995</v>
      </c>
      <c r="AD207" s="159">
        <f t="shared" si="116"/>
        <v>435564.25445499993</v>
      </c>
      <c r="AE207" s="159">
        <f t="shared" si="116"/>
        <v>452344.45000799996</v>
      </c>
      <c r="AF207" s="159">
        <f t="shared" si="116"/>
        <v>469439.54899599997</v>
      </c>
      <c r="AG207" s="159">
        <f t="shared" si="116"/>
        <v>486561.795621</v>
      </c>
      <c r="AH207" s="188">
        <f t="shared" si="116"/>
        <v>503851.008584</v>
      </c>
    </row>
    <row r="208" spans="1:34">
      <c r="A208" s="1"/>
      <c r="C208" s="336"/>
      <c r="D208" s="336"/>
      <c r="E208" s="336"/>
      <c r="F208" s="336"/>
      <c r="G208" s="336"/>
      <c r="H208" s="408"/>
      <c r="I208" s="14"/>
      <c r="J208" s="14"/>
      <c r="K208" s="14"/>
      <c r="L208" s="14"/>
      <c r="M208" s="14"/>
      <c r="N208" s="188"/>
      <c r="O208" s="14"/>
      <c r="P208" s="14"/>
      <c r="Q208" s="14"/>
      <c r="R208" s="14"/>
      <c r="S208" s="14"/>
      <c r="T208" s="14"/>
      <c r="U208" s="14"/>
      <c r="V208" s="14"/>
      <c r="W208" s="14"/>
      <c r="X208" s="188"/>
    </row>
    <row r="209" spans="1:34">
      <c r="A209" s="1" t="s">
        <v>408</v>
      </c>
      <c r="C209" s="336"/>
      <c r="D209" s="336"/>
      <c r="E209" s="336"/>
      <c r="F209" s="336"/>
      <c r="G209" s="336"/>
      <c r="H209" s="408"/>
      <c r="I209" s="14"/>
      <c r="J209" s="14"/>
      <c r="K209" s="14"/>
      <c r="L209" s="14"/>
      <c r="M209" s="14"/>
      <c r="N209" s="188"/>
      <c r="O209" s="14"/>
      <c r="P209" s="14"/>
      <c r="Q209" s="14"/>
      <c r="R209" s="14"/>
      <c r="S209" s="14"/>
      <c r="T209" s="14"/>
      <c r="U209" s="14"/>
      <c r="V209" s="14"/>
      <c r="W209" s="14"/>
      <c r="X209" s="188"/>
    </row>
    <row r="210" spans="1:34" s="1" customFormat="1">
      <c r="A210" s="1" t="s">
        <v>405</v>
      </c>
      <c r="B210" s="13"/>
      <c r="C210" s="346">
        <f>SUM(C211:C212)</f>
        <v>0</v>
      </c>
      <c r="D210" s="346">
        <f t="shared" ref="D210:AH210" si="117">SUM(D211:D212)</f>
        <v>0</v>
      </c>
      <c r="E210" s="346">
        <f t="shared" si="117"/>
        <v>0</v>
      </c>
      <c r="F210" s="346">
        <f t="shared" si="117"/>
        <v>0</v>
      </c>
      <c r="G210" s="346">
        <f t="shared" si="117"/>
        <v>0</v>
      </c>
      <c r="H210" s="411">
        <f t="shared" si="117"/>
        <v>0</v>
      </c>
      <c r="I210" s="15">
        <f t="shared" si="117"/>
        <v>0</v>
      </c>
      <c r="J210" s="15">
        <f t="shared" si="117"/>
        <v>0</v>
      </c>
      <c r="K210" s="15">
        <f t="shared" si="117"/>
        <v>0</v>
      </c>
      <c r="L210" s="15">
        <f t="shared" si="117"/>
        <v>0</v>
      </c>
      <c r="M210" s="15">
        <f t="shared" si="117"/>
        <v>0</v>
      </c>
      <c r="N210" s="191">
        <f t="shared" si="117"/>
        <v>0</v>
      </c>
      <c r="O210" s="15">
        <f>SUM(O211:O212)</f>
        <v>0</v>
      </c>
      <c r="P210" s="15">
        <f t="shared" si="117"/>
        <v>0</v>
      </c>
      <c r="Q210" s="15">
        <f t="shared" si="117"/>
        <v>0</v>
      </c>
      <c r="R210" s="15">
        <f t="shared" si="117"/>
        <v>0</v>
      </c>
      <c r="S210" s="15">
        <f t="shared" si="117"/>
        <v>0</v>
      </c>
      <c r="T210" s="15">
        <f t="shared" si="117"/>
        <v>0</v>
      </c>
      <c r="U210" s="15">
        <f t="shared" si="117"/>
        <v>0</v>
      </c>
      <c r="V210" s="15">
        <f t="shared" si="117"/>
        <v>0</v>
      </c>
      <c r="W210" s="15">
        <f t="shared" si="117"/>
        <v>0</v>
      </c>
      <c r="X210" s="191">
        <f t="shared" si="117"/>
        <v>0</v>
      </c>
      <c r="Y210" s="131">
        <f t="shared" si="117"/>
        <v>0</v>
      </c>
      <c r="Z210" s="131">
        <f t="shared" si="117"/>
        <v>0</v>
      </c>
      <c r="AA210" s="131">
        <f t="shared" si="117"/>
        <v>0</v>
      </c>
      <c r="AB210" s="131">
        <f t="shared" si="117"/>
        <v>0</v>
      </c>
      <c r="AC210" s="131">
        <f t="shared" si="117"/>
        <v>0</v>
      </c>
      <c r="AD210" s="131">
        <f t="shared" si="117"/>
        <v>0</v>
      </c>
      <c r="AE210" s="131">
        <f t="shared" si="117"/>
        <v>0</v>
      </c>
      <c r="AF210" s="131">
        <f t="shared" si="117"/>
        <v>0</v>
      </c>
      <c r="AG210" s="131">
        <f t="shared" si="117"/>
        <v>0</v>
      </c>
      <c r="AH210" s="191">
        <f t="shared" si="117"/>
        <v>0</v>
      </c>
    </row>
    <row r="211" spans="1:34">
      <c r="A211" t="s">
        <v>406</v>
      </c>
      <c r="C211" s="336">
        <f>C100</f>
        <v>0</v>
      </c>
      <c r="D211" s="336">
        <f t="shared" ref="D211:AH211" si="118">D100</f>
        <v>0</v>
      </c>
      <c r="E211" s="336">
        <f t="shared" si="118"/>
        <v>0</v>
      </c>
      <c r="F211" s="336">
        <f t="shared" si="118"/>
        <v>0</v>
      </c>
      <c r="G211" s="336">
        <f t="shared" si="118"/>
        <v>0</v>
      </c>
      <c r="H211" s="408">
        <f t="shared" si="118"/>
        <v>0</v>
      </c>
      <c r="I211" s="14">
        <f t="shared" si="118"/>
        <v>0</v>
      </c>
      <c r="J211" s="14">
        <f t="shared" si="118"/>
        <v>0</v>
      </c>
      <c r="K211" s="14">
        <f t="shared" si="118"/>
        <v>0</v>
      </c>
      <c r="L211" s="14">
        <f t="shared" si="118"/>
        <v>0</v>
      </c>
      <c r="M211" s="14">
        <f t="shared" si="118"/>
        <v>0</v>
      </c>
      <c r="N211" s="188">
        <f t="shared" si="118"/>
        <v>0</v>
      </c>
      <c r="O211" s="14">
        <f>O100</f>
        <v>0</v>
      </c>
      <c r="P211" s="14">
        <f t="shared" si="118"/>
        <v>0</v>
      </c>
      <c r="Q211" s="14">
        <f t="shared" si="118"/>
        <v>0</v>
      </c>
      <c r="R211" s="14">
        <f t="shared" si="118"/>
        <v>0</v>
      </c>
      <c r="S211" s="14">
        <f t="shared" si="118"/>
        <v>0</v>
      </c>
      <c r="T211" s="14">
        <f t="shared" si="118"/>
        <v>0</v>
      </c>
      <c r="U211" s="14">
        <f t="shared" si="118"/>
        <v>0</v>
      </c>
      <c r="V211" s="14">
        <f t="shared" si="118"/>
        <v>0</v>
      </c>
      <c r="W211" s="14">
        <f t="shared" si="118"/>
        <v>0</v>
      </c>
      <c r="X211" s="188">
        <f t="shared" si="118"/>
        <v>0</v>
      </c>
      <c r="Y211" s="159">
        <f t="shared" si="118"/>
        <v>0</v>
      </c>
      <c r="Z211" s="159">
        <f t="shared" si="118"/>
        <v>0</v>
      </c>
      <c r="AA211" s="159">
        <f t="shared" si="118"/>
        <v>0</v>
      </c>
      <c r="AB211" s="159">
        <f t="shared" si="118"/>
        <v>0</v>
      </c>
      <c r="AC211" s="159">
        <f t="shared" si="118"/>
        <v>0</v>
      </c>
      <c r="AD211" s="159">
        <f t="shared" si="118"/>
        <v>0</v>
      </c>
      <c r="AE211" s="159">
        <f t="shared" si="118"/>
        <v>0</v>
      </c>
      <c r="AF211" s="159">
        <f t="shared" si="118"/>
        <v>0</v>
      </c>
      <c r="AG211" s="159">
        <f t="shared" si="118"/>
        <v>0</v>
      </c>
      <c r="AH211" s="188">
        <f t="shared" si="118"/>
        <v>0</v>
      </c>
    </row>
    <row r="212" spans="1:34">
      <c r="A212" t="s">
        <v>407</v>
      </c>
      <c r="C212" s="336">
        <f>C127</f>
        <v>0</v>
      </c>
      <c r="D212" s="336">
        <f t="shared" ref="D212:AH212" si="119">D127</f>
        <v>0</v>
      </c>
      <c r="E212" s="336">
        <f t="shared" si="119"/>
        <v>0</v>
      </c>
      <c r="F212" s="336">
        <f t="shared" si="119"/>
        <v>0</v>
      </c>
      <c r="G212" s="336">
        <f t="shared" si="119"/>
        <v>0</v>
      </c>
      <c r="H212" s="408">
        <f t="shared" si="119"/>
        <v>0</v>
      </c>
      <c r="I212" s="14">
        <f t="shared" si="119"/>
        <v>0</v>
      </c>
      <c r="J212" s="14">
        <f t="shared" si="119"/>
        <v>0</v>
      </c>
      <c r="K212" s="14">
        <f t="shared" si="119"/>
        <v>0</v>
      </c>
      <c r="L212" s="14">
        <f t="shared" si="119"/>
        <v>0</v>
      </c>
      <c r="M212" s="14">
        <f t="shared" si="119"/>
        <v>0</v>
      </c>
      <c r="N212" s="188">
        <f t="shared" si="119"/>
        <v>0</v>
      </c>
      <c r="O212" s="14">
        <f>O127</f>
        <v>0</v>
      </c>
      <c r="P212" s="14">
        <f t="shared" si="119"/>
        <v>0</v>
      </c>
      <c r="Q212" s="14">
        <f t="shared" si="119"/>
        <v>0</v>
      </c>
      <c r="R212" s="14">
        <f t="shared" si="119"/>
        <v>0</v>
      </c>
      <c r="S212" s="14">
        <f t="shared" si="119"/>
        <v>0</v>
      </c>
      <c r="T212" s="14">
        <f t="shared" si="119"/>
        <v>0</v>
      </c>
      <c r="U212" s="14">
        <f t="shared" si="119"/>
        <v>0</v>
      </c>
      <c r="V212" s="14">
        <f t="shared" si="119"/>
        <v>0</v>
      </c>
      <c r="W212" s="14">
        <f t="shared" si="119"/>
        <v>0</v>
      </c>
      <c r="X212" s="188">
        <f t="shared" si="119"/>
        <v>0</v>
      </c>
      <c r="Y212" s="159">
        <f t="shared" si="119"/>
        <v>0</v>
      </c>
      <c r="Z212" s="159">
        <f t="shared" si="119"/>
        <v>0</v>
      </c>
      <c r="AA212" s="159">
        <f t="shared" si="119"/>
        <v>0</v>
      </c>
      <c r="AB212" s="159">
        <f t="shared" si="119"/>
        <v>0</v>
      </c>
      <c r="AC212" s="159">
        <f t="shared" si="119"/>
        <v>0</v>
      </c>
      <c r="AD212" s="159">
        <f t="shared" si="119"/>
        <v>0</v>
      </c>
      <c r="AE212" s="159">
        <f t="shared" si="119"/>
        <v>0</v>
      </c>
      <c r="AF212" s="159">
        <f t="shared" si="119"/>
        <v>0</v>
      </c>
      <c r="AG212" s="159">
        <f t="shared" si="119"/>
        <v>0</v>
      </c>
      <c r="AH212" s="188">
        <f t="shared" si="119"/>
        <v>0</v>
      </c>
    </row>
    <row r="213" spans="1:34" s="1" customFormat="1">
      <c r="A213" s="1" t="s">
        <v>393</v>
      </c>
      <c r="B213" s="13"/>
      <c r="C213" s="346">
        <f>SUM(C214:C215)</f>
        <v>927.32354859999987</v>
      </c>
      <c r="D213" s="346">
        <f t="shared" ref="D213:AH213" si="120">SUM(D214:D215)</f>
        <v>1133.3237284240856</v>
      </c>
      <c r="E213" s="346">
        <f t="shared" si="120"/>
        <v>981.18069683631586</v>
      </c>
      <c r="F213" s="346">
        <f t="shared" si="120"/>
        <v>1298.9413966452703</v>
      </c>
      <c r="G213" s="346">
        <f t="shared" si="120"/>
        <v>1792.6676926380296</v>
      </c>
      <c r="H213" s="411">
        <f t="shared" si="120"/>
        <v>1477.9763426</v>
      </c>
      <c r="I213" s="15">
        <f t="shared" si="120"/>
        <v>2508.1388632928129</v>
      </c>
      <c r="J213" s="15">
        <f t="shared" si="120"/>
        <v>3189.810319286109</v>
      </c>
      <c r="K213" s="15">
        <f t="shared" si="120"/>
        <v>3235.4735622662238</v>
      </c>
      <c r="L213" s="15">
        <f t="shared" si="120"/>
        <v>3312.3989301722513</v>
      </c>
      <c r="M213" s="15">
        <f t="shared" si="120"/>
        <v>3896.0741547517223</v>
      </c>
      <c r="N213" s="191">
        <f t="shared" si="120"/>
        <v>4832.7226481442704</v>
      </c>
      <c r="O213" s="15">
        <f t="shared" si="120"/>
        <v>4919.7589653602627</v>
      </c>
      <c r="P213" s="15">
        <f t="shared" si="120"/>
        <v>5145.819770852946</v>
      </c>
      <c r="Q213" s="15">
        <f t="shared" si="120"/>
        <v>5304.4384369921681</v>
      </c>
      <c r="R213" s="15">
        <f t="shared" si="120"/>
        <v>5510.2422886395925</v>
      </c>
      <c r="S213" s="15">
        <f t="shared" si="120"/>
        <v>5724.4709802272773</v>
      </c>
      <c r="T213" s="15">
        <f t="shared" si="120"/>
        <v>5992.2172322206688</v>
      </c>
      <c r="U213" s="15">
        <f t="shared" si="120"/>
        <v>6224.0516328218073</v>
      </c>
      <c r="V213" s="15">
        <f t="shared" si="120"/>
        <v>6515.2723827886075</v>
      </c>
      <c r="W213" s="15">
        <f t="shared" si="120"/>
        <v>6741.0869358727759</v>
      </c>
      <c r="X213" s="191">
        <f t="shared" si="120"/>
        <v>6966.8060138132514</v>
      </c>
      <c r="Y213" s="131">
        <f t="shared" si="120"/>
        <v>7144.5469115425512</v>
      </c>
      <c r="Z213" s="131">
        <f t="shared" si="120"/>
        <v>7176.8144253447881</v>
      </c>
      <c r="AA213" s="131">
        <f t="shared" si="120"/>
        <v>7357.4440014077427</v>
      </c>
      <c r="AB213" s="131">
        <f t="shared" si="120"/>
        <v>7503.5570420365566</v>
      </c>
      <c r="AC213" s="131">
        <f t="shared" si="120"/>
        <v>7696.8973314327995</v>
      </c>
      <c r="AD213" s="131">
        <f t="shared" si="120"/>
        <v>7888.5814340332163</v>
      </c>
      <c r="AE213" s="131">
        <f t="shared" si="120"/>
        <v>8036.5827920188221</v>
      </c>
      <c r="AF213" s="131">
        <f t="shared" si="120"/>
        <v>8336.5796574655378</v>
      </c>
      <c r="AG213" s="131">
        <f t="shared" si="120"/>
        <v>8537.4584661309127</v>
      </c>
      <c r="AH213" s="191">
        <f t="shared" si="120"/>
        <v>8798.9621015078174</v>
      </c>
    </row>
    <row r="214" spans="1:34">
      <c r="A214" t="s">
        <v>394</v>
      </c>
      <c r="C214" s="336">
        <f>C115</f>
        <v>488.06502699999993</v>
      </c>
      <c r="D214" s="336">
        <f t="shared" ref="D214:AH214" si="121">D115</f>
        <v>596.48617453776228</v>
      </c>
      <c r="E214" s="336">
        <f t="shared" si="121"/>
        <v>516.41089449279787</v>
      </c>
      <c r="F214" s="336">
        <f t="shared" si="121"/>
        <v>683.65336812684109</v>
      </c>
      <c r="G214" s="336">
        <f t="shared" si="121"/>
        <v>943.50931361725713</v>
      </c>
      <c r="H214" s="408">
        <f t="shared" si="121"/>
        <v>777.88228700000002</v>
      </c>
      <c r="I214" s="14">
        <f t="shared" si="121"/>
        <v>1320.0730875348647</v>
      </c>
      <c r="J214" s="14">
        <f t="shared" si="121"/>
        <v>1678.8475381520402</v>
      </c>
      <c r="K214" s="14">
        <f t="shared" si="121"/>
        <v>1702.8808240094559</v>
      </c>
      <c r="L214" s="14">
        <f t="shared" si="121"/>
        <v>1743.3678598910763</v>
      </c>
      <c r="M214" s="14">
        <f t="shared" si="121"/>
        <v>2050.5653466610429</v>
      </c>
      <c r="N214" s="183">
        <f t="shared" si="121"/>
        <v>2543.53823808581</v>
      </c>
      <c r="O214" s="14">
        <f t="shared" si="121"/>
        <v>2589.3468261342164</v>
      </c>
      <c r="P214" s="14">
        <f t="shared" si="121"/>
        <v>2708.3261975500186</v>
      </c>
      <c r="Q214" s="14">
        <f t="shared" si="121"/>
        <v>2791.8097061172239</v>
      </c>
      <c r="R214" s="14">
        <f t="shared" si="121"/>
        <v>2900.1275228683203</v>
      </c>
      <c r="S214" s="14">
        <f t="shared" si="121"/>
        <v>3012.8794659076348</v>
      </c>
      <c r="T214" s="14">
        <f t="shared" si="121"/>
        <v>3153.798546027173</v>
      </c>
      <c r="U214" s="14">
        <f t="shared" si="121"/>
        <v>3275.8166517132358</v>
      </c>
      <c r="V214" s="14">
        <f t="shared" si="121"/>
        <v>3429.090730776933</v>
      </c>
      <c r="W214" s="14">
        <f t="shared" si="121"/>
        <v>3547.9404956618255</v>
      </c>
      <c r="X214" s="188">
        <f t="shared" si="121"/>
        <v>3666.7400104710459</v>
      </c>
      <c r="Y214" s="159">
        <f t="shared" si="121"/>
        <v>3760.2878514628674</v>
      </c>
      <c r="Z214" s="159">
        <f t="shared" si="121"/>
        <v>3777.2707534788697</v>
      </c>
      <c r="AA214" s="159">
        <f t="shared" si="121"/>
        <v>3872.3389514897312</v>
      </c>
      <c r="AB214" s="159">
        <f t="shared" si="121"/>
        <v>3949.2405518878177</v>
      </c>
      <c r="AC214" s="159">
        <f t="shared" si="121"/>
        <v>4050.998599027303</v>
      </c>
      <c r="AD214" s="159">
        <f t="shared" si="121"/>
        <v>4151.8849689050658</v>
      </c>
      <c r="AE214" s="159">
        <f t="shared" si="121"/>
        <v>4229.7804205444363</v>
      </c>
      <c r="AF214" s="159">
        <f t="shared" si="121"/>
        <v>4387.6735077594894</v>
      </c>
      <c r="AG214" s="159">
        <f t="shared" si="121"/>
        <v>4493.3991966230342</v>
      </c>
      <c r="AH214" s="188">
        <f t="shared" si="121"/>
        <v>4631.0326890468159</v>
      </c>
    </row>
    <row r="215" spans="1:34">
      <c r="A215" t="s">
        <v>395</v>
      </c>
      <c r="C215" s="336">
        <f>C142</f>
        <v>439.25852159999999</v>
      </c>
      <c r="D215" s="336">
        <f t="shared" ref="D215:AH215" si="122">D142</f>
        <v>536.83755388632335</v>
      </c>
      <c r="E215" s="336">
        <f t="shared" si="122"/>
        <v>464.76980234351799</v>
      </c>
      <c r="F215" s="336">
        <f t="shared" si="122"/>
        <v>615.2880285184292</v>
      </c>
      <c r="G215" s="336">
        <f t="shared" si="122"/>
        <v>849.15837902077237</v>
      </c>
      <c r="H215" s="408">
        <f t="shared" si="122"/>
        <v>700.09405560000005</v>
      </c>
      <c r="I215" s="14">
        <f t="shared" si="122"/>
        <v>1188.0657757579479</v>
      </c>
      <c r="J215" s="14">
        <f t="shared" si="122"/>
        <v>1510.962781134069</v>
      </c>
      <c r="K215" s="14">
        <f t="shared" si="122"/>
        <v>1532.5927382567679</v>
      </c>
      <c r="L215" s="14">
        <f t="shared" si="122"/>
        <v>1569.0310702811753</v>
      </c>
      <c r="M215" s="14">
        <f t="shared" si="122"/>
        <v>1845.5088080906794</v>
      </c>
      <c r="N215" s="183">
        <f t="shared" si="122"/>
        <v>2289.1844100584603</v>
      </c>
      <c r="O215" s="14">
        <f t="shared" si="122"/>
        <v>2330.4121392260467</v>
      </c>
      <c r="P215" s="14">
        <f t="shared" si="122"/>
        <v>2437.493573302927</v>
      </c>
      <c r="Q215" s="14">
        <f t="shared" si="122"/>
        <v>2512.6287308749447</v>
      </c>
      <c r="R215" s="14">
        <f t="shared" si="122"/>
        <v>2610.1147657712727</v>
      </c>
      <c r="S215" s="14">
        <f t="shared" si="122"/>
        <v>2711.591514319643</v>
      </c>
      <c r="T215" s="14">
        <f t="shared" si="122"/>
        <v>2838.4186861934959</v>
      </c>
      <c r="U215" s="14">
        <f t="shared" si="122"/>
        <v>2948.234981108571</v>
      </c>
      <c r="V215" s="14">
        <f t="shared" si="122"/>
        <v>3086.1816520116745</v>
      </c>
      <c r="W215" s="14">
        <f t="shared" si="122"/>
        <v>3193.1464402109505</v>
      </c>
      <c r="X215" s="188">
        <f t="shared" si="122"/>
        <v>3300.0660033422059</v>
      </c>
      <c r="Y215" s="159">
        <f t="shared" si="122"/>
        <v>3384.2590600796843</v>
      </c>
      <c r="Z215" s="159">
        <f t="shared" si="122"/>
        <v>3399.5436718659184</v>
      </c>
      <c r="AA215" s="159">
        <f t="shared" si="122"/>
        <v>3485.1050499180114</v>
      </c>
      <c r="AB215" s="159">
        <f t="shared" si="122"/>
        <v>3554.3164901487385</v>
      </c>
      <c r="AC215" s="159">
        <f t="shared" si="122"/>
        <v>3645.898732405497</v>
      </c>
      <c r="AD215" s="159">
        <f t="shared" si="122"/>
        <v>3736.696465128151</v>
      </c>
      <c r="AE215" s="159">
        <f t="shared" si="122"/>
        <v>3806.8023714743858</v>
      </c>
      <c r="AF215" s="159">
        <f t="shared" si="122"/>
        <v>3948.9061497060484</v>
      </c>
      <c r="AG215" s="159">
        <f t="shared" si="122"/>
        <v>4044.0592695078794</v>
      </c>
      <c r="AH215" s="188">
        <f t="shared" si="122"/>
        <v>4167.9294124610014</v>
      </c>
    </row>
    <row r="216" spans="1:34">
      <c r="A216" t="s">
        <v>396</v>
      </c>
      <c r="C216" s="336">
        <f>SUM(C217:C218)</f>
        <v>6203.3859715000017</v>
      </c>
      <c r="D216" s="336">
        <f t="shared" ref="D216:AH216" si="123">SUM(D217:D218)</f>
        <v>6629.0520574578413</v>
      </c>
      <c r="E216" s="336">
        <f t="shared" si="123"/>
        <v>4931.8737962435598</v>
      </c>
      <c r="F216" s="336">
        <f t="shared" si="123"/>
        <v>4704.3438615723935</v>
      </c>
      <c r="G216" s="336">
        <f t="shared" si="123"/>
        <v>4895.7346873766892</v>
      </c>
      <c r="H216" s="408">
        <f t="shared" si="123"/>
        <v>3755.0733885</v>
      </c>
      <c r="I216" s="14">
        <f t="shared" si="123"/>
        <v>3941.8801683557476</v>
      </c>
      <c r="J216" s="14">
        <f t="shared" si="123"/>
        <v>3914.3106008722862</v>
      </c>
      <c r="K216" s="14">
        <f t="shared" si="123"/>
        <v>3839.7680122197444</v>
      </c>
      <c r="L216" s="14">
        <f t="shared" si="123"/>
        <v>3887.9514388309681</v>
      </c>
      <c r="M216" s="14">
        <f t="shared" si="123"/>
        <v>3929.3165867232028</v>
      </c>
      <c r="N216" s="191">
        <f t="shared" si="123"/>
        <v>3979.2786704999999</v>
      </c>
      <c r="O216" s="14">
        <f t="shared" si="123"/>
        <v>3906.5084765953929</v>
      </c>
      <c r="P216" s="14">
        <f t="shared" si="123"/>
        <v>3940.0988266455715</v>
      </c>
      <c r="Q216" s="14">
        <f t="shared" si="123"/>
        <v>3916.2851980028536</v>
      </c>
      <c r="R216" s="14">
        <f t="shared" si="123"/>
        <v>3922.4942281136855</v>
      </c>
      <c r="S216" s="15">
        <f t="shared" si="123"/>
        <v>3928.779574682565</v>
      </c>
      <c r="T216" s="14">
        <f t="shared" si="123"/>
        <v>3964.7344229337623</v>
      </c>
      <c r="U216" s="14">
        <f t="shared" si="123"/>
        <v>3969.8777061509145</v>
      </c>
      <c r="V216" s="14">
        <f t="shared" si="123"/>
        <v>4005.7756515382807</v>
      </c>
      <c r="W216" s="14">
        <f t="shared" si="123"/>
        <v>3994.9040650324719</v>
      </c>
      <c r="X216" s="188">
        <f t="shared" si="123"/>
        <v>3979.2786704999994</v>
      </c>
      <c r="Y216" s="159">
        <f t="shared" si="123"/>
        <v>3986.6456578809566</v>
      </c>
      <c r="Z216" s="159">
        <f t="shared" si="123"/>
        <v>3912.2491867343288</v>
      </c>
      <c r="AA216" s="159">
        <f t="shared" si="123"/>
        <v>3918.1688267227578</v>
      </c>
      <c r="AB216" s="159">
        <f t="shared" si="123"/>
        <v>3903.7706419308934</v>
      </c>
      <c r="AC216" s="159">
        <f t="shared" si="123"/>
        <v>3911.9496967595951</v>
      </c>
      <c r="AD216" s="159">
        <f t="shared" si="123"/>
        <v>3916.8458526940694</v>
      </c>
      <c r="AE216" s="159">
        <f t="shared" si="123"/>
        <v>3898.2395613785561</v>
      </c>
      <c r="AF216" s="159">
        <f t="shared" si="123"/>
        <v>3950.4273060645855</v>
      </c>
      <c r="AG216" s="159">
        <f t="shared" si="123"/>
        <v>3952.2406095369779</v>
      </c>
      <c r="AH216" s="188">
        <f t="shared" si="123"/>
        <v>3979.2786704999994</v>
      </c>
    </row>
    <row r="217" spans="1:34">
      <c r="A217" t="s">
        <v>397</v>
      </c>
      <c r="C217" s="336">
        <f>C114</f>
        <v>3264.9399850000004</v>
      </c>
      <c r="D217" s="336">
        <f t="shared" ref="D217:AH217" si="124">D114</f>
        <v>3488.9747670830743</v>
      </c>
      <c r="E217" s="336">
        <f t="shared" si="124"/>
        <v>2595.7230506545052</v>
      </c>
      <c r="F217" s="336">
        <f t="shared" si="124"/>
        <v>2475.9704534591547</v>
      </c>
      <c r="G217" s="336">
        <f t="shared" si="124"/>
        <v>2576.7024670403625</v>
      </c>
      <c r="H217" s="408">
        <f t="shared" si="124"/>
        <v>1976.354415</v>
      </c>
      <c r="I217" s="14">
        <f t="shared" si="124"/>
        <v>2074.6737728188145</v>
      </c>
      <c r="J217" s="14">
        <f t="shared" si="124"/>
        <v>2060.1634741433086</v>
      </c>
      <c r="K217" s="14">
        <f t="shared" si="124"/>
        <v>2020.9305327472339</v>
      </c>
      <c r="L217" s="14">
        <f t="shared" si="124"/>
        <v>2046.2902309636675</v>
      </c>
      <c r="M217" s="14">
        <f t="shared" si="124"/>
        <v>2068.0613614332647</v>
      </c>
      <c r="N217" s="188">
        <f t="shared" si="124"/>
        <v>2094.357195</v>
      </c>
      <c r="O217" s="14">
        <f t="shared" si="124"/>
        <v>2056.0570929449436</v>
      </c>
      <c r="P217" s="14">
        <f t="shared" si="124"/>
        <v>2073.7362245503009</v>
      </c>
      <c r="Q217" s="14">
        <f t="shared" si="124"/>
        <v>2061.2027357909756</v>
      </c>
      <c r="R217" s="14">
        <f t="shared" si="124"/>
        <v>2064.4706463756238</v>
      </c>
      <c r="S217" s="14">
        <f t="shared" si="124"/>
        <v>2067.7787235171395</v>
      </c>
      <c r="T217" s="14">
        <f t="shared" si="124"/>
        <v>2086.7023278598749</v>
      </c>
      <c r="U217" s="14">
        <f t="shared" si="124"/>
        <v>2089.4093190267972</v>
      </c>
      <c r="V217" s="14">
        <f t="shared" si="124"/>
        <v>2108.3029744938322</v>
      </c>
      <c r="W217" s="14">
        <f t="shared" si="124"/>
        <v>2102.5810868591957</v>
      </c>
      <c r="X217" s="188">
        <f t="shared" si="124"/>
        <v>2094.3571949999996</v>
      </c>
      <c r="Y217" s="159">
        <f t="shared" si="124"/>
        <v>2098.2345567794509</v>
      </c>
      <c r="Z217" s="159">
        <f t="shared" si="124"/>
        <v>2059.0785193338575</v>
      </c>
      <c r="AA217" s="159">
        <f t="shared" si="124"/>
        <v>2062.1941193277671</v>
      </c>
      <c r="AB217" s="159">
        <f t="shared" si="124"/>
        <v>2054.616127332049</v>
      </c>
      <c r="AC217" s="159">
        <f t="shared" si="124"/>
        <v>2058.9208930313657</v>
      </c>
      <c r="AD217" s="159">
        <f t="shared" si="124"/>
        <v>2061.4978172074048</v>
      </c>
      <c r="AE217" s="159">
        <f t="shared" si="124"/>
        <v>2051.7050323045032</v>
      </c>
      <c r="AF217" s="159">
        <f t="shared" si="124"/>
        <v>2079.1722663497817</v>
      </c>
      <c r="AG217" s="159">
        <f t="shared" si="124"/>
        <v>2080.1266365984093</v>
      </c>
      <c r="AH217" s="188">
        <f t="shared" si="124"/>
        <v>2094.3571949999996</v>
      </c>
    </row>
    <row r="218" spans="1:34">
      <c r="A218" t="s">
        <v>398</v>
      </c>
      <c r="C218" s="336">
        <f>C141</f>
        <v>2938.4459865000008</v>
      </c>
      <c r="D218" s="336">
        <f t="shared" ref="D218:AH218" si="125">D141</f>
        <v>3140.077290374767</v>
      </c>
      <c r="E218" s="336">
        <f t="shared" si="125"/>
        <v>2336.1507455890546</v>
      </c>
      <c r="F218" s="336">
        <f t="shared" si="125"/>
        <v>2228.3734081132393</v>
      </c>
      <c r="G218" s="336">
        <f t="shared" si="125"/>
        <v>2319.0322203363262</v>
      </c>
      <c r="H218" s="408">
        <f t="shared" si="125"/>
        <v>1778.7189735000002</v>
      </c>
      <c r="I218" s="14">
        <f t="shared" si="125"/>
        <v>1867.2063955369333</v>
      </c>
      <c r="J218" s="14">
        <f t="shared" si="125"/>
        <v>1854.1471267289776</v>
      </c>
      <c r="K218" s="14">
        <f t="shared" si="125"/>
        <v>1818.8374794725107</v>
      </c>
      <c r="L218" s="14">
        <f t="shared" si="125"/>
        <v>1841.6612078673008</v>
      </c>
      <c r="M218" s="14">
        <f t="shared" si="125"/>
        <v>1861.2552252899382</v>
      </c>
      <c r="N218" s="188">
        <f t="shared" si="125"/>
        <v>1884.9214755</v>
      </c>
      <c r="O218" s="14">
        <f t="shared" si="125"/>
        <v>1850.4513836504493</v>
      </c>
      <c r="P218" s="14">
        <f t="shared" si="125"/>
        <v>1866.3626020952709</v>
      </c>
      <c r="Q218" s="14">
        <f t="shared" si="125"/>
        <v>1855.082462211878</v>
      </c>
      <c r="R218" s="14">
        <f t="shared" si="125"/>
        <v>1858.0235817380615</v>
      </c>
      <c r="S218" s="14">
        <f t="shared" si="125"/>
        <v>1861.0008511654257</v>
      </c>
      <c r="T218" s="14">
        <f t="shared" si="125"/>
        <v>1878.0320950738876</v>
      </c>
      <c r="U218" s="14">
        <f t="shared" si="125"/>
        <v>1880.4683871241175</v>
      </c>
      <c r="V218" s="14">
        <f t="shared" si="125"/>
        <v>1897.4726770444488</v>
      </c>
      <c r="W218" s="14">
        <f t="shared" si="125"/>
        <v>1892.3229781732762</v>
      </c>
      <c r="X218" s="188">
        <f t="shared" si="125"/>
        <v>1884.9214754999998</v>
      </c>
      <c r="Y218" s="159">
        <f t="shared" si="125"/>
        <v>1888.4111011015057</v>
      </c>
      <c r="Z218" s="159">
        <f t="shared" si="125"/>
        <v>1853.1706674004715</v>
      </c>
      <c r="AA218" s="159">
        <f t="shared" si="125"/>
        <v>1855.9747073949907</v>
      </c>
      <c r="AB218" s="159">
        <f t="shared" si="125"/>
        <v>1849.1545145988443</v>
      </c>
      <c r="AC218" s="159">
        <f t="shared" si="125"/>
        <v>1853.0288037282291</v>
      </c>
      <c r="AD218" s="159">
        <f t="shared" si="125"/>
        <v>1855.3480354866645</v>
      </c>
      <c r="AE218" s="159">
        <f t="shared" si="125"/>
        <v>1846.5345290740529</v>
      </c>
      <c r="AF218" s="159">
        <f t="shared" si="125"/>
        <v>1871.2550397148036</v>
      </c>
      <c r="AG218" s="159">
        <f t="shared" si="125"/>
        <v>1872.1139729385684</v>
      </c>
      <c r="AH218" s="188">
        <f t="shared" si="125"/>
        <v>1884.9214754999998</v>
      </c>
    </row>
    <row r="219" spans="1:34" s="1" customFormat="1">
      <c r="A219" s="1" t="s">
        <v>390</v>
      </c>
      <c r="B219" s="13"/>
      <c r="C219" s="346">
        <f>SUM(C220:C221)</f>
        <v>15732.036099999998</v>
      </c>
      <c r="D219" s="346">
        <f t="shared" ref="D219:AH219" si="126">SUM(D220:D221)</f>
        <v>17459.864453134207</v>
      </c>
      <c r="E219" s="346">
        <f t="shared" si="126"/>
        <v>13641.902417951715</v>
      </c>
      <c r="F219" s="346">
        <f t="shared" si="126"/>
        <v>13322.086013429689</v>
      </c>
      <c r="G219" s="346">
        <f t="shared" si="126"/>
        <v>14222.70938432131</v>
      </c>
      <c r="H219" s="411">
        <f t="shared" si="126"/>
        <v>16373.762030999998</v>
      </c>
      <c r="I219" s="15">
        <f t="shared" si="126"/>
        <v>16417.831363105404</v>
      </c>
      <c r="J219" s="15">
        <f t="shared" si="126"/>
        <v>15719.111030520411</v>
      </c>
      <c r="K219" s="15">
        <f t="shared" si="126"/>
        <v>15212.526172490343</v>
      </c>
      <c r="L219" s="15">
        <f t="shared" si="126"/>
        <v>15237.936814884828</v>
      </c>
      <c r="M219" s="15">
        <f t="shared" si="126"/>
        <v>14904.707327758721</v>
      </c>
      <c r="N219" s="191">
        <f t="shared" si="126"/>
        <v>14380.292087700003</v>
      </c>
      <c r="O219" s="15">
        <f t="shared" si="126"/>
        <v>14158.870781072052</v>
      </c>
      <c r="P219" s="15">
        <f t="shared" si="126"/>
        <v>14319.086361139309</v>
      </c>
      <c r="Q219" s="15">
        <f t="shared" si="126"/>
        <v>14269.029233137077</v>
      </c>
      <c r="R219" s="15">
        <f t="shared" si="126"/>
        <v>14325.074137325373</v>
      </c>
      <c r="S219" s="15">
        <f t="shared" si="126"/>
        <v>14378.805098250952</v>
      </c>
      <c r="T219" s="15">
        <f t="shared" si="126"/>
        <v>14539.657825661327</v>
      </c>
      <c r="U219" s="15">
        <f t="shared" si="126"/>
        <v>14585.275875893109</v>
      </c>
      <c r="V219" s="15">
        <f t="shared" si="126"/>
        <v>14741.349496135248</v>
      </c>
      <c r="W219" s="15">
        <f t="shared" si="126"/>
        <v>14722.676605841061</v>
      </c>
      <c r="X219" s="191">
        <f t="shared" si="126"/>
        <v>14683.136139099999</v>
      </c>
      <c r="Y219" s="131">
        <f t="shared" si="126"/>
        <v>14627.814799093361</v>
      </c>
      <c r="Z219" s="131">
        <f t="shared" si="126"/>
        <v>14271.782015029061</v>
      </c>
      <c r="AA219" s="131">
        <f t="shared" si="126"/>
        <v>14207.436652236051</v>
      </c>
      <c r="AB219" s="131">
        <f t="shared" si="126"/>
        <v>14067.169268971531</v>
      </c>
      <c r="AC219" s="131">
        <f t="shared" si="126"/>
        <v>14005.739561688602</v>
      </c>
      <c r="AD219" s="131">
        <f t="shared" si="126"/>
        <v>13929.63627665077</v>
      </c>
      <c r="AE219" s="131">
        <f t="shared" si="126"/>
        <v>13767.642621862979</v>
      </c>
      <c r="AF219" s="131">
        <f t="shared" si="126"/>
        <v>13851.822105214924</v>
      </c>
      <c r="AG219" s="131">
        <f t="shared" si="126"/>
        <v>13755.327772278277</v>
      </c>
      <c r="AH219" s="191">
        <f t="shared" si="126"/>
        <v>13742.814510149999</v>
      </c>
    </row>
    <row r="220" spans="1:34">
      <c r="A220" t="s">
        <v>399</v>
      </c>
      <c r="C220" s="336">
        <f>SUM(C116:C117)</f>
        <v>8280.0189999999984</v>
      </c>
      <c r="D220" s="336">
        <f t="shared" ref="D220:AH220" si="127">SUM(D116:D117)</f>
        <v>9189.4023437548458</v>
      </c>
      <c r="E220" s="336">
        <f t="shared" si="127"/>
        <v>7179.9486410272184</v>
      </c>
      <c r="F220" s="336">
        <f t="shared" si="127"/>
        <v>7011.6242175945736</v>
      </c>
      <c r="G220" s="336">
        <f t="shared" si="127"/>
        <v>7485.6365180638468</v>
      </c>
      <c r="H220" s="408">
        <f t="shared" si="127"/>
        <v>8617.7694899999988</v>
      </c>
      <c r="I220" s="14">
        <f t="shared" si="127"/>
        <v>8640.9638753186337</v>
      </c>
      <c r="J220" s="14">
        <f t="shared" si="127"/>
        <v>8273.2163318528474</v>
      </c>
      <c r="K220" s="14">
        <f t="shared" si="127"/>
        <v>8006.5927223633389</v>
      </c>
      <c r="L220" s="14">
        <f t="shared" si="127"/>
        <v>8019.9667446762251</v>
      </c>
      <c r="M220" s="14">
        <f t="shared" si="127"/>
        <v>7844.5828040835368</v>
      </c>
      <c r="N220" s="188">
        <f t="shared" si="127"/>
        <v>7568.5747830000009</v>
      </c>
      <c r="O220" s="14">
        <f t="shared" si="127"/>
        <v>7452.0372531958164</v>
      </c>
      <c r="P220" s="14">
        <f t="shared" si="127"/>
        <v>7536.3612427048993</v>
      </c>
      <c r="Q220" s="14">
        <f t="shared" si="127"/>
        <v>7510.0153858616195</v>
      </c>
      <c r="R220" s="14">
        <f t="shared" si="127"/>
        <v>7539.5127038554592</v>
      </c>
      <c r="S220" s="14">
        <f t="shared" si="127"/>
        <v>7567.7921569741857</v>
      </c>
      <c r="T220" s="14">
        <f t="shared" si="127"/>
        <v>7652.451487190172</v>
      </c>
      <c r="U220" s="14">
        <f t="shared" si="127"/>
        <v>7676.4609873121617</v>
      </c>
      <c r="V220" s="14">
        <f t="shared" si="127"/>
        <v>7758.6049979659201</v>
      </c>
      <c r="W220" s="14">
        <f t="shared" si="127"/>
        <v>7748.7771609689789</v>
      </c>
      <c r="X220" s="188">
        <f t="shared" si="127"/>
        <v>7727.9663889999993</v>
      </c>
      <c r="Y220" s="159">
        <f t="shared" si="127"/>
        <v>7698.8498942596634</v>
      </c>
      <c r="Z220" s="159">
        <f t="shared" si="127"/>
        <v>7511.4642184363474</v>
      </c>
      <c r="AA220" s="159">
        <f t="shared" si="127"/>
        <v>7477.5982380189735</v>
      </c>
      <c r="AB220" s="159">
        <f t="shared" si="127"/>
        <v>7403.7732994587004</v>
      </c>
      <c r="AC220" s="159">
        <f t="shared" si="127"/>
        <v>7371.4418745729481</v>
      </c>
      <c r="AD220" s="159">
        <f t="shared" si="127"/>
        <v>7331.3875140267219</v>
      </c>
      <c r="AE220" s="159">
        <f t="shared" si="127"/>
        <v>7246.1276957173577</v>
      </c>
      <c r="AF220" s="159">
        <f t="shared" si="127"/>
        <v>7290.4326869552224</v>
      </c>
      <c r="AG220" s="159">
        <f t="shared" si="127"/>
        <v>7239.6461959359358</v>
      </c>
      <c r="AH220" s="188">
        <f t="shared" si="127"/>
        <v>7233.0602684999994</v>
      </c>
    </row>
    <row r="221" spans="1:34">
      <c r="A221" t="s">
        <v>400</v>
      </c>
      <c r="C221" s="336">
        <f>SUM(C143:C144)</f>
        <v>7452.0170999999991</v>
      </c>
      <c r="D221" s="336">
        <f t="shared" ref="D221:AH221" si="128">SUM(D143:D144)</f>
        <v>8270.4621093793612</v>
      </c>
      <c r="E221" s="336">
        <f t="shared" si="128"/>
        <v>6461.9537769244962</v>
      </c>
      <c r="F221" s="336">
        <f t="shared" si="128"/>
        <v>6310.4617958351164</v>
      </c>
      <c r="G221" s="336">
        <f t="shared" si="128"/>
        <v>6737.0728662574629</v>
      </c>
      <c r="H221" s="408">
        <f t="shared" si="128"/>
        <v>7755.9925410000005</v>
      </c>
      <c r="I221" s="14">
        <f t="shared" si="128"/>
        <v>7776.8674877867697</v>
      </c>
      <c r="J221" s="14">
        <f t="shared" si="128"/>
        <v>7445.8946986675637</v>
      </c>
      <c r="K221" s="14">
        <f t="shared" si="128"/>
        <v>7205.9334501270041</v>
      </c>
      <c r="L221" s="14">
        <f t="shared" si="128"/>
        <v>7217.9700702086029</v>
      </c>
      <c r="M221" s="14">
        <f t="shared" si="128"/>
        <v>7060.1245236751838</v>
      </c>
      <c r="N221" s="188">
        <f t="shared" si="128"/>
        <v>6811.7173047000015</v>
      </c>
      <c r="O221" s="14">
        <f t="shared" si="128"/>
        <v>6706.8335278762343</v>
      </c>
      <c r="P221" s="14">
        <f t="shared" si="128"/>
        <v>6782.7251184344095</v>
      </c>
      <c r="Q221" s="14">
        <f t="shared" si="128"/>
        <v>6759.0138472754579</v>
      </c>
      <c r="R221" s="14">
        <f t="shared" si="128"/>
        <v>6785.561433469913</v>
      </c>
      <c r="S221" s="14">
        <f t="shared" si="128"/>
        <v>6811.0129412767674</v>
      </c>
      <c r="T221" s="14">
        <f t="shared" si="128"/>
        <v>6887.2063384711546</v>
      </c>
      <c r="U221" s="14">
        <f t="shared" si="128"/>
        <v>6908.814888580946</v>
      </c>
      <c r="V221" s="14">
        <f t="shared" si="128"/>
        <v>6982.7444981693279</v>
      </c>
      <c r="W221" s="14">
        <f t="shared" si="128"/>
        <v>6973.8994448720814</v>
      </c>
      <c r="X221" s="188">
        <f t="shared" si="128"/>
        <v>6955.1697500999999</v>
      </c>
      <c r="Y221" s="159">
        <f t="shared" si="128"/>
        <v>6928.9649048336969</v>
      </c>
      <c r="Z221" s="159">
        <f t="shared" si="128"/>
        <v>6760.3177965927134</v>
      </c>
      <c r="AA221" s="159">
        <f t="shared" si="128"/>
        <v>6729.8384142170762</v>
      </c>
      <c r="AB221" s="159">
        <f t="shared" si="128"/>
        <v>6663.3959695128306</v>
      </c>
      <c r="AC221" s="159">
        <f t="shared" si="128"/>
        <v>6634.2976871156534</v>
      </c>
      <c r="AD221" s="159">
        <f t="shared" si="128"/>
        <v>6598.248762624049</v>
      </c>
      <c r="AE221" s="159">
        <f t="shared" si="128"/>
        <v>6521.5149261456218</v>
      </c>
      <c r="AF221" s="159">
        <f t="shared" si="128"/>
        <v>6561.3894182597005</v>
      </c>
      <c r="AG221" s="159">
        <f t="shared" si="128"/>
        <v>6515.6815763423419</v>
      </c>
      <c r="AH221" s="188">
        <f t="shared" si="128"/>
        <v>6509.75424165</v>
      </c>
    </row>
    <row r="222" spans="1:34">
      <c r="A222" s="1" t="s">
        <v>422</v>
      </c>
      <c r="C222" s="336">
        <f>SUM(C210,C213,C216,C219)</f>
        <v>22862.745620099999</v>
      </c>
      <c r="D222" s="336">
        <f t="shared" ref="D222:AH222" si="129">SUM(D210,D213,D216,D219)</f>
        <v>25222.240239016133</v>
      </c>
      <c r="E222" s="336">
        <f t="shared" si="129"/>
        <v>19554.95691103159</v>
      </c>
      <c r="F222" s="336">
        <f t="shared" si="129"/>
        <v>19325.371271647353</v>
      </c>
      <c r="G222" s="336">
        <f t="shared" si="129"/>
        <v>20911.111764336027</v>
      </c>
      <c r="H222" s="408">
        <f t="shared" si="129"/>
        <v>21606.811762099998</v>
      </c>
      <c r="I222" s="14">
        <f t="shared" si="129"/>
        <v>22867.850394753965</v>
      </c>
      <c r="J222" s="14">
        <f t="shared" si="129"/>
        <v>22823.231950678804</v>
      </c>
      <c r="K222" s="14">
        <f t="shared" si="129"/>
        <v>22287.767746976311</v>
      </c>
      <c r="L222" s="14">
        <f t="shared" si="129"/>
        <v>22438.287183888046</v>
      </c>
      <c r="M222" s="14">
        <f t="shared" si="129"/>
        <v>22730.098069233645</v>
      </c>
      <c r="N222" s="188">
        <f t="shared" si="129"/>
        <v>23192.293406344274</v>
      </c>
      <c r="O222" s="14">
        <f t="shared" si="129"/>
        <v>22985.138223027709</v>
      </c>
      <c r="P222" s="14">
        <f t="shared" si="129"/>
        <v>23405.004958637826</v>
      </c>
      <c r="Q222" s="14">
        <f t="shared" si="129"/>
        <v>23489.752868132098</v>
      </c>
      <c r="R222" s="14">
        <f t="shared" si="129"/>
        <v>23757.81065407865</v>
      </c>
      <c r="S222" s="14">
        <f t="shared" si="129"/>
        <v>24032.055653160794</v>
      </c>
      <c r="T222" s="14">
        <f t="shared" si="129"/>
        <v>24496.609480815758</v>
      </c>
      <c r="U222" s="14">
        <f t="shared" si="129"/>
        <v>24779.205214865829</v>
      </c>
      <c r="V222" s="14">
        <f t="shared" si="129"/>
        <v>25262.397530462134</v>
      </c>
      <c r="W222" s="14">
        <f t="shared" si="129"/>
        <v>25458.667606746309</v>
      </c>
      <c r="X222" s="188">
        <f t="shared" si="129"/>
        <v>25629.220823413249</v>
      </c>
      <c r="Y222" s="159">
        <f t="shared" si="129"/>
        <v>25759.007368516868</v>
      </c>
      <c r="Z222" s="159">
        <f t="shared" si="129"/>
        <v>25360.845627108178</v>
      </c>
      <c r="AA222" s="159">
        <f t="shared" si="129"/>
        <v>25483.04948036655</v>
      </c>
      <c r="AB222" s="159">
        <f t="shared" si="129"/>
        <v>25474.496952938982</v>
      </c>
      <c r="AC222" s="159">
        <f t="shared" si="129"/>
        <v>25614.586589880997</v>
      </c>
      <c r="AD222" s="159">
        <f t="shared" si="129"/>
        <v>25735.063563378055</v>
      </c>
      <c r="AE222" s="159">
        <f t="shared" si="129"/>
        <v>25702.464975260358</v>
      </c>
      <c r="AF222" s="159">
        <f t="shared" si="129"/>
        <v>26138.829068745046</v>
      </c>
      <c r="AG222" s="159">
        <f t="shared" si="129"/>
        <v>26245.026847946167</v>
      </c>
      <c r="AH222" s="188">
        <f t="shared" si="129"/>
        <v>26521.055282157817</v>
      </c>
    </row>
    <row r="223" spans="1:34" s="1" customFormat="1">
      <c r="A223" s="1" t="s">
        <v>440</v>
      </c>
      <c r="B223" s="13"/>
      <c r="C223" s="333" t="s">
        <v>0</v>
      </c>
      <c r="D223" s="346">
        <f>D210+D213</f>
        <v>1133.3237284240856</v>
      </c>
      <c r="E223" s="346">
        <f t="shared" ref="E223:AH223" si="130">E210+E213</f>
        <v>981.18069683631586</v>
      </c>
      <c r="F223" s="346">
        <f t="shared" si="130"/>
        <v>1298.9413966452703</v>
      </c>
      <c r="G223" s="346">
        <f t="shared" si="130"/>
        <v>1792.6676926380296</v>
      </c>
      <c r="H223" s="411">
        <f>H210+H213</f>
        <v>1477.9763426</v>
      </c>
      <c r="I223" s="15">
        <f t="shared" si="130"/>
        <v>2508.1388632928129</v>
      </c>
      <c r="J223" s="15">
        <f t="shared" si="130"/>
        <v>3189.810319286109</v>
      </c>
      <c r="K223" s="15">
        <f t="shared" si="130"/>
        <v>3235.4735622662238</v>
      </c>
      <c r="L223" s="15">
        <f t="shared" si="130"/>
        <v>3312.3989301722513</v>
      </c>
      <c r="M223" s="15">
        <f t="shared" si="130"/>
        <v>3896.0741547517223</v>
      </c>
      <c r="N223" s="191">
        <f t="shared" si="130"/>
        <v>4832.7226481442704</v>
      </c>
      <c r="O223" s="15">
        <f t="shared" si="130"/>
        <v>4919.7589653602627</v>
      </c>
      <c r="P223" s="15">
        <f t="shared" si="130"/>
        <v>5145.819770852946</v>
      </c>
      <c r="Q223" s="15">
        <f t="shared" si="130"/>
        <v>5304.4384369921681</v>
      </c>
      <c r="R223" s="15">
        <f t="shared" si="130"/>
        <v>5510.2422886395925</v>
      </c>
      <c r="S223" s="15">
        <f t="shared" si="130"/>
        <v>5724.4709802272773</v>
      </c>
      <c r="T223" s="15">
        <f t="shared" si="130"/>
        <v>5992.2172322206688</v>
      </c>
      <c r="U223" s="15">
        <f t="shared" si="130"/>
        <v>6224.0516328218073</v>
      </c>
      <c r="V223" s="15">
        <f t="shared" si="130"/>
        <v>6515.2723827886075</v>
      </c>
      <c r="W223" s="15">
        <f t="shared" si="130"/>
        <v>6741.0869358727759</v>
      </c>
      <c r="X223" s="191">
        <f t="shared" si="130"/>
        <v>6966.8060138132514</v>
      </c>
      <c r="Y223" s="131">
        <f t="shared" si="130"/>
        <v>7144.5469115425512</v>
      </c>
      <c r="Z223" s="131">
        <f t="shared" si="130"/>
        <v>7176.8144253447881</v>
      </c>
      <c r="AA223" s="131">
        <f t="shared" si="130"/>
        <v>7357.4440014077427</v>
      </c>
      <c r="AB223" s="131">
        <f t="shared" si="130"/>
        <v>7503.5570420365566</v>
      </c>
      <c r="AC223" s="131">
        <f t="shared" si="130"/>
        <v>7696.8973314327995</v>
      </c>
      <c r="AD223" s="131">
        <f t="shared" si="130"/>
        <v>7888.5814340332163</v>
      </c>
      <c r="AE223" s="131">
        <f t="shared" si="130"/>
        <v>8036.5827920188221</v>
      </c>
      <c r="AF223" s="131">
        <f t="shared" si="130"/>
        <v>8336.5796574655378</v>
      </c>
      <c r="AG223" s="131">
        <f t="shared" si="130"/>
        <v>8537.4584661309127</v>
      </c>
      <c r="AH223" s="191">
        <f t="shared" si="130"/>
        <v>8798.9621015078174</v>
      </c>
    </row>
    <row r="224" spans="1:34">
      <c r="A224" t="s">
        <v>443</v>
      </c>
      <c r="D224" s="336">
        <f>D210+D213+D216</f>
        <v>7762.3757858819272</v>
      </c>
      <c r="E224" s="336">
        <f t="shared" ref="E224:AH224" si="131">E210+E213+E216</f>
        <v>5913.054493079876</v>
      </c>
      <c r="F224" s="336">
        <f t="shared" si="131"/>
        <v>6003.2852582176638</v>
      </c>
      <c r="G224" s="336">
        <f t="shared" si="131"/>
        <v>6688.4023800147188</v>
      </c>
      <c r="H224" s="408">
        <f t="shared" si="131"/>
        <v>5233.0497310999999</v>
      </c>
      <c r="I224" s="14">
        <f t="shared" si="131"/>
        <v>6450.0190316485605</v>
      </c>
      <c r="J224" s="14">
        <f t="shared" si="131"/>
        <v>7104.1209201583952</v>
      </c>
      <c r="K224" s="14">
        <f t="shared" si="131"/>
        <v>7075.2415744859682</v>
      </c>
      <c r="L224" s="14">
        <f t="shared" si="131"/>
        <v>7200.3503690032194</v>
      </c>
      <c r="M224" s="14">
        <f t="shared" si="131"/>
        <v>7825.3907414749247</v>
      </c>
      <c r="N224" s="188">
        <f t="shared" si="131"/>
        <v>8812.0013186442702</v>
      </c>
      <c r="O224" s="14">
        <f t="shared" si="131"/>
        <v>8826.2674419556552</v>
      </c>
      <c r="P224" s="14">
        <f t="shared" si="131"/>
        <v>9085.9185974985176</v>
      </c>
      <c r="Q224" s="14">
        <f t="shared" si="131"/>
        <v>9220.7236349950217</v>
      </c>
      <c r="R224" s="14">
        <f t="shared" si="131"/>
        <v>9432.7365167532771</v>
      </c>
      <c r="S224" s="14">
        <f t="shared" si="131"/>
        <v>9653.2505549098423</v>
      </c>
      <c r="T224" s="14">
        <f t="shared" si="131"/>
        <v>9956.9516551544311</v>
      </c>
      <c r="U224" s="14">
        <f t="shared" si="131"/>
        <v>10193.929338972721</v>
      </c>
      <c r="V224" s="14">
        <f t="shared" si="131"/>
        <v>10521.048034326888</v>
      </c>
      <c r="W224" s="14">
        <f t="shared" si="131"/>
        <v>10735.991000905247</v>
      </c>
      <c r="X224" s="188">
        <f t="shared" si="131"/>
        <v>10946.084684313251</v>
      </c>
      <c r="Y224" s="159">
        <f t="shared" si="131"/>
        <v>11131.192569423507</v>
      </c>
      <c r="Z224" s="159">
        <f t="shared" si="131"/>
        <v>11089.063612079117</v>
      </c>
      <c r="AA224" s="159">
        <f t="shared" si="131"/>
        <v>11275.612828130501</v>
      </c>
      <c r="AB224" s="159">
        <f t="shared" si="131"/>
        <v>11407.327683967451</v>
      </c>
      <c r="AC224" s="159">
        <f t="shared" si="131"/>
        <v>11608.847028192395</v>
      </c>
      <c r="AD224" s="159">
        <f t="shared" si="131"/>
        <v>11805.427286727285</v>
      </c>
      <c r="AE224" s="159">
        <f t="shared" si="131"/>
        <v>11934.822353397378</v>
      </c>
      <c r="AF224" s="159">
        <f t="shared" si="131"/>
        <v>12287.006963530122</v>
      </c>
      <c r="AG224" s="159">
        <f t="shared" si="131"/>
        <v>12489.69907566789</v>
      </c>
      <c r="AH224" s="188">
        <f t="shared" si="131"/>
        <v>12778.240772007817</v>
      </c>
    </row>
    <row r="225" spans="1:34">
      <c r="D225" s="336"/>
      <c r="E225" s="336"/>
      <c r="F225" s="336"/>
      <c r="G225" s="336"/>
      <c r="H225" s="408"/>
      <c r="I225" s="14"/>
      <c r="J225" s="14"/>
      <c r="K225" s="14"/>
      <c r="L225" s="14"/>
      <c r="M225" s="14"/>
      <c r="N225" s="188"/>
      <c r="O225" s="14"/>
      <c r="P225" s="14"/>
      <c r="Q225" s="14"/>
      <c r="R225" s="14"/>
      <c r="S225" s="14"/>
      <c r="T225" s="14"/>
      <c r="U225" s="14"/>
      <c r="V225" s="14"/>
      <c r="W225" s="14"/>
      <c r="X225" s="188"/>
    </row>
    <row r="226" spans="1:34">
      <c r="A226" s="1" t="s">
        <v>450</v>
      </c>
      <c r="D226" s="336">
        <f>D210+D213</f>
        <v>1133.3237284240856</v>
      </c>
      <c r="E226" s="336">
        <f>D226+E210+E213</f>
        <v>2114.5044252604016</v>
      </c>
      <c r="F226" s="336">
        <f>E226+F210+F213</f>
        <v>3413.4458219056719</v>
      </c>
      <c r="G226" s="336">
        <f>F226+G210+G213</f>
        <v>5206.113514543702</v>
      </c>
      <c r="H226" s="408">
        <f t="shared" ref="H226:X226" si="132">G226+H210+H213</f>
        <v>6684.0898571437019</v>
      </c>
      <c r="I226" s="14">
        <f t="shared" si="132"/>
        <v>9192.2287204365148</v>
      </c>
      <c r="J226" s="14">
        <f t="shared" si="132"/>
        <v>12382.039039722624</v>
      </c>
      <c r="K226" s="14">
        <f t="shared" si="132"/>
        <v>15617.512601988848</v>
      </c>
      <c r="L226" s="14">
        <f t="shared" si="132"/>
        <v>18929.911532161099</v>
      </c>
      <c r="M226" s="14">
        <f t="shared" si="132"/>
        <v>22825.98568691282</v>
      </c>
      <c r="N226" s="188">
        <f t="shared" si="132"/>
        <v>27658.70833505709</v>
      </c>
      <c r="O226" s="14">
        <f t="shared" si="132"/>
        <v>32578.467300417353</v>
      </c>
      <c r="P226" s="14">
        <f t="shared" si="132"/>
        <v>37724.287071270301</v>
      </c>
      <c r="Q226" s="14">
        <f t="shared" si="132"/>
        <v>43028.725508262469</v>
      </c>
      <c r="R226" s="14">
        <f t="shared" si="132"/>
        <v>48538.967796902063</v>
      </c>
      <c r="S226" s="14">
        <f t="shared" si="132"/>
        <v>54263.43877712934</v>
      </c>
      <c r="T226" s="14">
        <f t="shared" si="132"/>
        <v>60255.656009350008</v>
      </c>
      <c r="U226" s="14">
        <f t="shared" si="132"/>
        <v>66479.707642171823</v>
      </c>
      <c r="V226" s="14">
        <f t="shared" si="132"/>
        <v>72994.98002496043</v>
      </c>
      <c r="W226" s="14">
        <f t="shared" si="132"/>
        <v>79736.06696083321</v>
      </c>
      <c r="X226" s="188">
        <f t="shared" si="132"/>
        <v>86702.872974646467</v>
      </c>
      <c r="Y226" s="159">
        <f t="shared" ref="Y226:AH226" si="133">X226+Y210+Y213</f>
        <v>93847.419886189018</v>
      </c>
      <c r="Z226" s="159">
        <f t="shared" si="133"/>
        <v>101024.2343115338</v>
      </c>
      <c r="AA226" s="159">
        <f t="shared" si="133"/>
        <v>108381.67831294154</v>
      </c>
      <c r="AB226" s="159">
        <f t="shared" si="133"/>
        <v>115885.2353549781</v>
      </c>
      <c r="AC226" s="159">
        <f t="shared" si="133"/>
        <v>123582.1326864109</v>
      </c>
      <c r="AD226" s="159">
        <f t="shared" si="133"/>
        <v>131470.71412044411</v>
      </c>
      <c r="AE226" s="159">
        <f t="shared" si="133"/>
        <v>139507.29691246295</v>
      </c>
      <c r="AF226" s="159">
        <f t="shared" si="133"/>
        <v>147843.87656992848</v>
      </c>
      <c r="AG226" s="159">
        <f t="shared" si="133"/>
        <v>156381.3350360594</v>
      </c>
      <c r="AH226" s="188">
        <f t="shared" si="133"/>
        <v>165180.29713756722</v>
      </c>
    </row>
    <row r="227" spans="1:34">
      <c r="A227" s="1" t="s">
        <v>451</v>
      </c>
      <c r="D227" s="336">
        <f>D219</f>
        <v>17459.864453134207</v>
      </c>
      <c r="E227" s="336">
        <f>D227+E219</f>
        <v>31101.766871085922</v>
      </c>
      <c r="F227" s="336">
        <f>E227+F219</f>
        <v>44423.852884515611</v>
      </c>
      <c r="G227" s="336">
        <f t="shared" ref="G227:X227" si="134">F227+G219</f>
        <v>58646.562268836919</v>
      </c>
      <c r="H227" s="408">
        <f t="shared" si="134"/>
        <v>75020.32429983691</v>
      </c>
      <c r="I227" s="14">
        <f t="shared" si="134"/>
        <v>91438.155662942314</v>
      </c>
      <c r="J227" s="14">
        <f t="shared" si="134"/>
        <v>107157.26669346272</v>
      </c>
      <c r="K227" s="14">
        <f t="shared" si="134"/>
        <v>122369.79286595306</v>
      </c>
      <c r="L227" s="14">
        <f t="shared" si="134"/>
        <v>137607.72968083789</v>
      </c>
      <c r="M227" s="14">
        <f t="shared" si="134"/>
        <v>152512.43700859661</v>
      </c>
      <c r="N227" s="188">
        <f t="shared" si="134"/>
        <v>166892.72909629662</v>
      </c>
      <c r="O227" s="14">
        <f t="shared" si="134"/>
        <v>181051.59987736866</v>
      </c>
      <c r="P227" s="14">
        <f t="shared" si="134"/>
        <v>195370.68623850797</v>
      </c>
      <c r="Q227" s="14">
        <f t="shared" si="134"/>
        <v>209639.71547164506</v>
      </c>
      <c r="R227" s="14">
        <f t="shared" si="134"/>
        <v>223964.78960897043</v>
      </c>
      <c r="S227" s="14">
        <f t="shared" si="134"/>
        <v>238343.59470722137</v>
      </c>
      <c r="T227" s="14">
        <f t="shared" si="134"/>
        <v>252883.2525328827</v>
      </c>
      <c r="U227" s="14">
        <f t="shared" si="134"/>
        <v>267468.5284087758</v>
      </c>
      <c r="V227" s="14">
        <f t="shared" si="134"/>
        <v>282209.87790491106</v>
      </c>
      <c r="W227" s="14">
        <f t="shared" si="134"/>
        <v>296932.55451075215</v>
      </c>
      <c r="X227" s="188">
        <f t="shared" si="134"/>
        <v>311615.69064985216</v>
      </c>
      <c r="Y227" s="159">
        <f t="shared" ref="Y227:AH227" si="135">X227+Y219</f>
        <v>326243.50544894551</v>
      </c>
      <c r="Z227" s="159">
        <f t="shared" si="135"/>
        <v>340515.28746397456</v>
      </c>
      <c r="AA227" s="159">
        <f t="shared" si="135"/>
        <v>354722.72411621059</v>
      </c>
      <c r="AB227" s="159">
        <f t="shared" si="135"/>
        <v>368789.89338518213</v>
      </c>
      <c r="AC227" s="159">
        <f t="shared" si="135"/>
        <v>382795.63294687076</v>
      </c>
      <c r="AD227" s="159">
        <f t="shared" si="135"/>
        <v>396725.26922352152</v>
      </c>
      <c r="AE227" s="159">
        <f t="shared" si="135"/>
        <v>410492.91184538451</v>
      </c>
      <c r="AF227" s="159">
        <f t="shared" si="135"/>
        <v>424344.73395059945</v>
      </c>
      <c r="AG227" s="159">
        <f t="shared" si="135"/>
        <v>438100.06172287773</v>
      </c>
      <c r="AH227" s="188">
        <f t="shared" si="135"/>
        <v>451842.87623302772</v>
      </c>
    </row>
    <row r="228" spans="1:34">
      <c r="A228" s="1" t="s">
        <v>453</v>
      </c>
      <c r="D228" s="336">
        <f t="shared" ref="D228:AH228" si="136">D227-D207</f>
        <v>1188.5874531342088</v>
      </c>
      <c r="E228" s="336">
        <f t="shared" si="136"/>
        <v>523.38463008592225</v>
      </c>
      <c r="F228" s="336">
        <f t="shared" si="136"/>
        <v>-1139.8209964843918</v>
      </c>
      <c r="G228" s="336">
        <f t="shared" si="136"/>
        <v>-2313.439581163082</v>
      </c>
      <c r="H228" s="408">
        <f>H227-H207</f>
        <v>-2376.0208691630978</v>
      </c>
      <c r="I228" s="14">
        <f t="shared" si="136"/>
        <v>-2538.6310100576957</v>
      </c>
      <c r="J228" s="14">
        <f t="shared" si="136"/>
        <v>-2669.9159145372832</v>
      </c>
      <c r="K228" s="14">
        <f t="shared" si="136"/>
        <v>-2751.1647550469497</v>
      </c>
      <c r="L228" s="14">
        <f t="shared" si="136"/>
        <v>-2907.8107591621228</v>
      </c>
      <c r="M228" s="14">
        <f t="shared" si="136"/>
        <v>-3444.9300734034041</v>
      </c>
      <c r="N228" s="188">
        <f t="shared" si="136"/>
        <v>-4621.2072997033829</v>
      </c>
      <c r="O228" s="14">
        <f t="shared" si="136"/>
        <v>-5779.9874826313462</v>
      </c>
      <c r="P228" s="14">
        <f t="shared" si="136"/>
        <v>-7108.6190974920173</v>
      </c>
      <c r="Q228" s="14">
        <f t="shared" si="136"/>
        <v>-8525.2310993549181</v>
      </c>
      <c r="R228" s="14">
        <f t="shared" si="136"/>
        <v>-10068.884496029554</v>
      </c>
      <c r="S228" s="14">
        <f t="shared" si="136"/>
        <v>-11754.062673778622</v>
      </c>
      <c r="T228" s="14">
        <f t="shared" si="136"/>
        <v>-13642.666555117263</v>
      </c>
      <c r="U228" s="14">
        <f t="shared" si="136"/>
        <v>-15689.06811522413</v>
      </c>
      <c r="V228" s="14">
        <f t="shared" si="136"/>
        <v>-17946.52127508889</v>
      </c>
      <c r="W228" s="14">
        <f t="shared" si="136"/>
        <v>-20334.551568247785</v>
      </c>
      <c r="X228" s="188">
        <f t="shared" si="136"/>
        <v>-22790.196044147771</v>
      </c>
      <c r="Y228" s="159">
        <f t="shared" si="136"/>
        <v>-25326.00882505445</v>
      </c>
      <c r="Z228" s="159">
        <f t="shared" si="136"/>
        <v>-27811.166724025388</v>
      </c>
      <c r="AA228" s="159">
        <f t="shared" si="136"/>
        <v>-30411.971334789356</v>
      </c>
      <c r="AB228" s="159">
        <f t="shared" si="136"/>
        <v>-33091.843112817791</v>
      </c>
      <c r="AC228" s="159">
        <f t="shared" si="136"/>
        <v>-35902.23686312919</v>
      </c>
      <c r="AD228" s="159">
        <f t="shared" si="136"/>
        <v>-38838.985231478408</v>
      </c>
      <c r="AE228" s="159">
        <f t="shared" si="136"/>
        <v>-41851.538162615441</v>
      </c>
      <c r="AF228" s="159">
        <f t="shared" si="136"/>
        <v>-45094.815045400523</v>
      </c>
      <c r="AG228" s="159">
        <f t="shared" si="136"/>
        <v>-48461.733898122271</v>
      </c>
      <c r="AH228" s="188">
        <f t="shared" si="136"/>
        <v>-52008.132350972272</v>
      </c>
    </row>
    <row r="229" spans="1:34">
      <c r="I229" s="130"/>
      <c r="J229" s="130"/>
      <c r="K229" s="130"/>
      <c r="L229" s="130"/>
      <c r="M229" s="130"/>
      <c r="O229" s="130"/>
      <c r="P229" s="130"/>
      <c r="Q229" s="130"/>
      <c r="R229" s="130"/>
      <c r="S229" s="130"/>
      <c r="T229" s="130"/>
      <c r="U229" s="130"/>
      <c r="V229" s="130"/>
      <c r="W229" s="130"/>
    </row>
    <row r="230" spans="1:34">
      <c r="A230" s="1" t="s">
        <v>409</v>
      </c>
    </row>
    <row r="231" spans="1:34">
      <c r="A231" t="s">
        <v>410</v>
      </c>
      <c r="C231" s="336">
        <f t="shared" ref="C231:AH231" si="137">C210-C191</f>
        <v>0</v>
      </c>
      <c r="D231" s="336">
        <f t="shared" si="137"/>
        <v>0</v>
      </c>
      <c r="E231" s="336">
        <f t="shared" si="137"/>
        <v>0</v>
      </c>
      <c r="F231" s="336">
        <f t="shared" si="137"/>
        <v>0</v>
      </c>
      <c r="G231" s="336">
        <f t="shared" si="137"/>
        <v>0</v>
      </c>
      <c r="H231" s="408">
        <f t="shared" si="137"/>
        <v>0</v>
      </c>
      <c r="I231" s="14">
        <f t="shared" si="137"/>
        <v>0</v>
      </c>
      <c r="J231" s="14">
        <f t="shared" si="137"/>
        <v>0</v>
      </c>
      <c r="K231" s="14">
        <f t="shared" si="137"/>
        <v>0</v>
      </c>
      <c r="L231" s="14">
        <f t="shared" si="137"/>
        <v>0</v>
      </c>
      <c r="M231" s="14">
        <f t="shared" si="137"/>
        <v>0</v>
      </c>
      <c r="N231" s="188">
        <f t="shared" ref="N231:O233" si="138">N210-N191</f>
        <v>0</v>
      </c>
      <c r="O231" s="14">
        <f t="shared" si="138"/>
        <v>0</v>
      </c>
      <c r="P231" s="14">
        <f t="shared" si="137"/>
        <v>0</v>
      </c>
      <c r="Q231" s="14">
        <f t="shared" si="137"/>
        <v>0</v>
      </c>
      <c r="R231" s="14">
        <f t="shared" si="137"/>
        <v>0</v>
      </c>
      <c r="S231" s="14">
        <f t="shared" si="137"/>
        <v>0</v>
      </c>
      <c r="T231" s="14">
        <f t="shared" si="137"/>
        <v>0</v>
      </c>
      <c r="U231" s="14">
        <f t="shared" si="137"/>
        <v>0</v>
      </c>
      <c r="V231" s="14">
        <f t="shared" si="137"/>
        <v>0</v>
      </c>
      <c r="W231" s="14">
        <f t="shared" si="137"/>
        <v>0</v>
      </c>
      <c r="X231" s="188">
        <f t="shared" si="137"/>
        <v>0</v>
      </c>
      <c r="Y231" s="159">
        <f t="shared" si="137"/>
        <v>0</v>
      </c>
      <c r="Z231" s="159">
        <f t="shared" si="137"/>
        <v>0</v>
      </c>
      <c r="AA231" s="159">
        <f t="shared" si="137"/>
        <v>0</v>
      </c>
      <c r="AB231" s="159">
        <f t="shared" si="137"/>
        <v>0</v>
      </c>
      <c r="AC231" s="159">
        <f t="shared" si="137"/>
        <v>0</v>
      </c>
      <c r="AD231" s="159">
        <f t="shared" si="137"/>
        <v>0</v>
      </c>
      <c r="AE231" s="159">
        <f t="shared" si="137"/>
        <v>0</v>
      </c>
      <c r="AF231" s="159">
        <f t="shared" si="137"/>
        <v>0</v>
      </c>
      <c r="AG231" s="159">
        <f t="shared" si="137"/>
        <v>0</v>
      </c>
      <c r="AH231" s="188">
        <f t="shared" si="137"/>
        <v>0</v>
      </c>
    </row>
    <row r="232" spans="1:34">
      <c r="A232" t="s">
        <v>411</v>
      </c>
      <c r="C232" s="336">
        <f t="shared" ref="C232:AH232" si="139">C211-C192</f>
        <v>0</v>
      </c>
      <c r="D232" s="336">
        <f t="shared" si="139"/>
        <v>0</v>
      </c>
      <c r="E232" s="336">
        <f t="shared" si="139"/>
        <v>0</v>
      </c>
      <c r="F232" s="336">
        <f t="shared" si="139"/>
        <v>0</v>
      </c>
      <c r="G232" s="336">
        <f t="shared" si="139"/>
        <v>0</v>
      </c>
      <c r="H232" s="408">
        <f t="shared" si="139"/>
        <v>0</v>
      </c>
      <c r="I232" s="14">
        <f t="shared" si="139"/>
        <v>0</v>
      </c>
      <c r="J232" s="14">
        <f t="shared" si="139"/>
        <v>0</v>
      </c>
      <c r="K232" s="14">
        <f t="shared" si="139"/>
        <v>0</v>
      </c>
      <c r="L232" s="14">
        <f t="shared" si="139"/>
        <v>0</v>
      </c>
      <c r="M232" s="14">
        <f t="shared" si="139"/>
        <v>0</v>
      </c>
      <c r="N232" s="188">
        <f t="shared" si="138"/>
        <v>0</v>
      </c>
      <c r="O232" s="14">
        <f t="shared" si="138"/>
        <v>0</v>
      </c>
      <c r="P232" s="14">
        <f t="shared" si="139"/>
        <v>0</v>
      </c>
      <c r="Q232" s="14">
        <f t="shared" si="139"/>
        <v>0</v>
      </c>
      <c r="R232" s="14">
        <f t="shared" si="139"/>
        <v>0</v>
      </c>
      <c r="S232" s="14">
        <f t="shared" si="139"/>
        <v>0</v>
      </c>
      <c r="T232" s="14">
        <f t="shared" si="139"/>
        <v>0</v>
      </c>
      <c r="U232" s="14">
        <f t="shared" si="139"/>
        <v>0</v>
      </c>
      <c r="V232" s="14">
        <f t="shared" si="139"/>
        <v>0</v>
      </c>
      <c r="W232" s="14">
        <f t="shared" si="139"/>
        <v>0</v>
      </c>
      <c r="X232" s="188">
        <f t="shared" si="139"/>
        <v>0</v>
      </c>
      <c r="Y232" s="159">
        <f t="shared" si="139"/>
        <v>0</v>
      </c>
      <c r="Z232" s="159">
        <f t="shared" si="139"/>
        <v>0</v>
      </c>
      <c r="AA232" s="159">
        <f t="shared" si="139"/>
        <v>0</v>
      </c>
      <c r="AB232" s="159">
        <f t="shared" si="139"/>
        <v>0</v>
      </c>
      <c r="AC232" s="159">
        <f t="shared" si="139"/>
        <v>0</v>
      </c>
      <c r="AD232" s="159">
        <f t="shared" si="139"/>
        <v>0</v>
      </c>
      <c r="AE232" s="159">
        <f t="shared" si="139"/>
        <v>0</v>
      </c>
      <c r="AF232" s="159">
        <f t="shared" si="139"/>
        <v>0</v>
      </c>
      <c r="AG232" s="159">
        <f t="shared" si="139"/>
        <v>0</v>
      </c>
      <c r="AH232" s="188">
        <f t="shared" si="139"/>
        <v>0</v>
      </c>
    </row>
    <row r="233" spans="1:34">
      <c r="A233" t="s">
        <v>412</v>
      </c>
      <c r="C233" s="336">
        <f t="shared" ref="C233:AH233" si="140">C212-C193</f>
        <v>0</v>
      </c>
      <c r="D233" s="336">
        <f t="shared" si="140"/>
        <v>0</v>
      </c>
      <c r="E233" s="336">
        <f t="shared" si="140"/>
        <v>0</v>
      </c>
      <c r="F233" s="336">
        <f t="shared" si="140"/>
        <v>0</v>
      </c>
      <c r="G233" s="336">
        <f t="shared" si="140"/>
        <v>0</v>
      </c>
      <c r="H233" s="408">
        <f t="shared" si="140"/>
        <v>0</v>
      </c>
      <c r="I233" s="14">
        <f t="shared" si="140"/>
        <v>0</v>
      </c>
      <c r="J233" s="14">
        <f t="shared" si="140"/>
        <v>0</v>
      </c>
      <c r="K233" s="14">
        <f t="shared" si="140"/>
        <v>0</v>
      </c>
      <c r="L233" s="14">
        <f t="shared" si="140"/>
        <v>0</v>
      </c>
      <c r="M233" s="14">
        <f t="shared" si="140"/>
        <v>0</v>
      </c>
      <c r="N233" s="188">
        <f t="shared" si="138"/>
        <v>0</v>
      </c>
      <c r="O233" s="14">
        <f t="shared" si="138"/>
        <v>0</v>
      </c>
      <c r="P233" s="14">
        <f t="shared" si="140"/>
        <v>0</v>
      </c>
      <c r="Q233" s="14">
        <f t="shared" si="140"/>
        <v>0</v>
      </c>
      <c r="R233" s="14">
        <f t="shared" si="140"/>
        <v>0</v>
      </c>
      <c r="S233" s="14">
        <f t="shared" si="140"/>
        <v>0</v>
      </c>
      <c r="T233" s="14">
        <f t="shared" si="140"/>
        <v>0</v>
      </c>
      <c r="U233" s="14">
        <f t="shared" si="140"/>
        <v>0</v>
      </c>
      <c r="V233" s="14">
        <f t="shared" si="140"/>
        <v>0</v>
      </c>
      <c r="W233" s="14">
        <f t="shared" si="140"/>
        <v>0</v>
      </c>
      <c r="X233" s="188">
        <f t="shared" si="140"/>
        <v>0</v>
      </c>
      <c r="Y233" s="159">
        <f t="shared" si="140"/>
        <v>0</v>
      </c>
      <c r="Z233" s="159">
        <f t="shared" si="140"/>
        <v>0</v>
      </c>
      <c r="AA233" s="159">
        <f t="shared" si="140"/>
        <v>0</v>
      </c>
      <c r="AB233" s="159">
        <f t="shared" si="140"/>
        <v>0</v>
      </c>
      <c r="AC233" s="159">
        <f t="shared" si="140"/>
        <v>0</v>
      </c>
      <c r="AD233" s="159">
        <f t="shared" si="140"/>
        <v>0</v>
      </c>
      <c r="AE233" s="159">
        <f t="shared" si="140"/>
        <v>0</v>
      </c>
      <c r="AF233" s="159">
        <f t="shared" si="140"/>
        <v>0</v>
      </c>
      <c r="AG233" s="159">
        <f t="shared" si="140"/>
        <v>0</v>
      </c>
      <c r="AH233" s="188">
        <f t="shared" si="140"/>
        <v>0</v>
      </c>
    </row>
    <row r="234" spans="1:34">
      <c r="A234" t="s">
        <v>413</v>
      </c>
      <c r="C234" s="336">
        <f t="shared" ref="C234:AH234" si="141">C213-C194</f>
        <v>-2.7000000955013093E-6</v>
      </c>
      <c r="D234" s="336">
        <f t="shared" si="141"/>
        <v>124.09117712408568</v>
      </c>
      <c r="E234" s="336">
        <f t="shared" si="141"/>
        <v>247.73185353631584</v>
      </c>
      <c r="F234" s="336">
        <f t="shared" si="141"/>
        <v>330.60699134527044</v>
      </c>
      <c r="G234" s="336">
        <f t="shared" si="141"/>
        <v>394.21345333802947</v>
      </c>
      <c r="H234" s="408">
        <f>H213-H194</f>
        <v>-2.7000000955013093E-6</v>
      </c>
      <c r="I234" s="14">
        <f t="shared" si="141"/>
        <v>92.644928992812766</v>
      </c>
      <c r="J234" s="14">
        <f t="shared" si="141"/>
        <v>146.2236189861087</v>
      </c>
      <c r="K234" s="14">
        <f t="shared" si="141"/>
        <v>184.77394596622344</v>
      </c>
      <c r="L234" s="14">
        <f t="shared" si="141"/>
        <v>271.75080787225124</v>
      </c>
      <c r="M234" s="14">
        <f t="shared" si="141"/>
        <v>806.30352745172195</v>
      </c>
      <c r="N234" s="188">
        <f t="shared" si="141"/>
        <v>1739.7938028442704</v>
      </c>
      <c r="O234" s="14">
        <f t="shared" si="141"/>
        <v>1795.8164390602624</v>
      </c>
      <c r="P234" s="14">
        <f t="shared" si="141"/>
        <v>2020.1146525529457</v>
      </c>
      <c r="Q234" s="14">
        <f t="shared" si="141"/>
        <v>2188.5212066921677</v>
      </c>
      <c r="R234" s="14">
        <f t="shared" si="141"/>
        <v>2376.2766923395925</v>
      </c>
      <c r="S234" s="14">
        <f t="shared" si="141"/>
        <v>2589.7130839272777</v>
      </c>
      <c r="T234" s="14">
        <f t="shared" si="141"/>
        <v>2864.9444809206689</v>
      </c>
      <c r="U234" s="14">
        <f t="shared" si="141"/>
        <v>3107.2628345218072</v>
      </c>
      <c r="V234" s="14">
        <f t="shared" si="141"/>
        <v>3392.537154488607</v>
      </c>
      <c r="W234" s="14">
        <f t="shared" si="141"/>
        <v>3607.8913145727756</v>
      </c>
      <c r="X234" s="188">
        <f t="shared" si="141"/>
        <v>3710.8595625132511</v>
      </c>
      <c r="Y234" s="159">
        <f t="shared" si="141"/>
        <v>3813.4277582425511</v>
      </c>
      <c r="Z234" s="159">
        <f t="shared" si="141"/>
        <v>3820.1797350447882</v>
      </c>
      <c r="AA234" s="159">
        <f t="shared" si="141"/>
        <v>3993.7207151077428</v>
      </c>
      <c r="AB234" s="159">
        <f t="shared" si="141"/>
        <v>4134.7940057365568</v>
      </c>
      <c r="AC234" s="159">
        <f t="shared" si="141"/>
        <v>4328.6259771327996</v>
      </c>
      <c r="AD234" s="159">
        <f t="shared" si="141"/>
        <v>4519.7449627332162</v>
      </c>
      <c r="AE234" s="159">
        <f t="shared" si="141"/>
        <v>4660.561356718822</v>
      </c>
      <c r="AF234" s="159">
        <f t="shared" si="141"/>
        <v>4957.0319931655376</v>
      </c>
      <c r="AG234" s="159">
        <f t="shared" si="141"/>
        <v>5147.3378718309132</v>
      </c>
      <c r="AH234" s="188">
        <f t="shared" si="141"/>
        <v>4894.4441712078169</v>
      </c>
    </row>
    <row r="235" spans="1:34">
      <c r="A235" t="s">
        <v>414</v>
      </c>
      <c r="C235" s="336">
        <f t="shared" ref="C235:AH235" si="142">C214-C195</f>
        <v>0</v>
      </c>
      <c r="D235" s="336">
        <f t="shared" si="142"/>
        <v>65.311147537762281</v>
      </c>
      <c r="E235" s="336">
        <f t="shared" si="142"/>
        <v>130.38518749279785</v>
      </c>
      <c r="F235" s="336">
        <f t="shared" si="142"/>
        <v>174.00368112684112</v>
      </c>
      <c r="G235" s="336">
        <f t="shared" si="142"/>
        <v>207.48076661725702</v>
      </c>
      <c r="H235" s="408">
        <f t="shared" si="142"/>
        <v>0</v>
      </c>
      <c r="I235" s="14">
        <f t="shared" si="142"/>
        <v>48.76049053486463</v>
      </c>
      <c r="J235" s="14">
        <f t="shared" si="142"/>
        <v>76.959801152039972</v>
      </c>
      <c r="K235" s="14">
        <f t="shared" si="142"/>
        <v>97.249447009455707</v>
      </c>
      <c r="L235" s="14">
        <f t="shared" si="142"/>
        <v>143.02674289107608</v>
      </c>
      <c r="M235" s="14">
        <f t="shared" si="142"/>
        <v>424.37027966104279</v>
      </c>
      <c r="N235" s="188">
        <f t="shared" si="142"/>
        <v>915.68095108580997</v>
      </c>
      <c r="O235" s="14">
        <f t="shared" si="142"/>
        <v>945.16654913421621</v>
      </c>
      <c r="P235" s="14">
        <f t="shared" si="142"/>
        <v>1063.2182405500184</v>
      </c>
      <c r="Q235" s="14">
        <f t="shared" si="142"/>
        <v>1151.8532691172238</v>
      </c>
      <c r="R235" s="14">
        <f t="shared" si="142"/>
        <v>1250.6719458683203</v>
      </c>
      <c r="S235" s="14">
        <f t="shared" si="142"/>
        <v>1363.0068889076349</v>
      </c>
      <c r="T235" s="14">
        <f t="shared" si="142"/>
        <v>1507.8655190271729</v>
      </c>
      <c r="U235" s="14">
        <f t="shared" si="142"/>
        <v>1635.4014947132357</v>
      </c>
      <c r="V235" s="14">
        <f t="shared" si="142"/>
        <v>1785.5458737769329</v>
      </c>
      <c r="W235" s="14">
        <f t="shared" si="142"/>
        <v>1898.8901686618253</v>
      </c>
      <c r="X235" s="188">
        <f t="shared" si="142"/>
        <v>1953.0839834710459</v>
      </c>
      <c r="Y235" s="159">
        <f t="shared" si="142"/>
        <v>2007.0672444628674</v>
      </c>
      <c r="Z235" s="159">
        <f t="shared" si="142"/>
        <v>2010.6209164788697</v>
      </c>
      <c r="AA235" s="159">
        <f t="shared" si="142"/>
        <v>2101.9582744897311</v>
      </c>
      <c r="AB235" s="159">
        <f t="shared" si="142"/>
        <v>2176.2073748878174</v>
      </c>
      <c r="AC235" s="159">
        <f t="shared" si="142"/>
        <v>2278.2242020273034</v>
      </c>
      <c r="AD235" s="159">
        <f t="shared" si="142"/>
        <v>2378.813141905066</v>
      </c>
      <c r="AE235" s="159">
        <f t="shared" si="142"/>
        <v>2452.9270335444362</v>
      </c>
      <c r="AF235" s="159">
        <f t="shared" si="142"/>
        <v>2608.9642107594891</v>
      </c>
      <c r="AG235" s="159">
        <f t="shared" si="142"/>
        <v>2709.1251996230344</v>
      </c>
      <c r="AH235" s="188">
        <f t="shared" si="142"/>
        <v>2576.0232520468157</v>
      </c>
    </row>
    <row r="236" spans="1:34">
      <c r="A236" t="s">
        <v>415</v>
      </c>
      <c r="C236" s="336">
        <f t="shared" ref="C236:AH236" si="143">C215-C196</f>
        <v>-2.6999999818144715E-6</v>
      </c>
      <c r="D236" s="336">
        <f t="shared" si="143"/>
        <v>58.780029586323394</v>
      </c>
      <c r="E236" s="336">
        <f t="shared" si="143"/>
        <v>117.34666604351798</v>
      </c>
      <c r="F236" s="336">
        <f t="shared" si="143"/>
        <v>156.60331021842927</v>
      </c>
      <c r="G236" s="336">
        <f t="shared" si="143"/>
        <v>186.73268672077234</v>
      </c>
      <c r="H236" s="408">
        <f>H215-H196</f>
        <v>-2.6999999818144715E-6</v>
      </c>
      <c r="I236" s="14">
        <f t="shared" si="143"/>
        <v>43.884438457947908</v>
      </c>
      <c r="J236" s="14">
        <f t="shared" si="143"/>
        <v>69.263817834068732</v>
      </c>
      <c r="K236" s="14">
        <f t="shared" si="143"/>
        <v>87.524498956767729</v>
      </c>
      <c r="L236" s="14">
        <f t="shared" si="143"/>
        <v>128.72406498117516</v>
      </c>
      <c r="M236" s="14">
        <f t="shared" si="143"/>
        <v>381.93324779067916</v>
      </c>
      <c r="N236" s="188">
        <f t="shared" si="143"/>
        <v>824.11285175846024</v>
      </c>
      <c r="O236" s="14">
        <f t="shared" si="143"/>
        <v>850.64988992604663</v>
      </c>
      <c r="P236" s="14">
        <f t="shared" si="143"/>
        <v>956.89641200292681</v>
      </c>
      <c r="Q236" s="14">
        <f t="shared" si="143"/>
        <v>1036.6679375749445</v>
      </c>
      <c r="R236" s="14">
        <f t="shared" si="143"/>
        <v>1125.6047464712726</v>
      </c>
      <c r="S236" s="14">
        <f t="shared" si="143"/>
        <v>1226.706195019643</v>
      </c>
      <c r="T236" s="14">
        <f t="shared" si="143"/>
        <v>1357.0789618934957</v>
      </c>
      <c r="U236" s="14">
        <f t="shared" si="143"/>
        <v>1471.8613398085708</v>
      </c>
      <c r="V236" s="14">
        <f t="shared" si="143"/>
        <v>1606.9912807116741</v>
      </c>
      <c r="W236" s="14">
        <f t="shared" si="143"/>
        <v>1709.0011459109503</v>
      </c>
      <c r="X236" s="188">
        <f t="shared" si="143"/>
        <v>1757.7755790422059</v>
      </c>
      <c r="Y236" s="159">
        <f t="shared" si="143"/>
        <v>1806.3605137796844</v>
      </c>
      <c r="Z236" s="159">
        <f t="shared" si="143"/>
        <v>1809.5588185659185</v>
      </c>
      <c r="AA236" s="159">
        <f t="shared" si="143"/>
        <v>1891.7624406180114</v>
      </c>
      <c r="AB236" s="159">
        <f t="shared" si="143"/>
        <v>1958.5866308487384</v>
      </c>
      <c r="AC236" s="159">
        <f t="shared" si="143"/>
        <v>2050.4017751054971</v>
      </c>
      <c r="AD236" s="159">
        <f t="shared" si="143"/>
        <v>2140.9318208281511</v>
      </c>
      <c r="AE236" s="159">
        <f t="shared" si="143"/>
        <v>2207.6343231743858</v>
      </c>
      <c r="AF236" s="159">
        <f t="shared" si="143"/>
        <v>2348.0677824060481</v>
      </c>
      <c r="AG236" s="159">
        <f t="shared" si="143"/>
        <v>2438.2126722078797</v>
      </c>
      <c r="AH236" s="188">
        <f t="shared" si="143"/>
        <v>2318.4209191610012</v>
      </c>
    </row>
    <row r="237" spans="1:34">
      <c r="A237" t="s">
        <v>416</v>
      </c>
      <c r="C237" s="336">
        <f t="shared" ref="C237:AH237" si="144">C216-C197</f>
        <v>0</v>
      </c>
      <c r="D237" s="336">
        <f t="shared" si="144"/>
        <v>-1607.7329140421598</v>
      </c>
      <c r="E237" s="336">
        <f t="shared" si="144"/>
        <v>649.58067474355903</v>
      </c>
      <c r="F237" s="336">
        <f t="shared" si="144"/>
        <v>1826.6720050723929</v>
      </c>
      <c r="G237" s="336">
        <f t="shared" si="144"/>
        <v>1161.5967338766886</v>
      </c>
      <c r="H237" s="408">
        <f t="shared" si="144"/>
        <v>0</v>
      </c>
      <c r="I237" s="14">
        <f t="shared" si="144"/>
        <v>54.057940855746892</v>
      </c>
      <c r="J237" s="14">
        <f t="shared" si="144"/>
        <v>-27.311076627714101</v>
      </c>
      <c r="K237" s="14">
        <f t="shared" si="144"/>
        <v>-121.53012228025545</v>
      </c>
      <c r="L237" s="14">
        <f t="shared" si="144"/>
        <v>-91.327231669031789</v>
      </c>
      <c r="M237" s="14">
        <f t="shared" si="144"/>
        <v>-49.962653776797197</v>
      </c>
      <c r="N237" s="188">
        <f t="shared" si="144"/>
        <v>0</v>
      </c>
      <c r="O237" s="14">
        <f t="shared" si="144"/>
        <v>-72.770193904606913</v>
      </c>
      <c r="P237" s="14">
        <f t="shared" si="144"/>
        <v>-39.179843854428327</v>
      </c>
      <c r="Q237" s="14">
        <f t="shared" si="144"/>
        <v>-62.993206497147185</v>
      </c>
      <c r="R237" s="14">
        <f t="shared" si="144"/>
        <v>-56.784442386314367</v>
      </c>
      <c r="S237" s="14">
        <f t="shared" si="144"/>
        <v>-50.499095817434863</v>
      </c>
      <c r="T237" s="14">
        <f t="shared" si="144"/>
        <v>-14.544247566237573</v>
      </c>
      <c r="U237" s="14">
        <f t="shared" si="144"/>
        <v>-9.4009643490853705</v>
      </c>
      <c r="V237" s="14">
        <f t="shared" si="144"/>
        <v>26.497247038279966</v>
      </c>
      <c r="W237" s="14">
        <f t="shared" si="144"/>
        <v>15.625660532471102</v>
      </c>
      <c r="X237" s="188">
        <f t="shared" si="144"/>
        <v>0</v>
      </c>
      <c r="Y237" s="159">
        <f t="shared" si="144"/>
        <v>7.3672533809558445</v>
      </c>
      <c r="Z237" s="159">
        <f t="shared" si="144"/>
        <v>-67.029483765671102</v>
      </c>
      <c r="AA237" s="159">
        <f t="shared" si="144"/>
        <v>-61.109843777242077</v>
      </c>
      <c r="AB237" s="159">
        <f t="shared" si="144"/>
        <v>-75.5080285691065</v>
      </c>
      <c r="AC237" s="159">
        <f t="shared" si="144"/>
        <v>-67.328973740404763</v>
      </c>
      <c r="AD237" s="159">
        <f t="shared" si="144"/>
        <v>-62.432817805930426</v>
      </c>
      <c r="AE237" s="159">
        <f t="shared" si="144"/>
        <v>-81.039109121443744</v>
      </c>
      <c r="AF237" s="159">
        <f t="shared" si="144"/>
        <v>-28.851364435414325</v>
      </c>
      <c r="AG237" s="159">
        <f t="shared" si="144"/>
        <v>-27.038060963021962</v>
      </c>
      <c r="AH237" s="188">
        <f t="shared" si="144"/>
        <v>0</v>
      </c>
    </row>
    <row r="238" spans="1:34">
      <c r="A238" t="s">
        <v>417</v>
      </c>
      <c r="C238" s="336">
        <f t="shared" ref="C238:AH238" si="145">C217-C198</f>
        <v>0</v>
      </c>
      <c r="D238" s="336">
        <f t="shared" si="145"/>
        <v>-846.1752179169257</v>
      </c>
      <c r="E238" s="336">
        <f t="shared" si="145"/>
        <v>341.88456565450497</v>
      </c>
      <c r="F238" s="336">
        <f t="shared" si="145"/>
        <v>961.40631845915436</v>
      </c>
      <c r="G238" s="336">
        <f t="shared" si="145"/>
        <v>611.36670204036227</v>
      </c>
      <c r="H238" s="408">
        <f t="shared" si="145"/>
        <v>0</v>
      </c>
      <c r="I238" s="14">
        <f t="shared" si="145"/>
        <v>28.451547818814333</v>
      </c>
      <c r="J238" s="14">
        <f t="shared" si="145"/>
        <v>-14.37425085669156</v>
      </c>
      <c r="K238" s="14">
        <f t="shared" si="145"/>
        <v>-63.963222252766172</v>
      </c>
      <c r="L238" s="14">
        <f t="shared" si="145"/>
        <v>-48.066964036332593</v>
      </c>
      <c r="M238" s="14">
        <f t="shared" si="145"/>
        <v>-26.296133566735534</v>
      </c>
      <c r="N238" s="188">
        <f t="shared" si="145"/>
        <v>0</v>
      </c>
      <c r="O238" s="14">
        <f t="shared" si="145"/>
        <v>-38.300102055056414</v>
      </c>
      <c r="P238" s="14">
        <f t="shared" si="145"/>
        <v>-20.620970449699144</v>
      </c>
      <c r="Q238" s="14">
        <f t="shared" si="145"/>
        <v>-33.154319209024834</v>
      </c>
      <c r="R238" s="14">
        <f t="shared" si="145"/>
        <v>-29.886548624376246</v>
      </c>
      <c r="S238" s="14">
        <f t="shared" si="145"/>
        <v>-26.57847148286055</v>
      </c>
      <c r="T238" s="14">
        <f t="shared" si="145"/>
        <v>-7.654867140125134</v>
      </c>
      <c r="U238" s="14">
        <f t="shared" si="145"/>
        <v>-4.9478759732028266</v>
      </c>
      <c r="V238" s="14">
        <f t="shared" si="145"/>
        <v>13.945919493831752</v>
      </c>
      <c r="W238" s="14">
        <f t="shared" si="145"/>
        <v>8.2240318591952928</v>
      </c>
      <c r="X238" s="188">
        <f t="shared" si="145"/>
        <v>0</v>
      </c>
      <c r="Y238" s="159">
        <f t="shared" si="145"/>
        <v>3.8775017794505402</v>
      </c>
      <c r="Z238" s="159">
        <f t="shared" si="145"/>
        <v>-35.27867566614259</v>
      </c>
      <c r="AA238" s="159">
        <f t="shared" si="145"/>
        <v>-32.163075672232935</v>
      </c>
      <c r="AB238" s="159">
        <f t="shared" si="145"/>
        <v>-39.741067667951029</v>
      </c>
      <c r="AC238" s="159">
        <f t="shared" si="145"/>
        <v>-35.436301968634325</v>
      </c>
      <c r="AD238" s="159">
        <f t="shared" si="145"/>
        <v>-32.859377792595296</v>
      </c>
      <c r="AE238" s="159">
        <f t="shared" si="145"/>
        <v>-42.652162695496827</v>
      </c>
      <c r="AF238" s="159">
        <f t="shared" si="145"/>
        <v>-15.184928650218353</v>
      </c>
      <c r="AG238" s="159">
        <f t="shared" si="145"/>
        <v>-14.23055840159077</v>
      </c>
      <c r="AH238" s="188">
        <f t="shared" si="145"/>
        <v>0</v>
      </c>
    </row>
    <row r="239" spans="1:34">
      <c r="A239" t="s">
        <v>418</v>
      </c>
      <c r="C239" s="336">
        <f t="shared" ref="C239:AH239" si="146">C218-C199</f>
        <v>0</v>
      </c>
      <c r="D239" s="336">
        <f t="shared" si="146"/>
        <v>-761.55769612523318</v>
      </c>
      <c r="E239" s="336">
        <f t="shared" si="146"/>
        <v>307.69610908905452</v>
      </c>
      <c r="F239" s="336">
        <f t="shared" si="146"/>
        <v>865.26568661323904</v>
      </c>
      <c r="G239" s="336">
        <f t="shared" si="146"/>
        <v>550.23003183632568</v>
      </c>
      <c r="H239" s="408">
        <f t="shared" si="146"/>
        <v>0</v>
      </c>
      <c r="I239" s="14">
        <f t="shared" si="146"/>
        <v>25.606393036933014</v>
      </c>
      <c r="J239" s="14">
        <f t="shared" si="146"/>
        <v>-12.936825771022768</v>
      </c>
      <c r="K239" s="14">
        <f t="shared" si="146"/>
        <v>-57.566900027489282</v>
      </c>
      <c r="L239" s="14">
        <f t="shared" si="146"/>
        <v>-43.260267632699197</v>
      </c>
      <c r="M239" s="14">
        <f t="shared" si="146"/>
        <v>-23.66652021006189</v>
      </c>
      <c r="N239" s="188">
        <f t="shared" si="146"/>
        <v>0</v>
      </c>
      <c r="O239" s="14">
        <f t="shared" si="146"/>
        <v>-34.470091849550727</v>
      </c>
      <c r="P239" s="14">
        <f t="shared" si="146"/>
        <v>-18.558873404729184</v>
      </c>
      <c r="Q239" s="14">
        <f t="shared" si="146"/>
        <v>-29.838887288122351</v>
      </c>
      <c r="R239" s="14">
        <f t="shared" si="146"/>
        <v>-26.897893761938576</v>
      </c>
      <c r="S239" s="14">
        <f t="shared" si="146"/>
        <v>-23.920624334574313</v>
      </c>
      <c r="T239" s="14">
        <f t="shared" si="146"/>
        <v>-6.8893804261124387</v>
      </c>
      <c r="U239" s="14">
        <f t="shared" si="146"/>
        <v>-4.4530883758825439</v>
      </c>
      <c r="V239" s="14">
        <f t="shared" si="146"/>
        <v>12.551327544448441</v>
      </c>
      <c r="W239" s="14">
        <f t="shared" si="146"/>
        <v>7.401628673275809</v>
      </c>
      <c r="X239" s="188">
        <f t="shared" si="146"/>
        <v>0</v>
      </c>
      <c r="Y239" s="159">
        <f t="shared" si="146"/>
        <v>3.4897516015053043</v>
      </c>
      <c r="Z239" s="159">
        <f t="shared" si="146"/>
        <v>-31.750808099528513</v>
      </c>
      <c r="AA239" s="159">
        <f t="shared" si="146"/>
        <v>-28.946768105009369</v>
      </c>
      <c r="AB239" s="159">
        <f t="shared" si="146"/>
        <v>-35.766960901155699</v>
      </c>
      <c r="AC239" s="159">
        <f t="shared" si="146"/>
        <v>-31.892671771770893</v>
      </c>
      <c r="AD239" s="159">
        <f t="shared" si="146"/>
        <v>-29.573440013335585</v>
      </c>
      <c r="AE239" s="159">
        <f t="shared" si="146"/>
        <v>-38.386946425947144</v>
      </c>
      <c r="AF239" s="159">
        <f t="shared" si="146"/>
        <v>-13.666435785196427</v>
      </c>
      <c r="AG239" s="159">
        <f t="shared" si="146"/>
        <v>-12.807502561431647</v>
      </c>
      <c r="AH239" s="188">
        <f t="shared" si="146"/>
        <v>0</v>
      </c>
    </row>
    <row r="240" spans="1:34">
      <c r="A240" t="s">
        <v>390</v>
      </c>
      <c r="C240" s="336">
        <f>C219-C200</f>
        <v>1.0240999999987253</v>
      </c>
      <c r="D240" s="336">
        <f t="shared" ref="D240:AH240" si="147">D219-D200+D249+D252</f>
        <v>1188.5874531342088</v>
      </c>
      <c r="E240" s="336">
        <f t="shared" si="147"/>
        <v>-665.20282304828652</v>
      </c>
      <c r="F240" s="336">
        <f t="shared" si="147"/>
        <v>-1663.2056265703122</v>
      </c>
      <c r="G240" s="336">
        <f t="shared" si="147"/>
        <v>-1173.6185846786902</v>
      </c>
      <c r="H240" s="408">
        <f t="shared" si="147"/>
        <v>-62.581288000001223</v>
      </c>
      <c r="I240" s="14">
        <f t="shared" si="147"/>
        <v>-162.61014089459786</v>
      </c>
      <c r="J240" s="14">
        <f t="shared" si="147"/>
        <v>-131.28490447958939</v>
      </c>
      <c r="K240" s="14">
        <f t="shared" si="147"/>
        <v>-81.248840509655565</v>
      </c>
      <c r="L240" s="14">
        <f t="shared" si="147"/>
        <v>-156.64600411517131</v>
      </c>
      <c r="M240" s="14">
        <f t="shared" si="147"/>
        <v>-537.11931424127943</v>
      </c>
      <c r="N240" s="188">
        <f t="shared" si="147"/>
        <v>-1176.277226299997</v>
      </c>
      <c r="O240" s="14">
        <f t="shared" si="147"/>
        <v>-1158.7801829279488</v>
      </c>
      <c r="P240" s="14">
        <f t="shared" si="147"/>
        <v>-1328.6316148606893</v>
      </c>
      <c r="Q240" s="14">
        <f t="shared" si="147"/>
        <v>-1416.6120018629226</v>
      </c>
      <c r="R240" s="14">
        <f t="shared" si="147"/>
        <v>-1543.6533966746265</v>
      </c>
      <c r="S240" s="14">
        <f t="shared" si="147"/>
        <v>-1685.1781777490469</v>
      </c>
      <c r="T240" s="14">
        <f t="shared" si="147"/>
        <v>-1888.6038813386713</v>
      </c>
      <c r="U240" s="14">
        <f t="shared" si="147"/>
        <v>-2046.4015601068895</v>
      </c>
      <c r="V240" s="14">
        <f t="shared" si="147"/>
        <v>-2257.4531598647518</v>
      </c>
      <c r="W240" s="14">
        <f t="shared" si="147"/>
        <v>-2388.0302931589395</v>
      </c>
      <c r="X240" s="188">
        <f t="shared" si="147"/>
        <v>-2455.6444759000005</v>
      </c>
      <c r="Y240" s="159">
        <f t="shared" si="147"/>
        <v>-2535.8127809066427</v>
      </c>
      <c r="Z240" s="159">
        <f t="shared" si="147"/>
        <v>-2485.1578989709415</v>
      </c>
      <c r="AA240" s="159">
        <f t="shared" si="147"/>
        <v>-2600.804610763953</v>
      </c>
      <c r="AB240" s="159">
        <f t="shared" si="147"/>
        <v>-2679.8717780284715</v>
      </c>
      <c r="AC240" s="159">
        <f t="shared" si="147"/>
        <v>-2810.3937503113993</v>
      </c>
      <c r="AD240" s="159">
        <f t="shared" si="147"/>
        <v>-2936.7483683492319</v>
      </c>
      <c r="AE240" s="159">
        <f t="shared" si="147"/>
        <v>-3012.5529311370228</v>
      </c>
      <c r="AF240" s="159">
        <f t="shared" si="147"/>
        <v>-3243.2768827850778</v>
      </c>
      <c r="AG240" s="159">
        <f t="shared" si="147"/>
        <v>-3366.9188527217229</v>
      </c>
      <c r="AH240" s="188">
        <f t="shared" si="147"/>
        <v>-3546.3984528500023</v>
      </c>
    </row>
    <row r="241" spans="1:34">
      <c r="A241" t="s">
        <v>419</v>
      </c>
      <c r="C241" s="336">
        <f>C220-C201</f>
        <v>0.5389999999988504</v>
      </c>
      <c r="D241" s="336">
        <f t="shared" ref="D241:AH241" si="148">D220-D201+D250+D253</f>
        <v>625.57234375484586</v>
      </c>
      <c r="E241" s="336">
        <f t="shared" si="148"/>
        <v>-350.10674897278204</v>
      </c>
      <c r="F241" s="336">
        <f t="shared" si="148"/>
        <v>-875.37138240542663</v>
      </c>
      <c r="G241" s="336">
        <f t="shared" si="148"/>
        <v>-617.693991936153</v>
      </c>
      <c r="H241" s="408">
        <f t="shared" si="148"/>
        <v>-32.937519999999495</v>
      </c>
      <c r="I241" s="14">
        <f t="shared" si="148"/>
        <v>-85.584284681366626</v>
      </c>
      <c r="J241" s="14">
        <f t="shared" si="148"/>
        <v>-69.097318147152691</v>
      </c>
      <c r="K241" s="14">
        <f t="shared" si="148"/>
        <v>-42.762547636660202</v>
      </c>
      <c r="L241" s="14">
        <f t="shared" si="148"/>
        <v>-82.445265323774947</v>
      </c>
      <c r="M241" s="14">
        <f t="shared" si="148"/>
        <v>-282.69437591646238</v>
      </c>
      <c r="N241" s="188">
        <f t="shared" si="148"/>
        <v>-619.09327699999903</v>
      </c>
      <c r="O241" s="14">
        <f t="shared" si="148"/>
        <v>-609.88430680418332</v>
      </c>
      <c r="P241" s="14">
        <f t="shared" si="148"/>
        <v>-699.27979729509934</v>
      </c>
      <c r="Q241" s="14">
        <f t="shared" si="148"/>
        <v>-745.58526413838081</v>
      </c>
      <c r="R241" s="14">
        <f t="shared" si="148"/>
        <v>-812.44915614454021</v>
      </c>
      <c r="S241" s="14">
        <f t="shared" si="148"/>
        <v>-886.93588302581429</v>
      </c>
      <c r="T241" s="14">
        <f t="shared" si="148"/>
        <v>-994.00204280982689</v>
      </c>
      <c r="U241" s="14">
        <f t="shared" si="148"/>
        <v>-1077.0534526878373</v>
      </c>
      <c r="V241" s="14">
        <f t="shared" si="148"/>
        <v>-1188.1332420340805</v>
      </c>
      <c r="W241" s="14">
        <f t="shared" si="148"/>
        <v>-1256.8580490310214</v>
      </c>
      <c r="X241" s="188">
        <f t="shared" si="148"/>
        <v>-1292.444461000001</v>
      </c>
      <c r="Y241" s="159">
        <f t="shared" si="148"/>
        <v>-1334.6383057403382</v>
      </c>
      <c r="Z241" s="159">
        <f t="shared" si="148"/>
        <v>-1307.9778415636538</v>
      </c>
      <c r="AA241" s="159">
        <f t="shared" si="148"/>
        <v>-1368.844531981028</v>
      </c>
      <c r="AB241" s="159">
        <f t="shared" si="148"/>
        <v>-1410.4588305412999</v>
      </c>
      <c r="AC241" s="159">
        <f t="shared" si="148"/>
        <v>-1479.154605427052</v>
      </c>
      <c r="AD241" s="159">
        <f t="shared" si="148"/>
        <v>-1545.6570359732787</v>
      </c>
      <c r="AE241" s="159">
        <f t="shared" si="148"/>
        <v>-1585.5541742826426</v>
      </c>
      <c r="AF241" s="159">
        <f t="shared" si="148"/>
        <v>-1706.9878330447773</v>
      </c>
      <c r="AG241" s="159">
        <f t="shared" si="148"/>
        <v>-1772.062554064064</v>
      </c>
      <c r="AH241" s="188">
        <f t="shared" si="148"/>
        <v>-1866.5255015000021</v>
      </c>
    </row>
    <row r="242" spans="1:34">
      <c r="A242" t="s">
        <v>420</v>
      </c>
      <c r="C242" s="336">
        <f>C221-C202</f>
        <v>0.48509999999896536</v>
      </c>
      <c r="D242" s="336">
        <f t="shared" ref="D242:AH242" si="149">D221-D202+D251+D254</f>
        <v>563.015109379362</v>
      </c>
      <c r="E242" s="336">
        <f t="shared" si="149"/>
        <v>-315.09607407550448</v>
      </c>
      <c r="F242" s="336">
        <f t="shared" si="149"/>
        <v>-787.83424416488469</v>
      </c>
      <c r="G242" s="336">
        <f t="shared" si="149"/>
        <v>-555.92459274253724</v>
      </c>
      <c r="H242" s="408">
        <f t="shared" si="149"/>
        <v>-29.643767999999</v>
      </c>
      <c r="I242" s="14">
        <f t="shared" si="149"/>
        <v>-77.025856213230327</v>
      </c>
      <c r="J242" s="14">
        <f t="shared" si="149"/>
        <v>-62.187586332436695</v>
      </c>
      <c r="K242" s="14">
        <f t="shared" si="149"/>
        <v>-38.486292872995364</v>
      </c>
      <c r="L242" s="14">
        <f t="shared" si="149"/>
        <v>-74.200738791397271</v>
      </c>
      <c r="M242" s="14">
        <f t="shared" si="149"/>
        <v>-254.42493832481614</v>
      </c>
      <c r="N242" s="188">
        <f t="shared" si="149"/>
        <v>-557.18394929999886</v>
      </c>
      <c r="O242" s="14">
        <f t="shared" si="149"/>
        <v>-548.89587612376545</v>
      </c>
      <c r="P242" s="14">
        <f t="shared" si="149"/>
        <v>-629.35181756558995</v>
      </c>
      <c r="Q242" s="14">
        <f t="shared" si="149"/>
        <v>-671.02673772454182</v>
      </c>
      <c r="R242" s="14">
        <f t="shared" si="149"/>
        <v>-731.20424053008719</v>
      </c>
      <c r="S242" s="14">
        <f t="shared" si="149"/>
        <v>-798.24229472323168</v>
      </c>
      <c r="T242" s="14">
        <f t="shared" si="149"/>
        <v>-894.60183852884529</v>
      </c>
      <c r="U242" s="14">
        <f t="shared" si="149"/>
        <v>-969.34810741905494</v>
      </c>
      <c r="V242" s="14">
        <f t="shared" si="149"/>
        <v>-1069.3199178306731</v>
      </c>
      <c r="W242" s="14">
        <f t="shared" si="149"/>
        <v>-1131.1722441279189</v>
      </c>
      <c r="X242" s="188">
        <f t="shared" si="149"/>
        <v>-1163.2000148999996</v>
      </c>
      <c r="Y242" s="159">
        <f t="shared" si="149"/>
        <v>-1201.1744751663045</v>
      </c>
      <c r="Z242" s="159">
        <f t="shared" si="149"/>
        <v>-1177.1800574072877</v>
      </c>
      <c r="AA242" s="159">
        <f t="shared" si="149"/>
        <v>-1231.960078782924</v>
      </c>
      <c r="AB242" s="159">
        <f t="shared" si="149"/>
        <v>-1269.4129474871716</v>
      </c>
      <c r="AC242" s="159">
        <f t="shared" si="149"/>
        <v>-1331.2391448843473</v>
      </c>
      <c r="AD242" s="159">
        <f t="shared" si="149"/>
        <v>-1391.0913323759514</v>
      </c>
      <c r="AE242" s="159">
        <f t="shared" si="149"/>
        <v>-1426.9987568543793</v>
      </c>
      <c r="AF242" s="159">
        <f t="shared" si="149"/>
        <v>-1536.2890497403005</v>
      </c>
      <c r="AG242" s="159">
        <f t="shared" si="149"/>
        <v>-1594.856298657658</v>
      </c>
      <c r="AH242" s="188">
        <f t="shared" si="149"/>
        <v>-1679.8729513500002</v>
      </c>
    </row>
    <row r="243" spans="1:34" s="1" customFormat="1">
      <c r="A243" s="1" t="s">
        <v>401</v>
      </c>
      <c r="B243" s="13"/>
      <c r="C243" s="346">
        <f>C222-C203</f>
        <v>1.024097299999994</v>
      </c>
      <c r="D243" s="346">
        <f t="shared" ref="D243:AH243" si="150">D222-D203+D249+D252</f>
        <v>-295.05428378386569</v>
      </c>
      <c r="E243" s="346">
        <f t="shared" si="150"/>
        <v>232.10970523158903</v>
      </c>
      <c r="F243" s="346">
        <f t="shared" si="150"/>
        <v>494.0733698473523</v>
      </c>
      <c r="G243" s="346">
        <f t="shared" si="150"/>
        <v>382.19160253602604</v>
      </c>
      <c r="H243" s="411">
        <f t="shared" si="150"/>
        <v>-62.581290699999954</v>
      </c>
      <c r="I243" s="15">
        <f t="shared" si="150"/>
        <v>-15.907271046038659</v>
      </c>
      <c r="J243" s="15">
        <f t="shared" si="150"/>
        <v>-12.372362121197511</v>
      </c>
      <c r="K243" s="15">
        <f t="shared" si="150"/>
        <v>-18.005016823688493</v>
      </c>
      <c r="L243" s="15">
        <f t="shared" si="150"/>
        <v>23.777572088045417</v>
      </c>
      <c r="M243" s="15">
        <f t="shared" si="150"/>
        <v>219.22155943364487</v>
      </c>
      <c r="N243" s="191">
        <f t="shared" si="150"/>
        <v>563.51657654427254</v>
      </c>
      <c r="O243" s="15">
        <f t="shared" si="150"/>
        <v>564.26606222770715</v>
      </c>
      <c r="P243" s="15">
        <f t="shared" si="150"/>
        <v>652.30319383782989</v>
      </c>
      <c r="Q243" s="15">
        <f t="shared" si="150"/>
        <v>708.91599833209693</v>
      </c>
      <c r="R243" s="15">
        <f t="shared" si="150"/>
        <v>775.8388532786521</v>
      </c>
      <c r="S243" s="15">
        <f t="shared" si="150"/>
        <v>854.03581036079413</v>
      </c>
      <c r="T243" s="15">
        <f t="shared" si="150"/>
        <v>961.79635201576093</v>
      </c>
      <c r="U243" s="15">
        <f t="shared" si="150"/>
        <v>1051.4603100658314</v>
      </c>
      <c r="V243" s="15">
        <f t="shared" si="150"/>
        <v>1161.5812416621338</v>
      </c>
      <c r="W243" s="15">
        <f t="shared" si="150"/>
        <v>1235.4866819463059</v>
      </c>
      <c r="X243" s="191">
        <f t="shared" si="150"/>
        <v>1255.2150866132506</v>
      </c>
      <c r="Y243" s="131">
        <f t="shared" si="150"/>
        <v>1284.9822307168652</v>
      </c>
      <c r="Z243" s="131">
        <f t="shared" si="150"/>
        <v>1267.9923523081779</v>
      </c>
      <c r="AA243" s="131">
        <f t="shared" si="150"/>
        <v>1331.8062605665473</v>
      </c>
      <c r="AB243" s="131">
        <f t="shared" si="150"/>
        <v>1379.4141991389806</v>
      </c>
      <c r="AC243" s="131">
        <f t="shared" si="150"/>
        <v>1450.9032530809964</v>
      </c>
      <c r="AD243" s="131">
        <f t="shared" si="150"/>
        <v>1520.5637765780521</v>
      </c>
      <c r="AE243" s="131">
        <f t="shared" si="150"/>
        <v>1566.9693164603559</v>
      </c>
      <c r="AF243" s="131">
        <f t="shared" si="150"/>
        <v>1684.9037459450446</v>
      </c>
      <c r="AG243" s="131">
        <f t="shared" si="150"/>
        <v>1753.3809581461683</v>
      </c>
      <c r="AH243" s="191">
        <f t="shared" si="150"/>
        <v>1348.0457183578146</v>
      </c>
    </row>
    <row r="244" spans="1:34">
      <c r="A244" t="s">
        <v>441</v>
      </c>
      <c r="C244" s="336"/>
      <c r="D244" s="336">
        <f>D231+D234</f>
        <v>124.09117712408568</v>
      </c>
      <c r="E244" s="336">
        <f t="shared" ref="E244:N244" si="151">E231+E234</f>
        <v>247.73185353631584</v>
      </c>
      <c r="F244" s="336">
        <f t="shared" si="151"/>
        <v>330.60699134527044</v>
      </c>
      <c r="G244" s="336">
        <f t="shared" si="151"/>
        <v>394.21345333802947</v>
      </c>
      <c r="H244" s="408">
        <f t="shared" si="151"/>
        <v>-2.7000000955013093E-6</v>
      </c>
      <c r="I244" s="14">
        <f t="shared" si="151"/>
        <v>92.644928992812766</v>
      </c>
      <c r="J244" s="14">
        <f t="shared" si="151"/>
        <v>146.2236189861087</v>
      </c>
      <c r="K244" s="14">
        <f t="shared" si="151"/>
        <v>184.77394596622344</v>
      </c>
      <c r="L244" s="14">
        <f t="shared" si="151"/>
        <v>271.75080787225124</v>
      </c>
      <c r="M244" s="14">
        <f t="shared" si="151"/>
        <v>806.30352745172195</v>
      </c>
      <c r="N244" s="188">
        <f t="shared" si="151"/>
        <v>1739.7938028442704</v>
      </c>
      <c r="O244" s="14">
        <f>O231+O234</f>
        <v>1795.8164390602624</v>
      </c>
      <c r="P244" s="14">
        <f t="shared" ref="P244:AH244" si="152">P231+P234</f>
        <v>2020.1146525529457</v>
      </c>
      <c r="Q244" s="14">
        <f t="shared" si="152"/>
        <v>2188.5212066921677</v>
      </c>
      <c r="R244" s="14">
        <f t="shared" si="152"/>
        <v>2376.2766923395925</v>
      </c>
      <c r="S244" s="14">
        <f t="shared" si="152"/>
        <v>2589.7130839272777</v>
      </c>
      <c r="T244" s="14">
        <f t="shared" si="152"/>
        <v>2864.9444809206689</v>
      </c>
      <c r="U244" s="14">
        <f t="shared" si="152"/>
        <v>3107.2628345218072</v>
      </c>
      <c r="V244" s="14">
        <f t="shared" si="152"/>
        <v>3392.537154488607</v>
      </c>
      <c r="W244" s="14">
        <f t="shared" si="152"/>
        <v>3607.8913145727756</v>
      </c>
      <c r="X244" s="188">
        <f t="shared" si="152"/>
        <v>3710.8595625132511</v>
      </c>
      <c r="Y244" s="159">
        <f t="shared" si="152"/>
        <v>3813.4277582425511</v>
      </c>
      <c r="Z244" s="159">
        <f t="shared" si="152"/>
        <v>3820.1797350447882</v>
      </c>
      <c r="AA244" s="159">
        <f t="shared" si="152"/>
        <v>3993.7207151077428</v>
      </c>
      <c r="AB244" s="159">
        <f t="shared" si="152"/>
        <v>4134.7940057365568</v>
      </c>
      <c r="AC244" s="159">
        <f t="shared" si="152"/>
        <v>4328.6259771327996</v>
      </c>
      <c r="AD244" s="159">
        <f t="shared" si="152"/>
        <v>4519.7449627332162</v>
      </c>
      <c r="AE244" s="159">
        <f t="shared" si="152"/>
        <v>4660.561356718822</v>
      </c>
      <c r="AF244" s="159">
        <f t="shared" si="152"/>
        <v>4957.0319931655376</v>
      </c>
      <c r="AG244" s="159">
        <f t="shared" si="152"/>
        <v>5147.3378718309132</v>
      </c>
      <c r="AH244" s="188">
        <f t="shared" si="152"/>
        <v>4894.4441712078169</v>
      </c>
    </row>
    <row r="245" spans="1:34">
      <c r="A245" t="s">
        <v>442</v>
      </c>
      <c r="D245" s="336">
        <f>D231+D234+D237</f>
        <v>-1483.641736918074</v>
      </c>
      <c r="E245" s="336">
        <f t="shared" ref="E245:N245" si="153">E231+E234+E237</f>
        <v>897.31252827987487</v>
      </c>
      <c r="F245" s="336">
        <f t="shared" si="153"/>
        <v>2157.2789964176636</v>
      </c>
      <c r="G245" s="336">
        <f t="shared" si="153"/>
        <v>1555.8101872147181</v>
      </c>
      <c r="H245" s="408">
        <f t="shared" si="153"/>
        <v>-2.7000000955013093E-6</v>
      </c>
      <c r="I245" s="14">
        <f t="shared" si="153"/>
        <v>146.70286984855966</v>
      </c>
      <c r="J245" s="14">
        <f t="shared" si="153"/>
        <v>118.9125423583946</v>
      </c>
      <c r="K245" s="14">
        <f t="shared" si="153"/>
        <v>63.243823685967982</v>
      </c>
      <c r="L245" s="14">
        <f t="shared" si="153"/>
        <v>180.42357620321945</v>
      </c>
      <c r="M245" s="14">
        <f t="shared" si="153"/>
        <v>756.34087367492475</v>
      </c>
      <c r="N245" s="188">
        <f t="shared" si="153"/>
        <v>1739.7938028442704</v>
      </c>
      <c r="O245" s="14">
        <f>O231+O234+O237</f>
        <v>1723.0462451556555</v>
      </c>
      <c r="P245" s="14">
        <f t="shared" ref="P245:AH245" si="154">P231+P234+P237</f>
        <v>1980.9348086985174</v>
      </c>
      <c r="Q245" s="14">
        <f t="shared" si="154"/>
        <v>2125.5280001950205</v>
      </c>
      <c r="R245" s="14">
        <f t="shared" si="154"/>
        <v>2319.4922499532781</v>
      </c>
      <c r="S245" s="14">
        <f t="shared" si="154"/>
        <v>2539.2139881098428</v>
      </c>
      <c r="T245" s="14">
        <f t="shared" si="154"/>
        <v>2850.4002333544313</v>
      </c>
      <c r="U245" s="14">
        <f t="shared" si="154"/>
        <v>3097.8618701727219</v>
      </c>
      <c r="V245" s="14">
        <f t="shared" si="154"/>
        <v>3419.034401526887</v>
      </c>
      <c r="W245" s="14">
        <f t="shared" si="154"/>
        <v>3623.5169751052467</v>
      </c>
      <c r="X245" s="188">
        <f t="shared" si="154"/>
        <v>3710.8595625132511</v>
      </c>
      <c r="Y245" s="159">
        <f t="shared" si="154"/>
        <v>3820.795011623507</v>
      </c>
      <c r="Z245" s="159">
        <f t="shared" si="154"/>
        <v>3753.1502512791171</v>
      </c>
      <c r="AA245" s="159">
        <f t="shared" si="154"/>
        <v>3932.6108713305007</v>
      </c>
      <c r="AB245" s="159">
        <f t="shared" si="154"/>
        <v>4059.2859771674503</v>
      </c>
      <c r="AC245" s="159">
        <f t="shared" si="154"/>
        <v>4261.2970033923948</v>
      </c>
      <c r="AD245" s="159">
        <f t="shared" si="154"/>
        <v>4457.3121449272858</v>
      </c>
      <c r="AE245" s="159">
        <f t="shared" si="154"/>
        <v>4579.5222475973787</v>
      </c>
      <c r="AF245" s="159">
        <f t="shared" si="154"/>
        <v>4928.1806287301233</v>
      </c>
      <c r="AG245" s="159">
        <f t="shared" si="154"/>
        <v>5120.2998108678912</v>
      </c>
      <c r="AH245" s="188">
        <f t="shared" si="154"/>
        <v>4894.4441712078169</v>
      </c>
    </row>
    <row r="246" spans="1:34" s="1" customFormat="1">
      <c r="A246" s="1" t="s">
        <v>445</v>
      </c>
      <c r="B246" s="13"/>
      <c r="C246" s="333"/>
      <c r="D246" s="346">
        <f>D243</f>
        <v>-295.05428378386569</v>
      </c>
      <c r="E246" s="346">
        <f>D246+E243</f>
        <v>-62.944578552276653</v>
      </c>
      <c r="F246" s="346">
        <f>E246+F243</f>
        <v>431.12879129507564</v>
      </c>
      <c r="G246" s="346">
        <f>F246+G243</f>
        <v>813.32039383110168</v>
      </c>
      <c r="H246" s="411"/>
      <c r="I246" s="15">
        <f t="shared" ref="I246:X246" si="155">H246+I243</f>
        <v>-15.907271046038659</v>
      </c>
      <c r="J246" s="15">
        <f t="shared" si="155"/>
        <v>-28.27963316723617</v>
      </c>
      <c r="K246" s="15">
        <f t="shared" si="155"/>
        <v>-46.284649990924663</v>
      </c>
      <c r="L246" s="15">
        <f t="shared" si="155"/>
        <v>-22.507077902879246</v>
      </c>
      <c r="M246" s="15">
        <f t="shared" si="155"/>
        <v>196.71448153076562</v>
      </c>
      <c r="N246" s="191">
        <f t="shared" si="155"/>
        <v>760.23105807503816</v>
      </c>
      <c r="O246" s="15">
        <f t="shared" si="155"/>
        <v>1324.4971203027453</v>
      </c>
      <c r="P246" s="15">
        <f t="shared" si="155"/>
        <v>1976.8003141405752</v>
      </c>
      <c r="Q246" s="15">
        <f t="shared" si="155"/>
        <v>2685.7163124726721</v>
      </c>
      <c r="R246" s="15">
        <f t="shared" si="155"/>
        <v>3461.5551657513242</v>
      </c>
      <c r="S246" s="15">
        <f t="shared" si="155"/>
        <v>4315.5909761121184</v>
      </c>
      <c r="T246" s="15">
        <f t="shared" si="155"/>
        <v>5277.3873281278793</v>
      </c>
      <c r="U246" s="15">
        <f t="shared" si="155"/>
        <v>6328.8476381937107</v>
      </c>
      <c r="V246" s="15">
        <f t="shared" si="155"/>
        <v>7490.4288798558446</v>
      </c>
      <c r="W246" s="15">
        <f t="shared" si="155"/>
        <v>8725.9155618021505</v>
      </c>
      <c r="X246" s="191">
        <f t="shared" si="155"/>
        <v>9981.1306484154011</v>
      </c>
      <c r="Y246" s="131">
        <f t="shared" ref="Y246:AH246" si="156">X246+Y243</f>
        <v>11266.112879132266</v>
      </c>
      <c r="Z246" s="131">
        <f t="shared" si="156"/>
        <v>12534.105231440444</v>
      </c>
      <c r="AA246" s="131">
        <f t="shared" si="156"/>
        <v>13865.911492006991</v>
      </c>
      <c r="AB246" s="131">
        <f t="shared" si="156"/>
        <v>15245.325691145972</v>
      </c>
      <c r="AC246" s="131">
        <f t="shared" si="156"/>
        <v>16696.228944226968</v>
      </c>
      <c r="AD246" s="131">
        <f t="shared" si="156"/>
        <v>18216.792720805021</v>
      </c>
      <c r="AE246" s="131">
        <f t="shared" si="156"/>
        <v>19783.762037265376</v>
      </c>
      <c r="AF246" s="131">
        <f t="shared" si="156"/>
        <v>21468.665783210421</v>
      </c>
      <c r="AG246" s="131">
        <f t="shared" si="156"/>
        <v>23222.046741356589</v>
      </c>
      <c r="AH246" s="191">
        <f t="shared" si="156"/>
        <v>24570.092459714404</v>
      </c>
    </row>
    <row r="247" spans="1:34">
      <c r="A247" t="s">
        <v>454</v>
      </c>
      <c r="D247" s="348" t="b">
        <f t="shared" ref="D247:AH247" si="157">IF(D185-D246&lt;1,TRUE,FALSE)</f>
        <v>1</v>
      </c>
      <c r="E247" s="348" t="b">
        <f t="shared" si="157"/>
        <v>1</v>
      </c>
      <c r="F247" s="348" t="b">
        <f t="shared" si="157"/>
        <v>1</v>
      </c>
      <c r="G247" s="348" t="b">
        <f t="shared" si="157"/>
        <v>1</v>
      </c>
      <c r="H247" s="414"/>
      <c r="I247" s="134" t="b">
        <f t="shared" si="157"/>
        <v>1</v>
      </c>
      <c r="J247" s="134" t="b">
        <f t="shared" si="157"/>
        <v>1</v>
      </c>
      <c r="K247" s="134" t="b">
        <f t="shared" si="157"/>
        <v>1</v>
      </c>
      <c r="L247" s="134" t="b">
        <f t="shared" si="157"/>
        <v>1</v>
      </c>
      <c r="M247" s="134" t="b">
        <f t="shared" si="157"/>
        <v>1</v>
      </c>
      <c r="N247" s="195" t="b">
        <f t="shared" si="157"/>
        <v>1</v>
      </c>
      <c r="O247" s="134" t="b">
        <f t="shared" si="157"/>
        <v>1</v>
      </c>
      <c r="P247" s="134" t="b">
        <f t="shared" si="157"/>
        <v>1</v>
      </c>
      <c r="Q247" s="134" t="b">
        <f t="shared" si="157"/>
        <v>1</v>
      </c>
      <c r="R247" s="134" t="b">
        <f t="shared" si="157"/>
        <v>1</v>
      </c>
      <c r="S247" s="134" t="b">
        <f t="shared" si="157"/>
        <v>1</v>
      </c>
      <c r="T247" s="134" t="b">
        <f t="shared" si="157"/>
        <v>1</v>
      </c>
      <c r="U247" s="134" t="b">
        <f t="shared" si="157"/>
        <v>1</v>
      </c>
      <c r="V247" s="134" t="b">
        <f t="shared" si="157"/>
        <v>1</v>
      </c>
      <c r="W247" s="134" t="b">
        <f t="shared" si="157"/>
        <v>1</v>
      </c>
      <c r="X247" s="195" t="b">
        <f t="shared" si="157"/>
        <v>1</v>
      </c>
      <c r="Y247" s="291" t="b">
        <f t="shared" si="157"/>
        <v>1</v>
      </c>
      <c r="Z247" s="291" t="b">
        <f t="shared" si="157"/>
        <v>1</v>
      </c>
      <c r="AA247" s="291" t="b">
        <f t="shared" si="157"/>
        <v>1</v>
      </c>
      <c r="AB247" s="291" t="b">
        <f t="shared" si="157"/>
        <v>1</v>
      </c>
      <c r="AC247" s="291" t="b">
        <f t="shared" si="157"/>
        <v>1</v>
      </c>
      <c r="AD247" s="291" t="b">
        <f t="shared" si="157"/>
        <v>1</v>
      </c>
      <c r="AE247" s="291" t="b">
        <f t="shared" si="157"/>
        <v>1</v>
      </c>
      <c r="AF247" s="291" t="b">
        <f t="shared" si="157"/>
        <v>1</v>
      </c>
      <c r="AG247" s="291" t="b">
        <f t="shared" si="157"/>
        <v>1</v>
      </c>
      <c r="AH247" s="195" t="b">
        <f t="shared" si="157"/>
        <v>1</v>
      </c>
    </row>
    <row r="248" spans="1:34">
      <c r="A248" t="s">
        <v>435</v>
      </c>
    </row>
    <row r="249" spans="1:34" s="1" customFormat="1">
      <c r="A249" s="1" t="s">
        <v>436</v>
      </c>
      <c r="B249" s="13"/>
      <c r="C249" s="333"/>
      <c r="D249" s="346">
        <f>D$29*(EIA_electricity_aeo2014!F$60) * Inputs!$M$60</f>
        <v>0</v>
      </c>
      <c r="E249" s="346">
        <f>E$29*(EIA_electricity_aeo2014!G$60) * Inputs!$M$60</f>
        <v>0</v>
      </c>
      <c r="F249" s="346">
        <f>F$29*(EIA_electricity_aeo2014!H$60) * Inputs!$M$60</f>
        <v>0</v>
      </c>
      <c r="G249" s="346">
        <f>G$29*(EIA_electricity_aeo2014!I$60) * Inputs!$M$60</f>
        <v>0</v>
      </c>
      <c r="H249" s="411">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1">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1">
        <f>X$29*(EIA_electricity_aeo2014!Z$60) * Inputs!$M$60</f>
        <v>0</v>
      </c>
      <c r="Y249" s="131">
        <f>Y$29*(EIA_electricity_aeo2014!AA$60) * Inputs!$M$60</f>
        <v>0</v>
      </c>
      <c r="Z249" s="131">
        <f>Z$29*(EIA_electricity_aeo2014!AB$60) * Inputs!$M$60</f>
        <v>0</v>
      </c>
      <c r="AA249" s="131">
        <f>AA$29*(EIA_electricity_aeo2014!AC$60) * Inputs!$M$60</f>
        <v>0</v>
      </c>
      <c r="AB249" s="131">
        <f>AB$29*(EIA_electricity_aeo2014!AD$60) * Inputs!$M$60</f>
        <v>0</v>
      </c>
      <c r="AC249" s="131">
        <f>AC$29*(EIA_electricity_aeo2014!AE$60) * Inputs!$M$60</f>
        <v>0</v>
      </c>
      <c r="AD249" s="131">
        <f>AD$29*(EIA_electricity_aeo2014!AF$60) * Inputs!$M$60</f>
        <v>0</v>
      </c>
      <c r="AE249" s="131">
        <f>AE$29*(EIA_electricity_aeo2014!AG$60) * Inputs!$M$60</f>
        <v>0</v>
      </c>
      <c r="AF249" s="131">
        <f>AF$29*(EIA_electricity_aeo2014!AH$60) * Inputs!$M$60</f>
        <v>0</v>
      </c>
      <c r="AG249" s="131">
        <f>AG$29*(EIA_electricity_aeo2014!AI$60) * Inputs!$M$60</f>
        <v>0</v>
      </c>
      <c r="AH249" s="191">
        <f>AH$29*(EIA_electricity_aeo2014!AJ$60) * Inputs!$M$60</f>
        <v>0</v>
      </c>
    </row>
    <row r="250" spans="1:34">
      <c r="A250" t="s">
        <v>438</v>
      </c>
      <c r="D250" s="336">
        <f>D$29*(EIA_electricity_aeo2014!F$60) * Inputs!$C$60</f>
        <v>0</v>
      </c>
      <c r="E250" s="336">
        <f>E$29*(EIA_electricity_aeo2014!G$60) * Inputs!$C$60</f>
        <v>0</v>
      </c>
      <c r="F250" s="336">
        <f>F$29*(EIA_electricity_aeo2014!H$60) * Inputs!$C$60</f>
        <v>0</v>
      </c>
      <c r="G250" s="336">
        <f>G$29*(EIA_electricity_aeo2014!I$60) * Inputs!$C$60</f>
        <v>0</v>
      </c>
      <c r="H250" s="408">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8">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1">
        <f>X$29*(EIA_electricity_aeo2014!Z$60) * Inputs!$M$60</f>
        <v>0</v>
      </c>
      <c r="Y250" s="131">
        <f>Y$29*(EIA_electricity_aeo2014!AA$60) * Inputs!$M$60</f>
        <v>0</v>
      </c>
      <c r="Z250" s="131">
        <f>Z$29*(EIA_electricity_aeo2014!AB$60) * Inputs!$M$60</f>
        <v>0</v>
      </c>
      <c r="AA250" s="131">
        <f>AA$29*(EIA_electricity_aeo2014!AC$60) * Inputs!$M$60</f>
        <v>0</v>
      </c>
      <c r="AB250" s="131">
        <f>AB$29*(EIA_electricity_aeo2014!AD$60) * Inputs!$M$60</f>
        <v>0</v>
      </c>
      <c r="AC250" s="131">
        <f>AC$29*(EIA_electricity_aeo2014!AE$60) * Inputs!$M$60</f>
        <v>0</v>
      </c>
      <c r="AD250" s="131">
        <f>AD$29*(EIA_electricity_aeo2014!AF$60) * Inputs!$M$60</f>
        <v>0</v>
      </c>
      <c r="AE250" s="131">
        <f>AE$29*(EIA_electricity_aeo2014!AG$60) * Inputs!$M$60</f>
        <v>0</v>
      </c>
      <c r="AF250" s="131">
        <f>AF$29*(EIA_electricity_aeo2014!AH$60) * Inputs!$M$60</f>
        <v>0</v>
      </c>
      <c r="AG250" s="131">
        <f>AG$29*(EIA_electricity_aeo2014!AI$60) * Inputs!$M$60</f>
        <v>0</v>
      </c>
      <c r="AH250" s="191">
        <f>AH$29*(EIA_electricity_aeo2014!AJ$60) * Inputs!$M$60</f>
        <v>0</v>
      </c>
    </row>
    <row r="251" spans="1:34">
      <c r="A251" t="s">
        <v>439</v>
      </c>
      <c r="D251" s="336">
        <f>D250*Inputs!$H$60</f>
        <v>0</v>
      </c>
      <c r="E251" s="336">
        <f>E250*Inputs!$H$60</f>
        <v>0</v>
      </c>
      <c r="F251" s="336">
        <f>F250*Inputs!$H$60</f>
        <v>0</v>
      </c>
      <c r="G251" s="336">
        <f>G250*Inputs!$H$60</f>
        <v>0</v>
      </c>
      <c r="H251" s="408">
        <f>H250*Inputs!$H$60</f>
        <v>0</v>
      </c>
      <c r="I251" s="14">
        <f>I250*Inputs!$H$60</f>
        <v>0</v>
      </c>
      <c r="J251" s="14">
        <f>J250*Inputs!$H$60</f>
        <v>0</v>
      </c>
      <c r="K251" s="14">
        <f>K250*Inputs!$H$60</f>
        <v>0</v>
      </c>
      <c r="L251" s="14">
        <f>L250*Inputs!$H$60</f>
        <v>0</v>
      </c>
      <c r="M251" s="14">
        <f>M250*Inputs!$H$60</f>
        <v>0</v>
      </c>
      <c r="N251" s="188">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1">
        <f>X$29*(EIA_electricity_aeo2014!Z$60) * Inputs!$M$60</f>
        <v>0</v>
      </c>
      <c r="Y251" s="131">
        <f>Y$29*(EIA_electricity_aeo2014!AA$60) * Inputs!$M$60</f>
        <v>0</v>
      </c>
      <c r="Z251" s="131">
        <f>Z$29*(EIA_electricity_aeo2014!AB$60) * Inputs!$M$60</f>
        <v>0</v>
      </c>
      <c r="AA251" s="131">
        <f>AA$29*(EIA_electricity_aeo2014!AC$60) * Inputs!$M$60</f>
        <v>0</v>
      </c>
      <c r="AB251" s="131">
        <f>AB$29*(EIA_electricity_aeo2014!AD$60) * Inputs!$M$60</f>
        <v>0</v>
      </c>
      <c r="AC251" s="131">
        <f>AC$29*(EIA_electricity_aeo2014!AE$60) * Inputs!$M$60</f>
        <v>0</v>
      </c>
      <c r="AD251" s="131">
        <f>AD$29*(EIA_electricity_aeo2014!AF$60) * Inputs!$M$60</f>
        <v>0</v>
      </c>
      <c r="AE251" s="131">
        <f>AE$29*(EIA_electricity_aeo2014!AG$60) * Inputs!$M$60</f>
        <v>0</v>
      </c>
      <c r="AF251" s="131">
        <f>AF$29*(EIA_electricity_aeo2014!AH$60) * Inputs!$M$60</f>
        <v>0</v>
      </c>
      <c r="AG251" s="131">
        <f>AG$29*(EIA_electricity_aeo2014!AI$60) * Inputs!$M$60</f>
        <v>0</v>
      </c>
      <c r="AH251" s="191">
        <f>AH$29*(EIA_electricity_aeo2014!AJ$60) * Inputs!$M$60</f>
        <v>0</v>
      </c>
    </row>
    <row r="252" spans="1:34" s="1" customFormat="1">
      <c r="A252" s="1" t="s">
        <v>437</v>
      </c>
      <c r="B252" s="13"/>
      <c r="C252" s="333"/>
      <c r="D252" s="346">
        <f>D$29*(1-EIA_electricity_aeo2014!F$60) * Inputs!$M$61</f>
        <v>0</v>
      </c>
      <c r="E252" s="346">
        <f>E$29*(1-EIA_electricity_aeo2014!G$60) * Inputs!$M$61</f>
        <v>0</v>
      </c>
      <c r="F252" s="346">
        <f>F$29*(1-EIA_electricity_aeo2014!H$60) * Inputs!$M$61</f>
        <v>0</v>
      </c>
      <c r="G252" s="346">
        <f>G$29*(1-EIA_electricity_aeo2014!I$60) * Inputs!$M$61</f>
        <v>0</v>
      </c>
      <c r="H252" s="411">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1">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1">
        <f>X$29*(EIA_electricity_aeo2014!Z$60) * Inputs!$M$60</f>
        <v>0</v>
      </c>
      <c r="Y252" s="131">
        <f>Y$29*(EIA_electricity_aeo2014!AA$60) * Inputs!$M$60</f>
        <v>0</v>
      </c>
      <c r="Z252" s="131">
        <f>Z$29*(EIA_electricity_aeo2014!AB$60) * Inputs!$M$60</f>
        <v>0</v>
      </c>
      <c r="AA252" s="131">
        <f>AA$29*(EIA_electricity_aeo2014!AC$60) * Inputs!$M$60</f>
        <v>0</v>
      </c>
      <c r="AB252" s="131">
        <f>AB$29*(EIA_electricity_aeo2014!AD$60) * Inputs!$M$60</f>
        <v>0</v>
      </c>
      <c r="AC252" s="131">
        <f>AC$29*(EIA_electricity_aeo2014!AE$60) * Inputs!$M$60</f>
        <v>0</v>
      </c>
      <c r="AD252" s="131">
        <f>AD$29*(EIA_electricity_aeo2014!AF$60) * Inputs!$M$60</f>
        <v>0</v>
      </c>
      <c r="AE252" s="131">
        <f>AE$29*(EIA_electricity_aeo2014!AG$60) * Inputs!$M$60</f>
        <v>0</v>
      </c>
      <c r="AF252" s="131">
        <f>AF$29*(EIA_electricity_aeo2014!AH$60) * Inputs!$M$60</f>
        <v>0</v>
      </c>
      <c r="AG252" s="131">
        <f>AG$29*(EIA_electricity_aeo2014!AI$60) * Inputs!$M$60</f>
        <v>0</v>
      </c>
      <c r="AH252" s="191">
        <f>AH$29*(EIA_electricity_aeo2014!AJ$60) * Inputs!$M$60</f>
        <v>0</v>
      </c>
    </row>
    <row r="253" spans="1:34">
      <c r="A253" t="s">
        <v>438</v>
      </c>
      <c r="D253" s="336">
        <f>D$29*(1-EIA_electricity_aeo2014!F$60) * Inputs!$C$61</f>
        <v>0</v>
      </c>
      <c r="E253" s="336">
        <f>E$29*(1-EIA_electricity_aeo2014!G$60) * Inputs!$C$61</f>
        <v>0</v>
      </c>
      <c r="F253" s="336">
        <f>F$29*(1-EIA_electricity_aeo2014!H$60) * Inputs!$C$61</f>
        <v>0</v>
      </c>
      <c r="G253" s="336">
        <f>G$29*(1-EIA_electricity_aeo2014!I$60) * Inputs!$C$61</f>
        <v>0</v>
      </c>
      <c r="H253" s="408">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8">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1">
        <f>X$29*(EIA_electricity_aeo2014!Z$60) * Inputs!$M$60</f>
        <v>0</v>
      </c>
      <c r="Y253" s="131">
        <f>Y$29*(EIA_electricity_aeo2014!AA$60) * Inputs!$M$60</f>
        <v>0</v>
      </c>
      <c r="Z253" s="131">
        <f>Z$29*(EIA_electricity_aeo2014!AB$60) * Inputs!$M$60</f>
        <v>0</v>
      </c>
      <c r="AA253" s="131">
        <f>AA$29*(EIA_electricity_aeo2014!AC$60) * Inputs!$M$60</f>
        <v>0</v>
      </c>
      <c r="AB253" s="131">
        <f>AB$29*(EIA_electricity_aeo2014!AD$60) * Inputs!$M$60</f>
        <v>0</v>
      </c>
      <c r="AC253" s="131">
        <f>AC$29*(EIA_electricity_aeo2014!AE$60) * Inputs!$M$60</f>
        <v>0</v>
      </c>
      <c r="AD253" s="131">
        <f>AD$29*(EIA_electricity_aeo2014!AF$60) * Inputs!$M$60</f>
        <v>0</v>
      </c>
      <c r="AE253" s="131">
        <f>AE$29*(EIA_electricity_aeo2014!AG$60) * Inputs!$M$60</f>
        <v>0</v>
      </c>
      <c r="AF253" s="131">
        <f>AF$29*(EIA_electricity_aeo2014!AH$60) * Inputs!$M$60</f>
        <v>0</v>
      </c>
      <c r="AG253" s="131">
        <f>AG$29*(EIA_electricity_aeo2014!AI$60) * Inputs!$M$60</f>
        <v>0</v>
      </c>
      <c r="AH253" s="191">
        <f>AH$29*(EIA_electricity_aeo2014!AJ$60) * Inputs!$M$60</f>
        <v>0</v>
      </c>
    </row>
    <row r="254" spans="1:34">
      <c r="A254" t="s">
        <v>439</v>
      </c>
      <c r="D254" s="336">
        <f>D253*Inputs!$H$61</f>
        <v>0</v>
      </c>
      <c r="E254" s="336">
        <f>E253*Inputs!$H$61</f>
        <v>0</v>
      </c>
      <c r="F254" s="336">
        <f>F253*Inputs!$H$61</f>
        <v>0</v>
      </c>
      <c r="G254" s="336">
        <f>G253*Inputs!$H$61</f>
        <v>0</v>
      </c>
      <c r="H254" s="408">
        <f>H253*Inputs!$H$61</f>
        <v>0</v>
      </c>
      <c r="I254" s="14">
        <f>I253*Inputs!$H$61</f>
        <v>0</v>
      </c>
      <c r="J254" s="14">
        <f>J253*Inputs!$H$61</f>
        <v>0</v>
      </c>
      <c r="K254" s="14">
        <f>K253*Inputs!$H$61</f>
        <v>0</v>
      </c>
      <c r="L254" s="14">
        <f>L253*Inputs!$H$61</f>
        <v>0</v>
      </c>
      <c r="M254" s="14">
        <f>M253*Inputs!$H$61</f>
        <v>0</v>
      </c>
      <c r="N254" s="188">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1">
        <f>X$29*(EIA_electricity_aeo2014!Z$60) * Inputs!$M$60</f>
        <v>0</v>
      </c>
      <c r="Y254" s="131">
        <f>Y$29*(EIA_electricity_aeo2014!AA$60) * Inputs!$M$60</f>
        <v>0</v>
      </c>
      <c r="Z254" s="131">
        <f>Z$29*(EIA_electricity_aeo2014!AB$60) * Inputs!$M$60</f>
        <v>0</v>
      </c>
      <c r="AA254" s="131">
        <f>AA$29*(EIA_electricity_aeo2014!AC$60) * Inputs!$M$60</f>
        <v>0</v>
      </c>
      <c r="AB254" s="131">
        <f>AB$29*(EIA_electricity_aeo2014!AD$60) * Inputs!$M$60</f>
        <v>0</v>
      </c>
      <c r="AC254" s="131">
        <f>AC$29*(EIA_electricity_aeo2014!AE$60) * Inputs!$M$60</f>
        <v>0</v>
      </c>
      <c r="AD254" s="131">
        <f>AD$29*(EIA_electricity_aeo2014!AF$60) * Inputs!$M$60</f>
        <v>0</v>
      </c>
      <c r="AE254" s="131">
        <f>AE$29*(EIA_electricity_aeo2014!AG$60) * Inputs!$M$60</f>
        <v>0</v>
      </c>
      <c r="AF254" s="131">
        <f>AF$29*(EIA_electricity_aeo2014!AH$60) * Inputs!$M$60</f>
        <v>0</v>
      </c>
      <c r="AG254" s="131">
        <f>AG$29*(EIA_electricity_aeo2014!AI$60) * Inputs!$M$60</f>
        <v>0</v>
      </c>
      <c r="AH254" s="191">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 activePane="bottomRight" state="frozen"/>
      <selection pane="topRight" activeCell="C1" sqref="C1"/>
      <selection pane="bottomLeft" activeCell="A3" sqref="A3"/>
      <selection pane="bottomRight" activeCell="C15" sqref="C15:AH15"/>
    </sheetView>
  </sheetViews>
  <sheetFormatPr baseColWidth="10" defaultColWidth="8.83203125" defaultRowHeight="14" x14ac:dyDescent="0"/>
  <cols>
    <col min="1" max="1" width="25.6640625" bestFit="1" customWidth="1"/>
    <col min="2" max="2" width="5.6640625" style="2" bestFit="1" customWidth="1"/>
    <col min="3" max="3" width="13.33203125" style="332" bestFit="1" customWidth="1"/>
    <col min="4" max="4" width="12.33203125" style="332" customWidth="1"/>
    <col min="5" max="5" width="14.1640625" style="332" customWidth="1"/>
    <col min="6" max="6" width="11.33203125" style="332" bestFit="1" customWidth="1"/>
    <col min="7" max="7" width="14.33203125" style="33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7" bestFit="1" customWidth="1"/>
    <col min="15" max="22" width="11.5" style="2" bestFit="1" customWidth="1"/>
    <col min="23" max="23" width="11.33203125" style="2" bestFit="1" customWidth="1"/>
    <col min="24" max="24" width="11.33203125" style="193"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32" t="s">
        <v>0</v>
      </c>
      <c r="D1" s="332" t="s">
        <v>0</v>
      </c>
      <c r="E1" s="399" t="s">
        <v>0</v>
      </c>
    </row>
    <row r="2" spans="1:34" s="1" customFormat="1">
      <c r="B2" s="2" t="s">
        <v>126</v>
      </c>
      <c r="C2" s="333">
        <v>2009</v>
      </c>
      <c r="D2" s="333">
        <v>2010</v>
      </c>
      <c r="E2" s="333">
        <v>2011</v>
      </c>
      <c r="F2" s="333">
        <v>2012</v>
      </c>
      <c r="G2" s="333">
        <v>2013</v>
      </c>
      <c r="H2" s="13">
        <v>2014</v>
      </c>
      <c r="I2" s="13">
        <v>2015</v>
      </c>
      <c r="J2" s="13">
        <v>2016</v>
      </c>
      <c r="K2" s="13">
        <v>2017</v>
      </c>
      <c r="L2" s="13">
        <v>2018</v>
      </c>
      <c r="M2" s="13">
        <v>2019</v>
      </c>
      <c r="N2" s="177">
        <v>2020</v>
      </c>
      <c r="O2" s="13">
        <v>2021</v>
      </c>
      <c r="P2" s="13">
        <v>2022</v>
      </c>
      <c r="Q2" s="13">
        <v>2023</v>
      </c>
      <c r="R2" s="13">
        <v>2024</v>
      </c>
      <c r="S2" s="13">
        <v>2025</v>
      </c>
      <c r="T2" s="13">
        <v>2026</v>
      </c>
      <c r="U2" s="13">
        <v>2027</v>
      </c>
      <c r="V2" s="13">
        <v>2028</v>
      </c>
      <c r="W2" s="13">
        <v>2029</v>
      </c>
      <c r="X2" s="177">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33"/>
      <c r="D3" s="333"/>
      <c r="E3" s="333"/>
      <c r="F3" s="333"/>
      <c r="G3" s="333"/>
      <c r="H3" s="13"/>
      <c r="I3" s="13"/>
      <c r="J3" s="13"/>
      <c r="K3" s="13"/>
      <c r="L3" s="13"/>
      <c r="M3" s="13"/>
      <c r="N3" s="177"/>
      <c r="O3" s="13"/>
      <c r="P3" s="13"/>
      <c r="Q3" s="13"/>
      <c r="R3" s="13"/>
      <c r="S3" s="13"/>
      <c r="T3" s="13"/>
      <c r="U3" s="13"/>
      <c r="V3" s="13"/>
      <c r="W3" s="13"/>
      <c r="X3" s="177"/>
      <c r="Y3" s="13"/>
      <c r="Z3" s="13"/>
      <c r="AA3" s="13"/>
      <c r="AB3" s="13"/>
      <c r="AC3" s="13"/>
      <c r="AD3" s="13"/>
      <c r="AE3" s="13"/>
      <c r="AF3" s="13"/>
      <c r="AG3" s="13"/>
      <c r="AH3" s="13"/>
    </row>
    <row r="4" spans="1:34" s="1" customFormat="1">
      <c r="A4" s="1" t="s">
        <v>110</v>
      </c>
      <c r="B4" s="13"/>
      <c r="C4" s="334">
        <f>EIA_electricity_aeo2014!E58 * 1000</f>
        <v>101857</v>
      </c>
      <c r="D4" s="334">
        <f>EIA_electricity_aeo2014!F58 * 1000</f>
        <v>112274.99999999999</v>
      </c>
      <c r="E4" s="334">
        <f>EIA_electricity_aeo2014!G58 * 1000</f>
        <v>86247.062000000005</v>
      </c>
      <c r="F4" s="334">
        <f>EIA_electricity_aeo2014!H58 * 1000</f>
        <v>85033.845000000001</v>
      </c>
      <c r="G4" s="334">
        <f>EIA_electricity_aeo2014!I58 * 1000</f>
        <v>91571.886999999988</v>
      </c>
      <c r="H4" s="21">
        <f>EIA_electricity_aeo2014!J58 * 1000</f>
        <v>96869.864999999991</v>
      </c>
      <c r="I4" s="21">
        <f>EIA_electricity_aeo2014!K58 * 1000</f>
        <v>100959.728</v>
      </c>
      <c r="J4" s="21">
        <f>EIA_electricity_aeo2014!L58 * 1000</f>
        <v>99539.822</v>
      </c>
      <c r="K4" s="21">
        <f>EIA_electricity_aeo2014!M58 * 1000</f>
        <v>96953.925999999978</v>
      </c>
      <c r="L4" s="21">
        <f>EIA_electricity_aeo2014!N58 * 1000</f>
        <v>97481.407000000007</v>
      </c>
      <c r="M4" s="21">
        <f>EIA_electricity_aeo2014!O58 * 1000</f>
        <v>97831.773000000001</v>
      </c>
      <c r="N4" s="394">
        <f>EIA_electricity_aeo2014!P58 * 1000</f>
        <v>98389.851999999999</v>
      </c>
      <c r="O4" s="21">
        <f>EIA_electricity_aeo2014!Q58 * 1000</f>
        <v>97321.408999999985</v>
      </c>
      <c r="P4" s="21">
        <f>EIA_electricity_aeo2014!R58 * 1000</f>
        <v>98906.597000000009</v>
      </c>
      <c r="Q4" s="21">
        <f>EIA_electricity_aeo2014!S58 * 1000</f>
        <v>99064.084000000003</v>
      </c>
      <c r="R4" s="21">
        <f>EIA_electricity_aeo2014!T58 * 1000</f>
        <v>99989.325000000012</v>
      </c>
      <c r="S4" s="21">
        <f>EIA_electricity_aeo2014!U58 * 1000</f>
        <v>100930.96500000001</v>
      </c>
      <c r="T4" s="21">
        <f>EIA_electricity_aeo2014!V58 * 1000</f>
        <v>102655.62300000001</v>
      </c>
      <c r="U4" s="21">
        <f>EIA_electricity_aeo2014!W58 * 1000</f>
        <v>103603.519</v>
      </c>
      <c r="V4" s="21">
        <f>EIA_electricity_aeo2014!X58 * 1000</f>
        <v>105375.59100000001</v>
      </c>
      <c r="W4" s="21">
        <f>EIA_electricity_aeo2014!Y58 * 1000</f>
        <v>105935.98300000001</v>
      </c>
      <c r="X4" s="394">
        <f>EIA_electricity_aeo2014!Z58 * 1000</f>
        <v>106378.391</v>
      </c>
      <c r="Y4" s="21">
        <f>EIA_electricity_aeo2014!AA58 * 1000</f>
        <v>106685.007</v>
      </c>
      <c r="Z4" s="21">
        <f>EIA_electricity_aeo2014!AB58 * 1000</f>
        <v>104801.96200000001</v>
      </c>
      <c r="AA4" s="21">
        <f>EIA_electricity_aeo2014!AC58 * 1000</f>
        <v>105068.773</v>
      </c>
      <c r="AB4" s="21">
        <f>EIA_electricity_aeo2014!AD58 * 1000</f>
        <v>104790.73400000001</v>
      </c>
      <c r="AC4" s="21">
        <f>EIA_electricity_aeo2014!AE58 * 1000</f>
        <v>105118.79800000001</v>
      </c>
      <c r="AD4" s="21">
        <f>EIA_electricity_aeo2014!AF58 * 1000</f>
        <v>105359.234</v>
      </c>
      <c r="AE4" s="21">
        <f>EIA_electricity_aeo2014!AG58 * 1000</f>
        <v>104967.32100000001</v>
      </c>
      <c r="AF4" s="21">
        <f>EIA_electricity_aeo2014!AH58 * 1000</f>
        <v>106482.83200000001</v>
      </c>
      <c r="AG4" s="21">
        <f>EIA_electricity_aeo2014!AI58 * 1000</f>
        <v>106642.24800000001</v>
      </c>
      <c r="AH4" s="21">
        <f>EIA_electricity_aeo2014!AJ58 * 1000</f>
        <v>107483.33499999999</v>
      </c>
    </row>
    <row r="5" spans="1:34">
      <c r="A5" s="9" t="s">
        <v>61</v>
      </c>
      <c r="B5" s="34">
        <v>0</v>
      </c>
      <c r="C5" s="335">
        <v>0</v>
      </c>
      <c r="D5" s="335"/>
      <c r="E5" s="335"/>
      <c r="F5" s="335"/>
      <c r="G5" s="335"/>
      <c r="H5" s="3"/>
      <c r="I5" s="3"/>
      <c r="J5" s="3"/>
      <c r="K5" s="3"/>
      <c r="L5" s="3"/>
      <c r="M5" s="3"/>
      <c r="N5" s="394"/>
      <c r="O5" s="3"/>
      <c r="P5" s="3"/>
      <c r="Q5" s="3"/>
      <c r="R5" s="3"/>
      <c r="S5" s="3"/>
      <c r="T5" s="3"/>
      <c r="U5" s="3"/>
      <c r="V5" s="3"/>
      <c r="W5" s="3"/>
      <c r="X5" s="185"/>
    </row>
    <row r="6" spans="1:34">
      <c r="A6" s="9" t="s">
        <v>60</v>
      </c>
      <c r="B6" s="34">
        <v>0</v>
      </c>
      <c r="C6" s="335">
        <v>0</v>
      </c>
      <c r="D6" s="335"/>
      <c r="E6" s="400" t="s">
        <v>0</v>
      </c>
      <c r="F6" s="335"/>
      <c r="G6" s="335"/>
      <c r="H6" s="3"/>
      <c r="I6" s="3"/>
      <c r="J6" s="3"/>
      <c r="K6" s="3"/>
      <c r="L6" s="3"/>
      <c r="M6" s="3"/>
      <c r="N6" s="394"/>
      <c r="O6" s="3"/>
      <c r="P6" s="3"/>
      <c r="Q6" s="3"/>
      <c r="R6" s="3"/>
      <c r="S6" s="3"/>
      <c r="T6" s="3"/>
      <c r="U6" s="3"/>
      <c r="V6" s="3"/>
      <c r="W6" s="3"/>
      <c r="X6" s="185"/>
    </row>
    <row r="7" spans="1:34">
      <c r="A7" s="9" t="s">
        <v>49</v>
      </c>
      <c r="B7" s="34">
        <v>0</v>
      </c>
      <c r="C7" s="335">
        <f>EIA_RE_aeo2014!E73*1000-C15</f>
        <v>1371.9999</v>
      </c>
      <c r="D7" s="335">
        <f>EIA_RE_aeo2014!F73*1000-D15</f>
        <v>1250.9999</v>
      </c>
      <c r="E7" s="335">
        <f>EIA_RE_aeo2014!G73*1000-E15</f>
        <v>529.98990000000003</v>
      </c>
      <c r="F7" s="335">
        <f>EIA_RE_aeo2014!H73*1000-F15</f>
        <v>483.76090000000005</v>
      </c>
      <c r="G7" s="335">
        <f>EIA_RE_aeo2014!I73*1000-G15</f>
        <v>489.05790000000002</v>
      </c>
      <c r="H7" s="175">
        <f>EIA_RE_aeo2014!J73*1000-H15</f>
        <v>499.39890000000003</v>
      </c>
      <c r="I7" s="175">
        <f>EIA_RE_aeo2014!K73*1000-I15</f>
        <v>509.76989999999995</v>
      </c>
      <c r="J7" s="175">
        <f>EIA_RE_aeo2014!L73*1000-J15</f>
        <v>520.13790000000006</v>
      </c>
      <c r="K7" s="175">
        <f>EIA_RE_aeo2014!M73*1000-K15</f>
        <v>526.06889999999999</v>
      </c>
      <c r="L7" s="175">
        <f>EIA_RE_aeo2014!N73*1000-L15</f>
        <v>526.06889999999999</v>
      </c>
      <c r="M7" s="175">
        <f>EIA_RE_aeo2014!O73*1000-M15</f>
        <v>526.07089999999994</v>
      </c>
      <c r="N7" s="185">
        <f>EIA_RE_aeo2014!P73*1000-N15</f>
        <v>526.06889999999999</v>
      </c>
      <c r="O7" s="175">
        <f>EIA_RE_aeo2014!Q73*1000-O15</f>
        <v>526.06889999999999</v>
      </c>
      <c r="P7" s="175">
        <f>EIA_RE_aeo2014!R73*1000-P15</f>
        <v>526.06889999999999</v>
      </c>
      <c r="Q7" s="175">
        <f>EIA_RE_aeo2014!S73*1000-Q15</f>
        <v>526.06889999999999</v>
      </c>
      <c r="R7" s="175">
        <f>EIA_RE_aeo2014!T73*1000-R15</f>
        <v>526.06889999999999</v>
      </c>
      <c r="S7" s="83">
        <f>EIA_RE_aeo2014!U73*1000-S15</f>
        <v>526.06889999999999</v>
      </c>
      <c r="T7" s="83">
        <f>EIA_RE_aeo2014!V73*1000-T15</f>
        <v>526.06889999999999</v>
      </c>
      <c r="U7" s="83">
        <f>EIA_RE_aeo2014!W73*1000-U15</f>
        <v>526.06889999999999</v>
      </c>
      <c r="V7" s="83">
        <f>EIA_RE_aeo2014!X73*1000-V15</f>
        <v>526.06889999999999</v>
      </c>
      <c r="W7" s="83">
        <f>EIA_RE_aeo2014!Y73*1000-W15</f>
        <v>526.06889999999999</v>
      </c>
      <c r="X7" s="185">
        <f>EIA_RE_aeo2014!Z73*1000-X15</f>
        <v>526.06889999999999</v>
      </c>
      <c r="Y7" s="175">
        <f>EIA_RE_aeo2014!AA73*1000-Y15</f>
        <v>526.06889999999999</v>
      </c>
      <c r="Z7" s="175">
        <f>EIA_RE_aeo2014!AB73*1000-Z15</f>
        <v>526.06889999999999</v>
      </c>
      <c r="AA7" s="175">
        <f>EIA_RE_aeo2014!AC73*1000-AA15</f>
        <v>526.06889999999999</v>
      </c>
      <c r="AB7" s="175">
        <f>EIA_RE_aeo2014!AD73*1000-AB15</f>
        <v>526.06889999999999</v>
      </c>
      <c r="AC7" s="175">
        <f>EIA_RE_aeo2014!AE73*1000-AC15</f>
        <v>526.06889999999999</v>
      </c>
      <c r="AD7" s="175">
        <f>EIA_RE_aeo2014!AF73*1000-AD15</f>
        <v>526.06889999999999</v>
      </c>
      <c r="AE7" s="175">
        <f>EIA_RE_aeo2014!AG73*1000-AE15</f>
        <v>526.06889999999999</v>
      </c>
      <c r="AF7" s="175">
        <f>EIA_RE_aeo2014!AH73*1000-AF15</f>
        <v>526.06889999999999</v>
      </c>
      <c r="AG7" s="175">
        <f>EIA_RE_aeo2014!AI73*1000-AG15</f>
        <v>526.06889999999999</v>
      </c>
      <c r="AH7" s="175">
        <f>EIA_RE_aeo2014!AJ73*1000-AH15</f>
        <v>526.06889999999999</v>
      </c>
    </row>
    <row r="8" spans="1:34">
      <c r="A8" s="9" t="s">
        <v>59</v>
      </c>
      <c r="B8" s="34">
        <v>0</v>
      </c>
      <c r="C8" s="335">
        <f>EIA_electricity_aeo2014!E52*1000</f>
        <v>21851</v>
      </c>
      <c r="D8" s="335">
        <f>EIA_electricity_aeo2014!F52*1000</f>
        <v>29625</v>
      </c>
      <c r="E8" s="335">
        <f>EIA_electricity_aeo2014!G52*1000</f>
        <v>15531</v>
      </c>
      <c r="F8" s="335">
        <f>EIA_electricity_aeo2014!H52*1000</f>
        <v>10300</v>
      </c>
      <c r="G8" s="335">
        <f>EIA_electricity_aeo2014!I52*1000</f>
        <v>13514.122000000001</v>
      </c>
      <c r="H8" s="3">
        <f>EIA_electricity_aeo2014!J52*1000</f>
        <v>13581.746999999999</v>
      </c>
      <c r="I8" s="3">
        <f>EIA_electricity_aeo2014!K52*1000</f>
        <v>14069.691000000001</v>
      </c>
      <c r="J8" s="3">
        <f>EIA_electricity_aeo2014!L52*1000</f>
        <v>14260.835999999999</v>
      </c>
      <c r="K8" s="3">
        <f>EIA_electricity_aeo2014!M52*1000</f>
        <v>14328.453</v>
      </c>
      <c r="L8" s="3">
        <f>EIA_electricity_aeo2014!N52*1000</f>
        <v>14396.048999999999</v>
      </c>
      <c r="M8" s="3">
        <f>EIA_electricity_aeo2014!O52*1000</f>
        <v>14396.048999999999</v>
      </c>
      <c r="N8" s="394">
        <f>EIA_electricity_aeo2014!P52*1000</f>
        <v>14396.048999999999</v>
      </c>
      <c r="O8" s="3">
        <f>EIA_electricity_aeo2014!Q52*1000</f>
        <v>14396.048999999999</v>
      </c>
      <c r="P8" s="3">
        <f>EIA_electricity_aeo2014!R52*1000</f>
        <v>14396.048999999999</v>
      </c>
      <c r="Q8" s="3">
        <f>EIA_electricity_aeo2014!S52*1000</f>
        <v>14396.048000000001</v>
      </c>
      <c r="R8" s="3">
        <f>EIA_electricity_aeo2014!T52*1000</f>
        <v>14396.048999999999</v>
      </c>
      <c r="S8" s="3">
        <f>EIA_electricity_aeo2014!U52*1000</f>
        <v>14396.048999999999</v>
      </c>
      <c r="T8" s="3">
        <f>EIA_electricity_aeo2014!V52*1000</f>
        <v>14396.048999999999</v>
      </c>
      <c r="U8" s="3">
        <f>EIA_electricity_aeo2014!W52*1000</f>
        <v>14396.048999999999</v>
      </c>
      <c r="V8" s="3">
        <f>EIA_electricity_aeo2014!X52*1000</f>
        <v>14396.048000000001</v>
      </c>
      <c r="W8" s="3">
        <f>EIA_electricity_aeo2014!Y52*1000</f>
        <v>14396.048000000001</v>
      </c>
      <c r="X8" s="185">
        <f>EIA_electricity_aeo2014!Z52*1000</f>
        <v>14396.048999999999</v>
      </c>
      <c r="Y8" s="175">
        <f>EIA_electricity_aeo2014!AA52*1000</f>
        <v>14396.048000000001</v>
      </c>
      <c r="Z8" s="175">
        <f>EIA_electricity_aeo2014!AB52*1000</f>
        <v>14396.048999999999</v>
      </c>
      <c r="AA8" s="175">
        <f>EIA_electricity_aeo2014!AC52*1000</f>
        <v>14396.048999999999</v>
      </c>
      <c r="AB8" s="175">
        <f>EIA_electricity_aeo2014!AD52*1000</f>
        <v>14396.048999999999</v>
      </c>
      <c r="AC8" s="175">
        <f>EIA_electricity_aeo2014!AE52*1000</f>
        <v>14396.048999999999</v>
      </c>
      <c r="AD8" s="175">
        <f>EIA_electricity_aeo2014!AF52*1000</f>
        <v>14396.048999999999</v>
      </c>
      <c r="AE8" s="175">
        <f>EIA_electricity_aeo2014!AG52*1000</f>
        <v>14396.048999999999</v>
      </c>
      <c r="AF8" s="175">
        <f>EIA_electricity_aeo2014!AH52*1000</f>
        <v>14396.048999999999</v>
      </c>
      <c r="AG8" s="175">
        <f>EIA_electricity_aeo2014!AI52*1000</f>
        <v>14396.048999999999</v>
      </c>
      <c r="AH8" s="175">
        <f>EIA_electricity_aeo2014!AJ52*1000</f>
        <v>14396.048999999999</v>
      </c>
    </row>
    <row r="9" spans="1:34">
      <c r="A9" s="9"/>
      <c r="B9" s="34"/>
      <c r="C9" s="335"/>
      <c r="D9" s="335"/>
      <c r="E9" s="335"/>
      <c r="F9" s="335"/>
      <c r="G9" s="335"/>
      <c r="H9" s="118"/>
      <c r="I9" s="118"/>
      <c r="J9" s="118"/>
      <c r="K9" s="118"/>
      <c r="L9" s="118"/>
      <c r="M9" s="118"/>
      <c r="N9" s="394"/>
      <c r="O9" s="118"/>
      <c r="P9" s="118"/>
      <c r="Q9" s="118"/>
      <c r="R9" s="118"/>
      <c r="S9" s="118"/>
      <c r="T9" s="118"/>
      <c r="U9" s="118"/>
      <c r="V9" s="118"/>
      <c r="W9" s="118"/>
      <c r="X9" s="185"/>
    </row>
    <row r="10" spans="1:34" s="20" customFormat="1">
      <c r="A10" s="9" t="s">
        <v>124</v>
      </c>
      <c r="B10" s="35">
        <v>1</v>
      </c>
      <c r="C10" s="335">
        <f>EIA_RE_aeo2014!E76*1000</f>
        <v>1489</v>
      </c>
      <c r="D10" s="335">
        <f>EIA_RE_aeo2014!F76*1000</f>
        <v>1670</v>
      </c>
      <c r="E10" s="335">
        <f>EIA_RE_aeo2014!G76*1000</f>
        <v>904.58100000000002</v>
      </c>
      <c r="F10" s="335">
        <f>EIA_RE_aeo2014!H76*1000</f>
        <v>797.61899999999991</v>
      </c>
      <c r="G10" s="335">
        <f>EIA_RE_aeo2014!I76*1000</f>
        <v>927.327</v>
      </c>
      <c r="H10" s="83">
        <f>EIA_RE_aeo2014!J76*1000</f>
        <v>929.654</v>
      </c>
      <c r="I10" s="175">
        <f>EIA_RE_aeo2014!K76*1000</f>
        <v>914.56899999999996</v>
      </c>
      <c r="J10" s="175">
        <f>EIA_RE_aeo2014!L76*1000</f>
        <v>910.947</v>
      </c>
      <c r="K10" s="175">
        <f>EIA_RE_aeo2014!M76*1000</f>
        <v>928.58500000000004</v>
      </c>
      <c r="L10" s="175">
        <f>EIA_RE_aeo2014!N76*1000</f>
        <v>903.91399999999999</v>
      </c>
      <c r="M10" s="175">
        <f>EIA_RE_aeo2014!O76*1000</f>
        <v>1026.231</v>
      </c>
      <c r="N10" s="185">
        <f>EIA_RE_aeo2014!P76*1000</f>
        <v>1034.2359999999999</v>
      </c>
      <c r="O10" s="175">
        <f>EIA_RE_aeo2014!Q76*1000</f>
        <v>1111.1020000000001</v>
      </c>
      <c r="P10" s="175">
        <f>EIA_RE_aeo2014!R76*1000</f>
        <v>1113.2380000000001</v>
      </c>
      <c r="Q10" s="175">
        <f>EIA_RE_aeo2014!S76*1000</f>
        <v>1088.5940000000001</v>
      </c>
      <c r="R10" s="175">
        <f>EIA_RE_aeo2014!T76*1000</f>
        <v>1133.5839999999998</v>
      </c>
      <c r="S10" s="83">
        <f>EIA_RE_aeo2014!U76*1000</f>
        <v>1135.115</v>
      </c>
      <c r="T10" s="83">
        <f>EIA_RE_aeo2014!V76*1000</f>
        <v>1118.798</v>
      </c>
      <c r="U10" s="83">
        <f>EIA_RE_aeo2014!W76*1000</f>
        <v>1092.337</v>
      </c>
      <c r="V10" s="83">
        <f>EIA_RE_aeo2014!X76*1000</f>
        <v>1104.03</v>
      </c>
      <c r="W10" s="83">
        <f>EIA_RE_aeo2014!Y76*1000</f>
        <v>1132.8810000000001</v>
      </c>
      <c r="X10" s="185">
        <f>EIA_RE_aeo2014!Z76*1000</f>
        <v>1435.846</v>
      </c>
      <c r="Y10" s="175">
        <f>EIA_RE_aeo2014!AA76*1000</f>
        <v>1624.202</v>
      </c>
      <c r="Z10" s="175">
        <f>EIA_RE_aeo2014!AB76*1000</f>
        <v>1690.046</v>
      </c>
      <c r="AA10" s="175">
        <f>EIA_RE_aeo2014!AC76*1000</f>
        <v>1689.1469999999999</v>
      </c>
      <c r="AB10" s="175">
        <f>EIA_RE_aeo2014!AD76*1000</f>
        <v>1688.6089999999999</v>
      </c>
      <c r="AC10" s="175">
        <f>EIA_RE_aeo2014!AE76*1000</f>
        <v>1687.6869999999999</v>
      </c>
      <c r="AD10" s="175">
        <f>EIA_RE_aeo2014!AF76*1000</f>
        <v>1688.152</v>
      </c>
      <c r="AE10" s="175">
        <f>EIA_RE_aeo2014!AG76*1000</f>
        <v>1687.5050000000001</v>
      </c>
      <c r="AF10" s="175">
        <f>EIA_RE_aeo2014!AH76*1000</f>
        <v>1686.8679999999999</v>
      </c>
      <c r="AG10" s="175">
        <f>EIA_RE_aeo2014!AI76*1000</f>
        <v>1689.68</v>
      </c>
      <c r="AH10" s="175">
        <f>EIA_RE_aeo2014!AJ76*1000</f>
        <v>1689.1689999999999</v>
      </c>
    </row>
    <row r="11" spans="1:34" s="20" customFormat="1">
      <c r="A11" s="9" t="s">
        <v>50</v>
      </c>
      <c r="B11" s="35">
        <v>1</v>
      </c>
      <c r="C11" s="335">
        <f>EIA_RE_aeo2014!E74*1000</f>
        <v>0.1</v>
      </c>
      <c r="D11" s="335">
        <f>EIA_RE_aeo2014!F74*1000</f>
        <v>0.1</v>
      </c>
      <c r="E11" s="335">
        <f>EIA_RE_aeo2014!G74*1000</f>
        <v>0.1</v>
      </c>
      <c r="F11" s="335">
        <f>EIA_RE_aeo2014!H74*1000</f>
        <v>0.1</v>
      </c>
      <c r="G11" s="335">
        <f>EIA_RE_aeo2014!I74*1000</f>
        <v>0.1</v>
      </c>
      <c r="H11" s="83">
        <f>EIA_RE_aeo2014!J74*1000</f>
        <v>0.1</v>
      </c>
      <c r="I11" s="83">
        <f>EIA_RE_aeo2014!K74*1000</f>
        <v>0.1</v>
      </c>
      <c r="J11" s="83">
        <f>EIA_RE_aeo2014!L74*1000</f>
        <v>0.1</v>
      </c>
      <c r="K11" s="83">
        <f>EIA_RE_aeo2014!M74*1000</f>
        <v>0.1</v>
      </c>
      <c r="L11" s="83">
        <f>EIA_RE_aeo2014!N74*1000</f>
        <v>0.1</v>
      </c>
      <c r="M11" s="83">
        <f>EIA_RE_aeo2014!O74*1000</f>
        <v>0.1</v>
      </c>
      <c r="N11" s="394">
        <f>EIA_RE_aeo2014!P74*1000</f>
        <v>0.1</v>
      </c>
      <c r="O11" s="83">
        <f>EIA_RE_aeo2014!Q74*1000</f>
        <v>0.1</v>
      </c>
      <c r="P11" s="83">
        <f>EIA_RE_aeo2014!R74*1000</f>
        <v>0.1</v>
      </c>
      <c r="Q11" s="83">
        <f>EIA_RE_aeo2014!S74*1000</f>
        <v>0.1</v>
      </c>
      <c r="R11" s="83">
        <f>EIA_RE_aeo2014!T74*1000</f>
        <v>0.1</v>
      </c>
      <c r="S11" s="83">
        <f>EIA_RE_aeo2014!U74*1000</f>
        <v>0.1</v>
      </c>
      <c r="T11" s="83">
        <f>EIA_RE_aeo2014!V74*1000</f>
        <v>0.1</v>
      </c>
      <c r="U11" s="83">
        <f>EIA_RE_aeo2014!W74*1000</f>
        <v>0.1</v>
      </c>
      <c r="V11" s="83">
        <f>EIA_RE_aeo2014!X74*1000</f>
        <v>0.1</v>
      </c>
      <c r="W11" s="83">
        <f>EIA_RE_aeo2014!Y74*1000</f>
        <v>0.1</v>
      </c>
      <c r="X11" s="185">
        <f>EIA_RE_aeo2014!Z74*1000</f>
        <v>0.1</v>
      </c>
      <c r="Y11" s="175">
        <f>EIA_RE_aeo2014!AA74*1000</f>
        <v>0.1</v>
      </c>
      <c r="Z11" s="175">
        <f>EIA_RE_aeo2014!AB74*1000</f>
        <v>0.1</v>
      </c>
      <c r="AA11" s="175">
        <f>EIA_RE_aeo2014!AC74*1000</f>
        <v>0.1</v>
      </c>
      <c r="AB11" s="175">
        <f>EIA_RE_aeo2014!AD74*1000</f>
        <v>0.1</v>
      </c>
      <c r="AC11" s="175">
        <f>EIA_RE_aeo2014!AE74*1000</f>
        <v>0.1</v>
      </c>
      <c r="AD11" s="175">
        <f>EIA_RE_aeo2014!AF74*1000</f>
        <v>0.1</v>
      </c>
      <c r="AE11" s="175">
        <f>EIA_RE_aeo2014!AG74*1000</f>
        <v>0.1</v>
      </c>
      <c r="AF11" s="175">
        <f>EIA_RE_aeo2014!AH74*1000</f>
        <v>0.1</v>
      </c>
      <c r="AG11" s="175">
        <f>EIA_RE_aeo2014!AI74*1000</f>
        <v>0.1</v>
      </c>
      <c r="AH11" s="175">
        <f>EIA_RE_aeo2014!AJ74*1000</f>
        <v>0.1</v>
      </c>
    </row>
    <row r="12" spans="1:34" s="20" customFormat="1">
      <c r="A12" s="9" t="s">
        <v>51</v>
      </c>
      <c r="B12" s="35">
        <v>1</v>
      </c>
      <c r="C12" s="335">
        <f>EIA_RE_aeo2014!E75*1000</f>
        <v>829</v>
      </c>
      <c r="D12" s="335">
        <f>EIA_RE_aeo2014!F75*1000</f>
        <v>795</v>
      </c>
      <c r="E12" s="335">
        <f>EIA_RE_aeo2014!G75*1000</f>
        <v>786.14400000000001</v>
      </c>
      <c r="F12" s="335">
        <f>EIA_RE_aeo2014!H75*1000</f>
        <v>1025.124</v>
      </c>
      <c r="G12" s="335">
        <f>EIA_RE_aeo2014!I75*1000</f>
        <v>1007.866</v>
      </c>
      <c r="H12" s="83">
        <f>EIA_RE_aeo2014!J75*1000</f>
        <v>1008.9030000000001</v>
      </c>
      <c r="I12" s="175">
        <f>EIA_RE_aeo2014!K75*1000</f>
        <v>1007.951</v>
      </c>
      <c r="J12" s="175">
        <f>EIA_RE_aeo2014!L75*1000</f>
        <v>1008.3100000000001</v>
      </c>
      <c r="K12" s="175">
        <f>EIA_RE_aeo2014!M75*1000</f>
        <v>1008.5450000000001</v>
      </c>
      <c r="L12" s="175">
        <f>EIA_RE_aeo2014!N75*1000</f>
        <v>1008.708</v>
      </c>
      <c r="M12" s="175">
        <f>EIA_RE_aeo2014!O75*1000</f>
        <v>1008.818</v>
      </c>
      <c r="N12" s="185">
        <f>EIA_RE_aeo2014!P75*1000</f>
        <v>1009.2859999999999</v>
      </c>
      <c r="O12" s="175">
        <f>EIA_RE_aeo2014!Q75*1000</f>
        <v>1009.546</v>
      </c>
      <c r="P12" s="175">
        <f>EIA_RE_aeo2014!R75*1000</f>
        <v>1009.7210000000001</v>
      </c>
      <c r="Q12" s="175">
        <f>EIA_RE_aeo2014!S75*1000</f>
        <v>1009.8309999999999</v>
      </c>
      <c r="R12" s="175">
        <f>EIA_RE_aeo2014!T75*1000</f>
        <v>1009.9039999999999</v>
      </c>
      <c r="S12" s="83">
        <f>EIA_RE_aeo2014!U75*1000</f>
        <v>1009.994</v>
      </c>
      <c r="T12" s="83">
        <f>EIA_RE_aeo2014!V75*1000</f>
        <v>1010.0400000000001</v>
      </c>
      <c r="U12" s="83">
        <f>EIA_RE_aeo2014!W75*1000</f>
        <v>1010.0519999999999</v>
      </c>
      <c r="V12" s="83">
        <f>EIA_RE_aeo2014!X75*1000</f>
        <v>1010.044</v>
      </c>
      <c r="W12" s="83">
        <f>EIA_RE_aeo2014!Y75*1000</f>
        <v>1009.9540000000001</v>
      </c>
      <c r="X12" s="185">
        <f>EIA_RE_aeo2014!Z75*1000</f>
        <v>1009.9059999999999</v>
      </c>
      <c r="Y12" s="175">
        <f>EIA_RE_aeo2014!AA75*1000</f>
        <v>1009.865</v>
      </c>
      <c r="Z12" s="175">
        <f>EIA_RE_aeo2014!AB75*1000</f>
        <v>1009.809</v>
      </c>
      <c r="AA12" s="175">
        <f>EIA_RE_aeo2014!AC75*1000</f>
        <v>1009.552</v>
      </c>
      <c r="AB12" s="175">
        <f>EIA_RE_aeo2014!AD75*1000</f>
        <v>1009.269</v>
      </c>
      <c r="AC12" s="175">
        <f>EIA_RE_aeo2014!AE75*1000</f>
        <v>1008.977</v>
      </c>
      <c r="AD12" s="175">
        <f>EIA_RE_aeo2014!AF75*1000</f>
        <v>1008.702</v>
      </c>
      <c r="AE12" s="175">
        <f>EIA_RE_aeo2014!AG75*1000</f>
        <v>1008.294</v>
      </c>
      <c r="AF12" s="175">
        <f>EIA_RE_aeo2014!AH75*1000</f>
        <v>1007.8940000000001</v>
      </c>
      <c r="AG12" s="175">
        <f>EIA_RE_aeo2014!AI75*1000</f>
        <v>1007.528</v>
      </c>
      <c r="AH12" s="175">
        <f>EIA_RE_aeo2014!AJ75*1000</f>
        <v>1007.175</v>
      </c>
    </row>
    <row r="13" spans="1:34">
      <c r="A13" s="9" t="s">
        <v>343</v>
      </c>
      <c r="B13" s="34">
        <v>1</v>
      </c>
      <c r="C13" s="335">
        <f>(EIA_RE_aeo2014!E34+EIA_RE_aeo2014!E54)*1000</f>
        <v>0</v>
      </c>
      <c r="D13" s="335">
        <f>(EIA_RE_aeo2014!F34+EIA_RE_aeo2014!F54)*1000</f>
        <v>0</v>
      </c>
      <c r="E13" s="335">
        <f>(EIA_RE_aeo2014!G34+EIA_RE_aeo2014!G54)*1000</f>
        <v>0.159</v>
      </c>
      <c r="F13" s="335">
        <f>(EIA_RE_aeo2014!H34+EIA_RE_aeo2014!H54)*1000</f>
        <v>0.25900000000000001</v>
      </c>
      <c r="G13" s="335">
        <f>(EIA_RE_aeo2014!I34+EIA_RE_aeo2014!I54)*1000</f>
        <v>0.439</v>
      </c>
      <c r="H13" s="83">
        <f>(EIA_RE_aeo2014!J34+EIA_RE_aeo2014!J54)*1000</f>
        <v>0.68</v>
      </c>
      <c r="I13" s="83">
        <f>(EIA_RE_aeo2014!K34+EIA_RE_aeo2014!K54)*1000</f>
        <v>1.0549999999999999</v>
      </c>
      <c r="J13" s="83">
        <f>(EIA_RE_aeo2014!L34+EIA_RE_aeo2014!L54)*1000</f>
        <v>1.4910000000000001</v>
      </c>
      <c r="K13" s="83">
        <f>(EIA_RE_aeo2014!M34+EIA_RE_aeo2014!M54)*1000</f>
        <v>1.494</v>
      </c>
      <c r="L13" s="83">
        <f>(EIA_RE_aeo2014!N34+EIA_RE_aeo2014!N54)*1000</f>
        <v>1.4970000000000001</v>
      </c>
      <c r="M13" s="83">
        <f>(EIA_RE_aeo2014!O34+EIA_RE_aeo2014!O54)*1000</f>
        <v>1.5040000000000002</v>
      </c>
      <c r="N13" s="394">
        <f>(EIA_RE_aeo2014!P34+EIA_RE_aeo2014!P54)*1000</f>
        <v>1.5230000000000001</v>
      </c>
      <c r="O13" s="83">
        <f>(EIA_RE_aeo2014!Q34+EIA_RE_aeo2014!Q54)*1000</f>
        <v>1.554</v>
      </c>
      <c r="P13" s="83">
        <f>(EIA_RE_aeo2014!R34+EIA_RE_aeo2014!R54)*1000</f>
        <v>1.591</v>
      </c>
      <c r="Q13" s="83">
        <f>(EIA_RE_aeo2014!S34+EIA_RE_aeo2014!S54)*1000</f>
        <v>1.635</v>
      </c>
      <c r="R13" s="83">
        <f>(EIA_RE_aeo2014!T34+EIA_RE_aeo2014!T54)*1000</f>
        <v>1.6859999999999999</v>
      </c>
      <c r="S13" s="83">
        <f>(EIA_RE_aeo2014!U34+EIA_RE_aeo2014!U54)*1000</f>
        <v>1.756</v>
      </c>
      <c r="T13" s="83">
        <f>(EIA_RE_aeo2014!V34+EIA_RE_aeo2014!V54)*1000</f>
        <v>1.83</v>
      </c>
      <c r="U13" s="83">
        <f>(EIA_RE_aeo2014!W34+EIA_RE_aeo2014!W54)*1000</f>
        <v>1.9079999999999999</v>
      </c>
      <c r="V13" s="83">
        <f>(EIA_RE_aeo2014!X34+EIA_RE_aeo2014!X54)*1000</f>
        <v>1.9879999999999998</v>
      </c>
      <c r="W13" s="83">
        <f>(EIA_RE_aeo2014!Y34+EIA_RE_aeo2014!Y54)*1000</f>
        <v>2.0699999999999998</v>
      </c>
      <c r="X13" s="185">
        <f>(EIA_RE_aeo2014!Z34+EIA_RE_aeo2014!Z54)*1000</f>
        <v>2.1549999999999998</v>
      </c>
      <c r="Y13" s="175">
        <f>(EIA_RE_aeo2014!AA34+EIA_RE_aeo2014!AA54)*1000</f>
        <v>2.2429999999999999</v>
      </c>
      <c r="Z13" s="175">
        <f>(EIA_RE_aeo2014!AB34+EIA_RE_aeo2014!AB54)*1000</f>
        <v>2.3359999999999999</v>
      </c>
      <c r="AA13" s="175">
        <f>(EIA_RE_aeo2014!AC34+EIA_RE_aeo2014!AC54)*1000</f>
        <v>2.4340000000000002</v>
      </c>
      <c r="AB13" s="175">
        <f>(EIA_RE_aeo2014!AD34+EIA_RE_aeo2014!AD54)*1000</f>
        <v>2.5409999999999999</v>
      </c>
      <c r="AC13" s="175">
        <f>(EIA_RE_aeo2014!AE34+EIA_RE_aeo2014!AE54)*1000</f>
        <v>2.6589999999999998</v>
      </c>
      <c r="AD13" s="175">
        <f>(EIA_RE_aeo2014!AF34+EIA_RE_aeo2014!AF54)*1000</f>
        <v>2.7869999999999999</v>
      </c>
      <c r="AE13" s="175">
        <f>(EIA_RE_aeo2014!AG34+EIA_RE_aeo2014!AG54)*1000</f>
        <v>2.9209999999999998</v>
      </c>
      <c r="AF13" s="175">
        <f>(EIA_RE_aeo2014!AH34+EIA_RE_aeo2014!AH54)*1000</f>
        <v>3.0599999999999996</v>
      </c>
      <c r="AG13" s="175">
        <f>(EIA_RE_aeo2014!AI34+EIA_RE_aeo2014!AI54)*1000</f>
        <v>3.2050000000000001</v>
      </c>
      <c r="AH13" s="175">
        <f>EIA_RE_aeo2014!AJ77*1000</f>
        <v>336.43299999999999</v>
      </c>
    </row>
    <row r="14" spans="1:34">
      <c r="A14" s="9" t="s">
        <v>344</v>
      </c>
      <c r="B14" s="34">
        <v>1</v>
      </c>
      <c r="C14" s="335">
        <f>EIA_RE_aeo2014!E33*1000</f>
        <v>0</v>
      </c>
      <c r="D14" s="335">
        <f>EIA_RE_aeo2014!F33*1000</f>
        <v>0</v>
      </c>
      <c r="E14" s="335">
        <f>EIA_RE_aeo2014!G33*1000</f>
        <v>0.1</v>
      </c>
      <c r="F14" s="335">
        <f>EIA_RE_aeo2014!H33*1000</f>
        <v>0.1</v>
      </c>
      <c r="G14" s="335">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94">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5">
        <f>EIA_RE_aeo2014!Z33*1000</f>
        <v>0.1</v>
      </c>
      <c r="Y14" s="175">
        <f>EIA_RE_aeo2014!AA33*1000</f>
        <v>0.1</v>
      </c>
      <c r="Z14" s="175">
        <f>EIA_RE_aeo2014!AB33*1000</f>
        <v>0.1</v>
      </c>
      <c r="AA14" s="175">
        <f>EIA_RE_aeo2014!AC33*1000</f>
        <v>0.1</v>
      </c>
      <c r="AB14" s="175">
        <f>EIA_RE_aeo2014!AD33*1000</f>
        <v>0.1</v>
      </c>
      <c r="AC14" s="175">
        <f>EIA_RE_aeo2014!AE33*1000</f>
        <v>0.1</v>
      </c>
      <c r="AD14" s="175">
        <f>EIA_RE_aeo2014!AF33*1000</f>
        <v>0.1</v>
      </c>
      <c r="AE14" s="175">
        <f>EIA_RE_aeo2014!AG33*1000</f>
        <v>0.1</v>
      </c>
      <c r="AF14" s="175">
        <f>EIA_RE_aeo2014!AH33*1000</f>
        <v>0.1</v>
      </c>
      <c r="AG14" s="175">
        <f>EIA_RE_aeo2014!AI33*1000</f>
        <v>0.1</v>
      </c>
      <c r="AH14" s="175">
        <f>EIA_RE_aeo2014!AJ33*1000</f>
        <v>0.1</v>
      </c>
    </row>
    <row r="15" spans="1:34" s="505" customFormat="1">
      <c r="A15" s="503" t="s">
        <v>677</v>
      </c>
      <c r="B15" s="504">
        <v>1</v>
      </c>
      <c r="C15" s="515">
        <v>1E-4</v>
      </c>
      <c r="D15" s="515">
        <v>1E-4</v>
      </c>
      <c r="E15" s="515">
        <v>1E-4</v>
      </c>
      <c r="F15" s="515">
        <v>1E-4</v>
      </c>
      <c r="G15" s="515">
        <v>1E-4</v>
      </c>
      <c r="H15" s="515">
        <v>1E-4</v>
      </c>
      <c r="I15" s="515">
        <v>1E-4</v>
      </c>
      <c r="J15" s="515">
        <v>1E-4</v>
      </c>
      <c r="K15" s="515">
        <v>1E-4</v>
      </c>
      <c r="L15" s="515">
        <v>1E-4</v>
      </c>
      <c r="M15" s="515">
        <v>1E-4</v>
      </c>
      <c r="N15" s="515">
        <v>1E-4</v>
      </c>
      <c r="O15" s="515">
        <v>1E-4</v>
      </c>
      <c r="P15" s="515">
        <v>1E-4</v>
      </c>
      <c r="Q15" s="515">
        <v>1E-4</v>
      </c>
      <c r="R15" s="515">
        <v>1E-4</v>
      </c>
      <c r="S15" s="515">
        <v>1E-4</v>
      </c>
      <c r="T15" s="515">
        <v>1E-4</v>
      </c>
      <c r="U15" s="515">
        <v>1E-4</v>
      </c>
      <c r="V15" s="515">
        <v>1E-4</v>
      </c>
      <c r="W15" s="515">
        <v>1E-4</v>
      </c>
      <c r="X15" s="515">
        <v>1E-4</v>
      </c>
      <c r="Y15" s="515">
        <v>1E-4</v>
      </c>
      <c r="Z15" s="515">
        <v>1E-4</v>
      </c>
      <c r="AA15" s="515">
        <v>1E-4</v>
      </c>
      <c r="AB15" s="515">
        <v>1E-4</v>
      </c>
      <c r="AC15" s="515">
        <v>1E-4</v>
      </c>
      <c r="AD15" s="515">
        <v>1E-4</v>
      </c>
      <c r="AE15" s="515">
        <v>1E-4</v>
      </c>
      <c r="AF15" s="515">
        <v>1E-4</v>
      </c>
      <c r="AG15" s="515">
        <v>1E-4</v>
      </c>
      <c r="AH15" s="515">
        <v>1E-4</v>
      </c>
    </row>
    <row r="16" spans="1:34">
      <c r="A16" s="9" t="s">
        <v>53</v>
      </c>
      <c r="B16" s="34">
        <v>1</v>
      </c>
      <c r="C16" s="335">
        <f>EIA_RE_aeo2014!E78*1000</f>
        <v>300</v>
      </c>
      <c r="D16" s="335">
        <f>EIA_RE_aeo2014!F78*1000</f>
        <v>360</v>
      </c>
      <c r="E16" s="335">
        <f>EIA_RE_aeo2014!G78*1000</f>
        <v>458.63799999999998</v>
      </c>
      <c r="F16" s="335">
        <f>EIA_RE_aeo2014!H78*1000</f>
        <v>1106.6379999999999</v>
      </c>
      <c r="G16" s="335">
        <f>EIA_RE_aeo2014!I78*1000</f>
        <v>2292.442</v>
      </c>
      <c r="H16" s="3">
        <f>EIA_RE_aeo2014!J78*1000</f>
        <v>2533.7309999999998</v>
      </c>
      <c r="I16" s="3">
        <f>EIA_RE_aeo2014!K78*1000</f>
        <v>5453.9939999999997</v>
      </c>
      <c r="J16" s="3">
        <f>EIA_RE_aeo2014!L78*1000</f>
        <v>7400.6850000000004</v>
      </c>
      <c r="K16" s="3">
        <f>EIA_RE_aeo2014!M78*1000</f>
        <v>7400.6970000000001</v>
      </c>
      <c r="L16" s="3">
        <f>EIA_RE_aeo2014!N78*1000</f>
        <v>7399.8959999999997</v>
      </c>
      <c r="M16" s="3">
        <f>EIA_RE_aeo2014!O78*1000</f>
        <v>7400.7509999999993</v>
      </c>
      <c r="N16" s="394">
        <f>EIA_RE_aeo2014!P78*1000</f>
        <v>7400.1390000000001</v>
      </c>
      <c r="O16" s="3">
        <f>EIA_RE_aeo2014!Q78*1000</f>
        <v>7400.8310000000001</v>
      </c>
      <c r="P16" s="3">
        <f>EIA_RE_aeo2014!R78*1000</f>
        <v>7403.3230000000003</v>
      </c>
      <c r="Q16" s="3">
        <f>EIA_RE_aeo2014!S78*1000</f>
        <v>7403.1610000000001</v>
      </c>
      <c r="R16" s="3">
        <f>EIA_RE_aeo2014!T78*1000</f>
        <v>7403.1610000000001</v>
      </c>
      <c r="S16" s="3">
        <f>EIA_RE_aeo2014!U78*1000</f>
        <v>7403.3179999999993</v>
      </c>
      <c r="T16" s="3">
        <f>EIA_RE_aeo2014!V78*1000</f>
        <v>7399.9160000000002</v>
      </c>
      <c r="U16" s="3">
        <f>EIA_RE_aeo2014!W78*1000</f>
        <v>7399.7719999999999</v>
      </c>
      <c r="V16" s="3">
        <f>EIA_RE_aeo2014!X78*1000</f>
        <v>7403.3730000000005</v>
      </c>
      <c r="W16" s="3">
        <f>EIA_RE_aeo2014!Y78*1000</f>
        <v>7399.817</v>
      </c>
      <c r="X16" s="185">
        <f>EIA_RE_aeo2014!Z78*1000</f>
        <v>7405.2470000000003</v>
      </c>
      <c r="Y16" s="175">
        <f>EIA_RE_aeo2014!AA78*1000</f>
        <v>7404.9319999999998</v>
      </c>
      <c r="Z16" s="175">
        <f>EIA_RE_aeo2014!AB78*1000</f>
        <v>7402.2079999999996</v>
      </c>
      <c r="AA16" s="175">
        <f>EIA_RE_aeo2014!AC78*1000</f>
        <v>7425.0360000000001</v>
      </c>
      <c r="AB16" s="175">
        <f>EIA_RE_aeo2014!AD78*1000</f>
        <v>7441.0559999999996</v>
      </c>
      <c r="AC16" s="175">
        <f>EIA_RE_aeo2014!AE78*1000</f>
        <v>7440.3819999999996</v>
      </c>
      <c r="AD16" s="175">
        <f>EIA_RE_aeo2014!AF78*1000</f>
        <v>7441.2049999999999</v>
      </c>
      <c r="AE16" s="175">
        <f>EIA_RE_aeo2014!AG78*1000</f>
        <v>7463.9859999999999</v>
      </c>
      <c r="AF16" s="175">
        <f>EIA_RE_aeo2014!AH78*1000</f>
        <v>7475.3969999999999</v>
      </c>
      <c r="AG16" s="175">
        <f>EIA_RE_aeo2014!AI78*1000</f>
        <v>7504.3059999999996</v>
      </c>
      <c r="AH16" s="175">
        <f>EIA_RE_aeo2014!AJ78*1000</f>
        <v>7549.2800000000007</v>
      </c>
    </row>
    <row r="17" spans="1:34">
      <c r="A17" s="11" t="s">
        <v>324</v>
      </c>
      <c r="B17" s="36"/>
      <c r="C17" s="335">
        <f t="shared" ref="C17:AH17" si="0">SUM(C7:C16)</f>
        <v>25841.1</v>
      </c>
      <c r="D17" s="335">
        <f t="shared" si="0"/>
        <v>33701.1</v>
      </c>
      <c r="E17" s="335">
        <f t="shared" si="0"/>
        <v>18210.711999999996</v>
      </c>
      <c r="F17" s="335">
        <f t="shared" si="0"/>
        <v>13713.600999999999</v>
      </c>
      <c r="G17" s="335">
        <f t="shared" si="0"/>
        <v>18231.454000000002</v>
      </c>
      <c r="H17" s="3">
        <f t="shared" si="0"/>
        <v>18554.313999999998</v>
      </c>
      <c r="I17" s="3">
        <f t="shared" si="0"/>
        <v>21957.23</v>
      </c>
      <c r="J17" s="3">
        <f t="shared" si="0"/>
        <v>24102.607000000004</v>
      </c>
      <c r="K17" s="3">
        <f t="shared" si="0"/>
        <v>24194.042999999998</v>
      </c>
      <c r="L17" s="3">
        <f t="shared" si="0"/>
        <v>24236.332999999999</v>
      </c>
      <c r="M17" s="3">
        <f t="shared" si="0"/>
        <v>24359.624</v>
      </c>
      <c r="N17" s="394">
        <f t="shared" si="0"/>
        <v>24367.501999999997</v>
      </c>
      <c r="O17" s="3">
        <f t="shared" si="0"/>
        <v>24445.351000000002</v>
      </c>
      <c r="P17" s="3">
        <f t="shared" si="0"/>
        <v>24450.190999999999</v>
      </c>
      <c r="Q17" s="3">
        <f t="shared" si="0"/>
        <v>24425.538</v>
      </c>
      <c r="R17" s="3">
        <f t="shared" si="0"/>
        <v>24470.653000000002</v>
      </c>
      <c r="S17" s="3">
        <f t="shared" si="0"/>
        <v>24472.501</v>
      </c>
      <c r="T17" s="3">
        <f t="shared" si="0"/>
        <v>24452.902000000002</v>
      </c>
      <c r="U17" s="3">
        <f t="shared" si="0"/>
        <v>24426.386999999999</v>
      </c>
      <c r="V17" s="3">
        <f t="shared" si="0"/>
        <v>24441.752000000004</v>
      </c>
      <c r="W17" s="3">
        <f t="shared" si="0"/>
        <v>24467.039000000001</v>
      </c>
      <c r="X17" s="185">
        <f t="shared" si="0"/>
        <v>24775.471999999998</v>
      </c>
      <c r="Y17" s="175">
        <f t="shared" si="0"/>
        <v>24963.559000000001</v>
      </c>
      <c r="Z17" s="175">
        <f t="shared" si="0"/>
        <v>25026.716999999997</v>
      </c>
      <c r="AA17" s="175">
        <f t="shared" si="0"/>
        <v>25048.486999999997</v>
      </c>
      <c r="AB17" s="175">
        <f t="shared" si="0"/>
        <v>25063.792999999998</v>
      </c>
      <c r="AC17" s="175">
        <f t="shared" si="0"/>
        <v>25062.022999999994</v>
      </c>
      <c r="AD17" s="175">
        <f t="shared" si="0"/>
        <v>25063.163999999997</v>
      </c>
      <c r="AE17" s="175">
        <f t="shared" si="0"/>
        <v>25085.023999999998</v>
      </c>
      <c r="AF17" s="175">
        <f t="shared" si="0"/>
        <v>25095.537</v>
      </c>
      <c r="AG17" s="175">
        <f t="shared" si="0"/>
        <v>25127.036999999997</v>
      </c>
      <c r="AH17" s="175">
        <f t="shared" si="0"/>
        <v>25504.375</v>
      </c>
    </row>
    <row r="18" spans="1:34">
      <c r="A18" s="10" t="s">
        <v>125</v>
      </c>
      <c r="B18" s="37"/>
      <c r="C18" s="336">
        <f t="shared" ref="C18:AH18" si="1">SUMPRODUCT($B7:$B16,C7:C16)</f>
        <v>2618.1001000000001</v>
      </c>
      <c r="D18" s="336">
        <f t="shared" si="1"/>
        <v>2825.1001000000001</v>
      </c>
      <c r="E18" s="336">
        <f t="shared" si="1"/>
        <v>2149.7221</v>
      </c>
      <c r="F18" s="336">
        <f t="shared" si="1"/>
        <v>2929.8400999999994</v>
      </c>
      <c r="G18" s="336">
        <f t="shared" si="1"/>
        <v>4228.2741000000005</v>
      </c>
      <c r="H18" s="14">
        <f t="shared" si="1"/>
        <v>4473.1680999999999</v>
      </c>
      <c r="I18" s="14">
        <f t="shared" si="1"/>
        <v>7377.7690999999995</v>
      </c>
      <c r="J18" s="14">
        <f t="shared" si="1"/>
        <v>9321.6331000000009</v>
      </c>
      <c r="K18" s="14">
        <f t="shared" si="1"/>
        <v>9339.5210999999999</v>
      </c>
      <c r="L18" s="14">
        <f t="shared" si="1"/>
        <v>9314.2150999999994</v>
      </c>
      <c r="M18" s="14">
        <f t="shared" si="1"/>
        <v>9437.5040999999983</v>
      </c>
      <c r="N18" s="191">
        <f t="shared" si="1"/>
        <v>9445.3840999999993</v>
      </c>
      <c r="O18" s="14">
        <f t="shared" si="1"/>
        <v>9523.2331000000013</v>
      </c>
      <c r="P18" s="14">
        <f t="shared" si="1"/>
        <v>9528.0731000000014</v>
      </c>
      <c r="Q18" s="14">
        <f t="shared" si="1"/>
        <v>9503.4210999999996</v>
      </c>
      <c r="R18" s="14">
        <f t="shared" si="1"/>
        <v>9548.535100000001</v>
      </c>
      <c r="S18" s="14">
        <f t="shared" si="1"/>
        <v>9550.3830999999991</v>
      </c>
      <c r="T18" s="14">
        <f t="shared" si="1"/>
        <v>9530.7841000000008</v>
      </c>
      <c r="U18" s="14">
        <f t="shared" si="1"/>
        <v>9504.2690999999995</v>
      </c>
      <c r="V18" s="14">
        <f t="shared" si="1"/>
        <v>9519.6350999999995</v>
      </c>
      <c r="W18" s="14">
        <f t="shared" si="1"/>
        <v>9544.9220999999998</v>
      </c>
      <c r="X18" s="188">
        <f t="shared" si="1"/>
        <v>9853.3541000000005</v>
      </c>
      <c r="Y18" s="14">
        <f t="shared" si="1"/>
        <v>10041.4421</v>
      </c>
      <c r="Z18" s="14">
        <f t="shared" si="1"/>
        <v>10104.599099999999</v>
      </c>
      <c r="AA18" s="14">
        <f t="shared" si="1"/>
        <v>10126.3691</v>
      </c>
      <c r="AB18" s="14">
        <f t="shared" si="1"/>
        <v>10141.6751</v>
      </c>
      <c r="AC18" s="14">
        <f t="shared" si="1"/>
        <v>10139.9051</v>
      </c>
      <c r="AD18" s="14">
        <f t="shared" si="1"/>
        <v>10141.0461</v>
      </c>
      <c r="AE18" s="14">
        <f t="shared" si="1"/>
        <v>10162.9061</v>
      </c>
      <c r="AF18" s="14">
        <f t="shared" si="1"/>
        <v>10173.419099999999</v>
      </c>
      <c r="AG18" s="14">
        <f t="shared" si="1"/>
        <v>10204.919099999999</v>
      </c>
      <c r="AH18" s="14">
        <f t="shared" si="1"/>
        <v>10582.257100000001</v>
      </c>
    </row>
    <row r="19" spans="1:34">
      <c r="A19" s="10" t="s">
        <v>111</v>
      </c>
      <c r="B19" s="37"/>
      <c r="C19" s="337">
        <f t="shared" ref="C19:AH19" si="2">C18/C4</f>
        <v>2.5703683595629169E-2</v>
      </c>
      <c r="D19" s="337">
        <f t="shared" si="2"/>
        <v>2.5162325539968829E-2</v>
      </c>
      <c r="E19" s="337">
        <f t="shared" si="2"/>
        <v>2.4925163247879675E-2</v>
      </c>
      <c r="F19" s="337">
        <f t="shared" si="2"/>
        <v>3.4454987893349991E-2</v>
      </c>
      <c r="G19" s="337">
        <f t="shared" si="2"/>
        <v>4.6174368996021682E-2</v>
      </c>
      <c r="H19" s="23">
        <f t="shared" si="2"/>
        <v>4.6177086135094754E-2</v>
      </c>
      <c r="I19" s="23">
        <f t="shared" si="2"/>
        <v>7.307635674295794E-2</v>
      </c>
      <c r="J19" s="23">
        <f t="shared" si="2"/>
        <v>9.364727515787602E-2</v>
      </c>
      <c r="K19" s="23">
        <f t="shared" si="2"/>
        <v>9.6329478189464982E-2</v>
      </c>
      <c r="L19" s="23">
        <f t="shared" si="2"/>
        <v>9.5548632161207916E-2</v>
      </c>
      <c r="M19" s="23">
        <f t="shared" si="2"/>
        <v>9.6466657105355721E-2</v>
      </c>
      <c r="N19" s="184">
        <f t="shared" si="2"/>
        <v>9.5999576257112362E-2</v>
      </c>
      <c r="O19" s="23">
        <f t="shared" si="2"/>
        <v>9.78534240086886E-2</v>
      </c>
      <c r="P19" s="23">
        <f t="shared" si="2"/>
        <v>9.6334050397062998E-2</v>
      </c>
      <c r="Q19" s="23">
        <f t="shared" si="2"/>
        <v>9.5932054446695322E-2</v>
      </c>
      <c r="R19" s="23">
        <f t="shared" si="2"/>
        <v>9.5495545149444708E-2</v>
      </c>
      <c r="S19" s="23">
        <f t="shared" si="2"/>
        <v>9.462292468916747E-2</v>
      </c>
      <c r="T19" s="23">
        <f t="shared" si="2"/>
        <v>9.2842299539694972E-2</v>
      </c>
      <c r="U19" s="23">
        <f t="shared" si="2"/>
        <v>9.1736933182742564E-2</v>
      </c>
      <c r="V19" s="23">
        <f t="shared" si="2"/>
        <v>9.034003994340585E-2</v>
      </c>
      <c r="W19" s="23">
        <f t="shared" si="2"/>
        <v>9.0100849868925081E-2</v>
      </c>
      <c r="X19" s="186">
        <f t="shared" si="2"/>
        <v>9.262552297862825E-2</v>
      </c>
      <c r="Y19" s="173">
        <f t="shared" si="2"/>
        <v>9.4122336234181439E-2</v>
      </c>
      <c r="Z19" s="173">
        <f t="shared" si="2"/>
        <v>9.6416125301165626E-2</v>
      </c>
      <c r="AA19" s="173">
        <f t="shared" si="2"/>
        <v>9.6378484404686063E-2</v>
      </c>
      <c r="AB19" s="173">
        <f t="shared" si="2"/>
        <v>9.6780265896410256E-2</v>
      </c>
      <c r="AC19" s="173">
        <f t="shared" si="2"/>
        <v>9.646138742948715E-2</v>
      </c>
      <c r="AD19" s="173">
        <f t="shared" si="2"/>
        <v>9.6252086456892802E-2</v>
      </c>
      <c r="AE19" s="173">
        <f t="shared" si="2"/>
        <v>9.6819714966336998E-2</v>
      </c>
      <c r="AF19" s="173">
        <f t="shared" si="2"/>
        <v>9.5540463273929441E-2</v>
      </c>
      <c r="AG19" s="173">
        <f t="shared" si="2"/>
        <v>9.5693023087810358E-2</v>
      </c>
      <c r="AH19" s="173">
        <f t="shared" si="2"/>
        <v>9.8454863723757752E-2</v>
      </c>
    </row>
    <row r="20" spans="1:34">
      <c r="A20" s="10" t="s">
        <v>141</v>
      </c>
      <c r="B20" s="37"/>
      <c r="C20" s="336">
        <f>EIA_electricity_aeo2014!E49*1000</f>
        <v>66848</v>
      </c>
      <c r="D20" s="336">
        <f>EIA_electricity_aeo2014!F49*1000</f>
        <v>65604</v>
      </c>
      <c r="E20" s="336">
        <f>EIA_electricity_aeo2014!G49*1000</f>
        <v>55900.894</v>
      </c>
      <c r="F20" s="336">
        <f>EIA_electricity_aeo2014!H49*1000</f>
        <v>50602.634000000005</v>
      </c>
      <c r="G20" s="336">
        <f>EIA_electricity_aeo2014!I49*1000</f>
        <v>57210.964</v>
      </c>
      <c r="H20" s="14">
        <f>EIA_electricity_aeo2014!J49*1000</f>
        <v>57972.178999999996</v>
      </c>
      <c r="I20" s="14">
        <f>EIA_electricity_aeo2014!K49*1000</f>
        <v>59441.710999999996</v>
      </c>
      <c r="J20" s="14">
        <f>EIA_electricity_aeo2014!L49*1000</f>
        <v>41381.863000000005</v>
      </c>
      <c r="K20" s="14">
        <f>EIA_electricity_aeo2014!M49*1000</f>
        <v>37921.813999999998</v>
      </c>
      <c r="L20" s="14">
        <f>EIA_electricity_aeo2014!N49*1000</f>
        <v>38652.907999999996</v>
      </c>
      <c r="M20" s="14">
        <f>EIA_electricity_aeo2014!O49*1000</f>
        <v>38823.214999999997</v>
      </c>
      <c r="N20" s="191">
        <f>EIA_electricity_aeo2014!P49*1000</f>
        <v>39091.769999999997</v>
      </c>
      <c r="O20" s="14">
        <f>EIA_electricity_aeo2014!Q49*1000</f>
        <v>38181.248</v>
      </c>
      <c r="P20" s="14">
        <f>EIA_electricity_aeo2014!R49*1000</f>
        <v>38397.326999999997</v>
      </c>
      <c r="Q20" s="14">
        <f>EIA_electricity_aeo2014!S49*1000</f>
        <v>38618.659999999996</v>
      </c>
      <c r="R20" s="14">
        <f>EIA_electricity_aeo2014!T49*1000</f>
        <v>39688.980000000003</v>
      </c>
      <c r="S20" s="14">
        <f>EIA_electricity_aeo2014!U49*1000</f>
        <v>40972.781999999999</v>
      </c>
      <c r="T20" s="14">
        <f>EIA_electricity_aeo2014!V49*1000</f>
        <v>41276.050999999999</v>
      </c>
      <c r="U20" s="14">
        <f>EIA_electricity_aeo2014!W49*1000</f>
        <v>41587.173000000003</v>
      </c>
      <c r="V20" s="14">
        <f>EIA_electricity_aeo2014!X49*1000</f>
        <v>41571.472000000002</v>
      </c>
      <c r="W20" s="14">
        <f>EIA_electricity_aeo2014!Y49*1000</f>
        <v>41516.818999999996</v>
      </c>
      <c r="X20" s="188">
        <f>EIA_electricity_aeo2014!Z49*1000</f>
        <v>41197.361000000004</v>
      </c>
      <c r="Y20" s="14">
        <f>EIA_electricity_aeo2014!AA49*1000</f>
        <v>40981.236000000004</v>
      </c>
      <c r="Z20" s="14">
        <f>EIA_electricity_aeo2014!AB49*1000</f>
        <v>40887.118999999999</v>
      </c>
      <c r="AA20" s="14">
        <f>EIA_electricity_aeo2014!AC49*1000</f>
        <v>40850.277000000002</v>
      </c>
      <c r="AB20" s="14">
        <f>EIA_electricity_aeo2014!AD49*1000</f>
        <v>40815.266000000003</v>
      </c>
      <c r="AC20" s="14">
        <f>EIA_electricity_aeo2014!AE49*1000</f>
        <v>40780.712</v>
      </c>
      <c r="AD20" s="14">
        <f>EIA_electricity_aeo2014!AF49*1000</f>
        <v>40746.628000000004</v>
      </c>
      <c r="AE20" s="14">
        <f>EIA_electricity_aeo2014!AG49*1000</f>
        <v>40732.559000000001</v>
      </c>
      <c r="AF20" s="14">
        <f>EIA_electricity_aeo2014!AH49*1000</f>
        <v>40702.125999999997</v>
      </c>
      <c r="AG20" s="14">
        <f>EIA_electricity_aeo2014!AI49*1000</f>
        <v>40668.292999999998</v>
      </c>
      <c r="AH20" s="14">
        <f>EIA_electricity_aeo2014!AJ49*1000</f>
        <v>40636.077999999994</v>
      </c>
    </row>
    <row r="21" spans="1:34">
      <c r="A21" s="10" t="s">
        <v>221</v>
      </c>
      <c r="B21" s="37"/>
      <c r="C21" s="336">
        <f>EIA_electricity_aeo2014!E51*1000</f>
        <v>8420</v>
      </c>
      <c r="D21" s="336">
        <f>EIA_electricity_aeo2014!F51*1000</f>
        <v>12249</v>
      </c>
      <c r="E21" s="336">
        <f>EIA_electricity_aeo2014!G51*1000</f>
        <v>12554.154999999999</v>
      </c>
      <c r="F21" s="336">
        <f>EIA_electricity_aeo2014!H51*1000</f>
        <v>21097.325999999997</v>
      </c>
      <c r="G21" s="336">
        <f>EIA_electricity_aeo2014!I51*1000</f>
        <v>16455.677</v>
      </c>
      <c r="H21" s="14">
        <f>EIA_electricity_aeo2014!J51*1000</f>
        <v>20670.611999999997</v>
      </c>
      <c r="I21" s="14">
        <f>EIA_electricity_aeo2014!K51*1000</f>
        <v>19890.544999999998</v>
      </c>
      <c r="J21" s="14">
        <f>EIA_electricity_aeo2014!L51*1000</f>
        <v>34457.351999999999</v>
      </c>
      <c r="K21" s="14">
        <f>EIA_electricity_aeo2014!M51*1000</f>
        <v>35254.142999999996</v>
      </c>
      <c r="L21" s="14">
        <f>EIA_electricity_aeo2014!N51*1000</f>
        <v>35005.383000000002</v>
      </c>
      <c r="M21" s="14">
        <f>EIA_electricity_aeo2014!O51*1000</f>
        <v>35061.123</v>
      </c>
      <c r="N21" s="191">
        <f>EIA_electricity_aeo2014!P51*1000</f>
        <v>35341.576000000001</v>
      </c>
      <c r="O21" s="14">
        <f>EIA_electricity_aeo2014!Q51*1000</f>
        <v>35108.947999999997</v>
      </c>
      <c r="P21" s="14">
        <f>EIA_electricity_aeo2014!R51*1000</f>
        <v>36472.136999999995</v>
      </c>
      <c r="Q21" s="14">
        <f>EIA_electricity_aeo2014!S51*1000</f>
        <v>36432.254999999997</v>
      </c>
      <c r="R21" s="14">
        <f>EIA_electricity_aeo2014!T51*1000</f>
        <v>36237.946000000004</v>
      </c>
      <c r="S21" s="14">
        <f>EIA_electricity_aeo2014!U51*1000</f>
        <v>35888.381999999998</v>
      </c>
      <c r="T21" s="14">
        <f>EIA_electricity_aeo2014!V51*1000</f>
        <v>37328.072</v>
      </c>
      <c r="U21" s="14">
        <f>EIA_electricity_aeo2014!W51*1000</f>
        <v>37990.231</v>
      </c>
      <c r="V21" s="14">
        <f>EIA_electricity_aeo2014!X51*1000</f>
        <v>39762.512000000002</v>
      </c>
      <c r="W21" s="14">
        <f>EIA_electricity_aeo2014!Y51*1000</f>
        <v>40352.592000000004</v>
      </c>
      <c r="X21" s="188">
        <f>EIA_electricity_aeo2014!Z51*1000</f>
        <v>40806.373999999996</v>
      </c>
      <c r="Y21" s="14">
        <f>EIA_electricity_aeo2014!AA51*1000</f>
        <v>41141.384000000005</v>
      </c>
      <c r="Z21" s="14">
        <f>EIA_electricity_aeo2014!AB51*1000</f>
        <v>39289.627</v>
      </c>
      <c r="AA21" s="14">
        <f>EIA_electricity_aeo2014!AC51*1000</f>
        <v>39571.93</v>
      </c>
      <c r="AB21" s="14">
        <f>EIA_electricity_aeo2014!AD51*1000</f>
        <v>39314.117000000006</v>
      </c>
      <c r="AC21" s="14">
        <f>EIA_electricity_aeo2014!AE51*1000</f>
        <v>39679.256000000001</v>
      </c>
      <c r="AD21" s="14">
        <f>EIA_electricity_aeo2014!AF51*1000</f>
        <v>39953.777000000002</v>
      </c>
      <c r="AE21" s="14">
        <f>EIA_electricity_aeo2014!AG51*1000</f>
        <v>39555.457999999999</v>
      </c>
      <c r="AF21" s="14">
        <f>EIA_electricity_aeo2014!AH51*1000</f>
        <v>41092.606000000007</v>
      </c>
      <c r="AG21" s="14">
        <f>EIA_electricity_aeo2014!AI51*1000</f>
        <v>41256.332000000002</v>
      </c>
      <c r="AH21" s="14">
        <f>EIA_electricity_aeo2014!AJ51*1000</f>
        <v>42087.429000000004</v>
      </c>
    </row>
    <row r="22" spans="1:34">
      <c r="A22" s="10" t="s">
        <v>347</v>
      </c>
      <c r="B22" s="37"/>
      <c r="C22" s="335">
        <f>SUM(C17,C20:C21)</f>
        <v>101109.1</v>
      </c>
      <c r="D22" s="335">
        <f t="shared" ref="D22:AH22" si="3">SUM(D17,D20:D21)</f>
        <v>111554.1</v>
      </c>
      <c r="E22" s="335">
        <f t="shared" si="3"/>
        <v>86665.760999999999</v>
      </c>
      <c r="F22" s="335">
        <f t="shared" si="3"/>
        <v>85413.561000000002</v>
      </c>
      <c r="G22" s="335">
        <f t="shared" si="3"/>
        <v>91898.095000000001</v>
      </c>
      <c r="H22" s="79">
        <f t="shared" si="3"/>
        <v>97197.104999999981</v>
      </c>
      <c r="I22" s="79">
        <f t="shared" si="3"/>
        <v>101289.48599999999</v>
      </c>
      <c r="J22" s="79">
        <f t="shared" si="3"/>
        <v>99941.822000000015</v>
      </c>
      <c r="K22" s="79">
        <f t="shared" si="3"/>
        <v>97370</v>
      </c>
      <c r="L22" s="79">
        <f t="shared" si="3"/>
        <v>97894.623999999996</v>
      </c>
      <c r="M22" s="79">
        <f t="shared" si="3"/>
        <v>98243.962</v>
      </c>
      <c r="N22" s="394">
        <f t="shared" si="3"/>
        <v>98800.847999999998</v>
      </c>
      <c r="O22" s="79">
        <f t="shared" si="3"/>
        <v>97735.546999999991</v>
      </c>
      <c r="P22" s="79">
        <f t="shared" si="3"/>
        <v>99319.654999999999</v>
      </c>
      <c r="Q22" s="79">
        <f t="shared" si="3"/>
        <v>99476.452999999994</v>
      </c>
      <c r="R22" s="79">
        <f t="shared" si="3"/>
        <v>100397.579</v>
      </c>
      <c r="S22" s="79">
        <f t="shared" si="3"/>
        <v>101333.66499999999</v>
      </c>
      <c r="T22" s="79">
        <f t="shared" si="3"/>
        <v>103057.02500000001</v>
      </c>
      <c r="U22" s="79">
        <f t="shared" si="3"/>
        <v>104003.791</v>
      </c>
      <c r="V22" s="79">
        <f t="shared" si="3"/>
        <v>105775.736</v>
      </c>
      <c r="W22" s="79">
        <f t="shared" si="3"/>
        <v>106336.45</v>
      </c>
      <c r="X22" s="185">
        <f t="shared" si="3"/>
        <v>106779.20699999999</v>
      </c>
      <c r="Y22" s="175">
        <f t="shared" si="3"/>
        <v>107086.17900000002</v>
      </c>
      <c r="Z22" s="175">
        <f t="shared" si="3"/>
        <v>105203.46299999999</v>
      </c>
      <c r="AA22" s="175">
        <f t="shared" si="3"/>
        <v>105470.69399999999</v>
      </c>
      <c r="AB22" s="175">
        <f t="shared" si="3"/>
        <v>105193.17600000001</v>
      </c>
      <c r="AC22" s="175">
        <f t="shared" si="3"/>
        <v>105521.99099999998</v>
      </c>
      <c r="AD22" s="175">
        <f t="shared" si="3"/>
        <v>105763.569</v>
      </c>
      <c r="AE22" s="175">
        <f t="shared" si="3"/>
        <v>105373.041</v>
      </c>
      <c r="AF22" s="175">
        <f t="shared" si="3"/>
        <v>106890.269</v>
      </c>
      <c r="AG22" s="175">
        <f t="shared" si="3"/>
        <v>107051.66199999998</v>
      </c>
      <c r="AH22" s="175">
        <f t="shared" si="3"/>
        <v>108227.882</v>
      </c>
    </row>
    <row r="23" spans="1:34">
      <c r="A23" s="10" t="s">
        <v>325</v>
      </c>
      <c r="B23" s="37"/>
      <c r="C23" s="335">
        <f>EIA_electricity_aeo2014!E50*1000+EIA_electricity_aeo2014!E55*1000</f>
        <v>743</v>
      </c>
      <c r="D23" s="335">
        <f>EIA_electricity_aeo2014!F50*1000+EIA_electricity_aeo2014!F55*1000</f>
        <v>714</v>
      </c>
      <c r="E23" s="335">
        <f>EIA_electricity_aeo2014!G50*1000+EIA_electricity_aeo2014!G55*1000</f>
        <v>-269.738</v>
      </c>
      <c r="F23" s="335">
        <f>EIA_electricity_aeo2014!H50*1000+EIA_electricity_aeo2014!H55*1000</f>
        <v>-83.766999999999996</v>
      </c>
      <c r="G23" s="335">
        <f>EIA_electricity_aeo2014!I50*1000+EIA_electricity_aeo2014!I55*1000</f>
        <v>-31.862000000000023</v>
      </c>
      <c r="H23" s="335">
        <f>EIA_electricity_aeo2014!J50*1000+EIA_electricity_aeo2014!J55*1000</f>
        <v>-28.808000000000021</v>
      </c>
      <c r="I23" s="335">
        <f>EIA_electricity_aeo2014!K50*1000+EIA_electricity_aeo2014!K55*1000</f>
        <v>-22.960999999999984</v>
      </c>
      <c r="J23" s="335">
        <f>EIA_electricity_aeo2014!L50*1000+EIA_electricity_aeo2014!L55*1000</f>
        <v>-94.573000000000036</v>
      </c>
      <c r="K23" s="335">
        <f>EIA_electricity_aeo2014!M50*1000+EIA_electricity_aeo2014!M55*1000</f>
        <v>-108.49200000000002</v>
      </c>
      <c r="L23" s="335">
        <f>EIA_electricity_aeo2014!N50*1000+EIA_electricity_aeo2014!N55*1000</f>
        <v>-105.52300000000002</v>
      </c>
      <c r="M23" s="335">
        <f>EIA_electricity_aeo2014!O50*1000+EIA_electricity_aeo2014!O55*1000</f>
        <v>-104.34800000000001</v>
      </c>
      <c r="N23" s="335">
        <f>EIA_electricity_aeo2014!P50*1000+EIA_electricity_aeo2014!P55*1000</f>
        <v>-102.96899999999994</v>
      </c>
      <c r="O23" s="335">
        <f>EIA_electricity_aeo2014!Q50*1000+EIA_electricity_aeo2014!Q55*1000</f>
        <v>-105.89200000000002</v>
      </c>
      <c r="P23" s="335">
        <f>EIA_electricity_aeo2014!R50*1000+EIA_electricity_aeo2014!R55*1000</f>
        <v>-104.60700000000003</v>
      </c>
      <c r="Q23" s="335">
        <f>EIA_electricity_aeo2014!S50*1000+EIA_electricity_aeo2014!S55*1000</f>
        <v>-103.71200000000002</v>
      </c>
      <c r="R23" s="335">
        <f>EIA_electricity_aeo2014!T50*1000+EIA_electricity_aeo2014!T55*1000</f>
        <v>-99.40900000000002</v>
      </c>
      <c r="S23" s="335">
        <f>EIA_electricity_aeo2014!U50*1000+EIA_electricity_aeo2014!U55*1000</f>
        <v>-93.649999999999977</v>
      </c>
      <c r="T23" s="335">
        <f>EIA_electricity_aeo2014!V50*1000+EIA_electricity_aeo2014!V55*1000</f>
        <v>-92.112000000000023</v>
      </c>
      <c r="U23" s="335">
        <f>EIA_electricity_aeo2014!W50*1000+EIA_electricity_aeo2014!W55*1000</f>
        <v>-90.762</v>
      </c>
      <c r="V23" s="335">
        <f>EIA_electricity_aeo2014!X50*1000+EIA_electricity_aeo2014!X55*1000</f>
        <v>-90.418000000000006</v>
      </c>
      <c r="W23" s="335">
        <f>EIA_electricity_aeo2014!Y50*1000+EIA_electricity_aeo2014!Y55*1000</f>
        <v>-90.520999999999987</v>
      </c>
      <c r="X23" s="335">
        <f>EIA_electricity_aeo2014!Z50*1000+EIA_electricity_aeo2014!Z55*1000</f>
        <v>-90.64500000000001</v>
      </c>
      <c r="Y23" s="335">
        <f>EIA_electricity_aeo2014!AA50*1000+EIA_electricity_aeo2014!AA55*1000</f>
        <v>-90.756</v>
      </c>
      <c r="Z23" s="335">
        <f>EIA_electricity_aeo2014!AB50*1000+EIA_electricity_aeo2014!AB55*1000</f>
        <v>-90.851999999999975</v>
      </c>
      <c r="AA23" s="335">
        <f>EIA_electricity_aeo2014!AC50*1000+EIA_electricity_aeo2014!AC55*1000</f>
        <v>-90.985000000000014</v>
      </c>
      <c r="AB23" s="335">
        <f>EIA_electricity_aeo2014!AD50*1000+EIA_electricity_aeo2014!AD55*1000</f>
        <v>-91.10499999999999</v>
      </c>
      <c r="AC23" s="335">
        <f>EIA_electricity_aeo2014!AE50*1000+EIA_electricity_aeo2014!AE55*1000</f>
        <v>-91.224999999999994</v>
      </c>
      <c r="AD23" s="335">
        <f>EIA_electricity_aeo2014!AF50*1000+EIA_electricity_aeo2014!AF55*1000</f>
        <v>-91.396000000000015</v>
      </c>
      <c r="AE23" s="335">
        <f>EIA_electricity_aeo2014!AG50*1000+EIA_electricity_aeo2014!AG55*1000</f>
        <v>-91.422999999999973</v>
      </c>
      <c r="AF23" s="335">
        <f>EIA_electricity_aeo2014!AH50*1000+EIA_electricity_aeo2014!AH55*1000</f>
        <v>-91.536000000000001</v>
      </c>
      <c r="AG23" s="335">
        <f>EIA_electricity_aeo2014!AI50*1000+EIA_electricity_aeo2014!AI55*1000</f>
        <v>-91.681000000000012</v>
      </c>
      <c r="AH23" s="335">
        <f>EIA_electricity_aeo2014!AJ50*1000+EIA_electricity_aeo2014!AJ55*1000</f>
        <v>-91.710000000000008</v>
      </c>
    </row>
    <row r="24" spans="1:34">
      <c r="A24" s="10" t="s">
        <v>341</v>
      </c>
      <c r="B24" s="37"/>
      <c r="C24" s="335">
        <f>SUM(C22:C23)</f>
        <v>101852.1</v>
      </c>
      <c r="D24" s="335">
        <f t="shared" ref="D24:AH24" si="4">SUM(D22:D23)</f>
        <v>112268.1</v>
      </c>
      <c r="E24" s="335">
        <f t="shared" si="4"/>
        <v>86396.023000000001</v>
      </c>
      <c r="F24" s="335">
        <f t="shared" si="4"/>
        <v>85329.793999999994</v>
      </c>
      <c r="G24" s="335">
        <f t="shared" si="4"/>
        <v>91866.233000000007</v>
      </c>
      <c r="H24" s="83">
        <f t="shared" si="4"/>
        <v>97168.296999999977</v>
      </c>
      <c r="I24" s="83">
        <f t="shared" si="4"/>
        <v>101266.52499999999</v>
      </c>
      <c r="J24" s="83">
        <f t="shared" si="4"/>
        <v>99847.249000000011</v>
      </c>
      <c r="K24" s="83">
        <f t="shared" si="4"/>
        <v>97261.508000000002</v>
      </c>
      <c r="L24" s="83">
        <f t="shared" si="4"/>
        <v>97789.100999999995</v>
      </c>
      <c r="M24" s="83">
        <f t="shared" si="4"/>
        <v>98139.614000000001</v>
      </c>
      <c r="N24" s="394">
        <f t="shared" si="4"/>
        <v>98697.879000000001</v>
      </c>
      <c r="O24" s="83">
        <f t="shared" si="4"/>
        <v>97629.654999999984</v>
      </c>
      <c r="P24" s="83">
        <f t="shared" si="4"/>
        <v>99215.047999999995</v>
      </c>
      <c r="Q24" s="83">
        <f t="shared" si="4"/>
        <v>99372.740999999995</v>
      </c>
      <c r="R24" s="83">
        <f t="shared" si="4"/>
        <v>100298.17</v>
      </c>
      <c r="S24" s="83">
        <f t="shared" si="4"/>
        <v>101240.015</v>
      </c>
      <c r="T24" s="83">
        <f t="shared" si="4"/>
        <v>102964.91300000002</v>
      </c>
      <c r="U24" s="83">
        <f t="shared" si="4"/>
        <v>103913.02899999999</v>
      </c>
      <c r="V24" s="83">
        <f t="shared" si="4"/>
        <v>105685.318</v>
      </c>
      <c r="W24" s="83">
        <f t="shared" si="4"/>
        <v>106245.929</v>
      </c>
      <c r="X24" s="185">
        <f t="shared" si="4"/>
        <v>106688.56199999999</v>
      </c>
      <c r="Y24" s="175">
        <f t="shared" si="4"/>
        <v>106995.42300000002</v>
      </c>
      <c r="Z24" s="175">
        <f t="shared" si="4"/>
        <v>105112.61099999999</v>
      </c>
      <c r="AA24" s="175">
        <f t="shared" si="4"/>
        <v>105379.70899999999</v>
      </c>
      <c r="AB24" s="175">
        <f t="shared" si="4"/>
        <v>105102.07100000001</v>
      </c>
      <c r="AC24" s="175">
        <f t="shared" si="4"/>
        <v>105430.76599999997</v>
      </c>
      <c r="AD24" s="175">
        <f t="shared" si="4"/>
        <v>105672.17300000001</v>
      </c>
      <c r="AE24" s="175">
        <f t="shared" si="4"/>
        <v>105281.618</v>
      </c>
      <c r="AF24" s="175">
        <f t="shared" si="4"/>
        <v>106798.73300000001</v>
      </c>
      <c r="AG24" s="175">
        <f t="shared" si="4"/>
        <v>106959.98099999999</v>
      </c>
      <c r="AH24" s="175">
        <f t="shared" si="4"/>
        <v>108136.17199999999</v>
      </c>
    </row>
    <row r="25" spans="1:34">
      <c r="A25" s="10" t="s">
        <v>342</v>
      </c>
      <c r="B25" s="37"/>
      <c r="C25" s="337">
        <f t="shared" ref="C25:AH25" si="5">C24/C4-1</f>
        <v>-4.8106659336077939E-5</v>
      </c>
      <c r="D25" s="337">
        <f t="shared" si="5"/>
        <v>-6.1456245824764721E-5</v>
      </c>
      <c r="E25" s="337">
        <f t="shared" si="5"/>
        <v>1.7271428909659825E-3</v>
      </c>
      <c r="F25" s="337">
        <f t="shared" si="5"/>
        <v>3.4803671408718539E-3</v>
      </c>
      <c r="G25" s="337">
        <f t="shared" si="5"/>
        <v>3.2143708035634599E-3</v>
      </c>
      <c r="H25" s="82">
        <f t="shared" si="5"/>
        <v>3.0807516868118778E-3</v>
      </c>
      <c r="I25" s="82">
        <f t="shared" si="5"/>
        <v>3.0388057305383853E-3</v>
      </c>
      <c r="J25" s="82">
        <f t="shared" si="5"/>
        <v>3.0884825170776065E-3</v>
      </c>
      <c r="K25" s="82">
        <f t="shared" si="5"/>
        <v>3.1724553371879072E-3</v>
      </c>
      <c r="L25" s="82">
        <f t="shared" si="5"/>
        <v>3.1564378220350076E-3</v>
      </c>
      <c r="M25" s="82">
        <f t="shared" si="5"/>
        <v>3.1466362160277317E-3</v>
      </c>
      <c r="N25" s="200">
        <f t="shared" si="5"/>
        <v>3.1306785581912688E-3</v>
      </c>
      <c r="O25" s="82">
        <f t="shared" si="5"/>
        <v>3.1672989855706657E-3</v>
      </c>
      <c r="P25" s="82">
        <f t="shared" si="5"/>
        <v>3.1186089639700931E-3</v>
      </c>
      <c r="Q25" s="82">
        <f t="shared" si="5"/>
        <v>3.1157306214024683E-3</v>
      </c>
      <c r="R25" s="82">
        <f t="shared" si="5"/>
        <v>3.0887797272356465E-3</v>
      </c>
      <c r="S25" s="82">
        <f t="shared" si="5"/>
        <v>3.0619939084104431E-3</v>
      </c>
      <c r="T25" s="82">
        <f t="shared" si="5"/>
        <v>3.012889026059673E-3</v>
      </c>
      <c r="U25" s="82">
        <f t="shared" si="5"/>
        <v>2.987446787401149E-3</v>
      </c>
      <c r="V25" s="82">
        <f t="shared" si="5"/>
        <v>2.9392670262697873E-3</v>
      </c>
      <c r="W25" s="82">
        <f t="shared" si="5"/>
        <v>2.9257858493652034E-3</v>
      </c>
      <c r="X25" s="186">
        <f t="shared" si="5"/>
        <v>2.9157331398252939E-3</v>
      </c>
      <c r="Y25" s="173">
        <f t="shared" si="5"/>
        <v>2.9096497130101096E-3</v>
      </c>
      <c r="Z25" s="173">
        <f t="shared" si="5"/>
        <v>2.9641525222587894E-3</v>
      </c>
      <c r="AA25" s="173">
        <f t="shared" si="5"/>
        <v>2.9593569156840527E-3</v>
      </c>
      <c r="AB25" s="173">
        <f t="shared" si="5"/>
        <v>2.9710355879366546E-3</v>
      </c>
      <c r="AC25" s="173">
        <f t="shared" si="5"/>
        <v>2.967766050749221E-3</v>
      </c>
      <c r="AD25" s="173">
        <f t="shared" si="5"/>
        <v>2.9702095214549917E-3</v>
      </c>
      <c r="AE25" s="173">
        <f t="shared" si="5"/>
        <v>2.9942366539010834E-3</v>
      </c>
      <c r="AF25" s="173">
        <f t="shared" si="5"/>
        <v>2.9666848079321628E-3</v>
      </c>
      <c r="AG25" s="173">
        <f t="shared" si="5"/>
        <v>2.9794289407700791E-3</v>
      </c>
      <c r="AH25" s="173">
        <f t="shared" si="5"/>
        <v>6.0738439126399868E-3</v>
      </c>
    </row>
    <row r="26" spans="1:34">
      <c r="A26" s="10"/>
      <c r="B26" s="37"/>
      <c r="C26" s="337"/>
      <c r="D26" s="337"/>
      <c r="E26" s="337"/>
      <c r="F26" s="337"/>
      <c r="G26" s="337"/>
      <c r="H26" s="82"/>
      <c r="I26" s="82"/>
      <c r="J26" s="82"/>
      <c r="K26" s="82"/>
      <c r="L26" s="82"/>
      <c r="M26" s="82"/>
      <c r="N26" s="184" t="s">
        <v>0</v>
      </c>
      <c r="O26" s="91" t="s">
        <v>0</v>
      </c>
      <c r="P26" s="82"/>
      <c r="Q26" s="82"/>
      <c r="R26" s="82"/>
      <c r="S26" s="82"/>
      <c r="T26" s="82"/>
      <c r="U26" s="82"/>
      <c r="V26" s="82"/>
      <c r="W26" s="82"/>
      <c r="X26" s="186" t="s">
        <v>0</v>
      </c>
    </row>
    <row r="27" spans="1:34">
      <c r="A27" s="10"/>
      <c r="B27" s="37"/>
      <c r="C27" s="337"/>
      <c r="D27" s="337"/>
      <c r="E27" s="337"/>
      <c r="F27" s="337"/>
      <c r="G27" s="337"/>
      <c r="H27" s="165"/>
      <c r="I27" s="165"/>
      <c r="J27" s="165"/>
      <c r="K27" s="165"/>
      <c r="L27" s="165"/>
      <c r="M27" s="165"/>
      <c r="N27" s="184"/>
      <c r="O27" s="165"/>
      <c r="P27" s="165"/>
      <c r="Q27" s="165"/>
      <c r="R27" s="165"/>
      <c r="S27" s="165"/>
      <c r="T27" s="165"/>
      <c r="U27" s="165"/>
      <c r="V27" s="165"/>
      <c r="W27" s="165"/>
      <c r="X27" s="186"/>
    </row>
    <row r="28" spans="1:34">
      <c r="A28" s="9" t="s">
        <v>124</v>
      </c>
      <c r="B28" s="37"/>
      <c r="C28" s="337">
        <f t="shared" ref="C28:K28" si="6">C10/C$18</f>
        <v>0.56873302896249078</v>
      </c>
      <c r="D28" s="337">
        <f t="shared" si="6"/>
        <v>0.59112949661500491</v>
      </c>
      <c r="E28" s="337">
        <f t="shared" si="6"/>
        <v>0.42078973835734396</v>
      </c>
      <c r="F28" s="337">
        <f t="shared" si="6"/>
        <v>0.27223977171996522</v>
      </c>
      <c r="G28" s="337">
        <f t="shared" si="6"/>
        <v>0.21931572506143815</v>
      </c>
      <c r="H28" s="165">
        <f t="shared" si="6"/>
        <v>0.20782898813930109</v>
      </c>
      <c r="I28" s="165">
        <f t="shared" si="6"/>
        <v>0.12396281146830687</v>
      </c>
      <c r="J28" s="165">
        <f t="shared" si="6"/>
        <v>9.7723970706377616E-2</v>
      </c>
      <c r="K28" s="165">
        <f t="shared" si="6"/>
        <v>9.9425333489529782E-2</v>
      </c>
      <c r="L28" s="165">
        <f t="shared" ref="L28:L34" si="7">L10/L$18</f>
        <v>9.7046717334238933E-2</v>
      </c>
      <c r="M28" s="165">
        <f t="shared" ref="M28:AH28" si="8">M10/M$18</f>
        <v>0.10873966136872991</v>
      </c>
      <c r="N28" s="186">
        <f t="shared" si="8"/>
        <v>0.10949644705290491</v>
      </c>
      <c r="O28" s="165">
        <f t="shared" si="8"/>
        <v>0.11667277156116235</v>
      </c>
      <c r="P28" s="165">
        <f t="shared" si="8"/>
        <v>0.11683768463111391</v>
      </c>
      <c r="Q28" s="165">
        <f t="shared" si="8"/>
        <v>0.11454759170884263</v>
      </c>
      <c r="R28" s="165">
        <f t="shared" si="8"/>
        <v>0.11871810577519894</v>
      </c>
      <c r="S28" s="165">
        <f t="shared" si="8"/>
        <v>0.11885544151626756</v>
      </c>
      <c r="T28" s="165">
        <f t="shared" si="8"/>
        <v>0.11738782331665659</v>
      </c>
      <c r="U28" s="165">
        <f t="shared" si="8"/>
        <v>0.11493119444608318</v>
      </c>
      <c r="V28" s="165">
        <f t="shared" si="8"/>
        <v>0.11597398307840602</v>
      </c>
      <c r="W28" s="165">
        <f t="shared" si="8"/>
        <v>0.1186893919228529</v>
      </c>
      <c r="X28" s="186">
        <f t="shared" si="8"/>
        <v>0.14572154673706489</v>
      </c>
      <c r="Y28" s="173">
        <f t="shared" si="8"/>
        <v>0.16174987455238127</v>
      </c>
      <c r="Z28" s="173">
        <f t="shared" si="8"/>
        <v>0.16725512643049839</v>
      </c>
      <c r="AA28" s="173">
        <f t="shared" si="8"/>
        <v>0.16680677776203121</v>
      </c>
      <c r="AB28" s="173">
        <f t="shared" si="8"/>
        <v>0.16650198151191017</v>
      </c>
      <c r="AC28" s="173">
        <f t="shared" si="8"/>
        <v>0.16644011786658633</v>
      </c>
      <c r="AD28" s="173">
        <f t="shared" si="8"/>
        <v>0.1664672444394075</v>
      </c>
      <c r="AE28" s="173">
        <f t="shared" si="8"/>
        <v>0.16604551723645267</v>
      </c>
      <c r="AF28" s="173">
        <f t="shared" si="8"/>
        <v>0.1658113150966129</v>
      </c>
      <c r="AG28" s="173">
        <f t="shared" si="8"/>
        <v>0.16557505095753283</v>
      </c>
      <c r="AH28" s="173">
        <f t="shared" si="8"/>
        <v>0.159622751936352</v>
      </c>
    </row>
    <row r="29" spans="1:34">
      <c r="A29" s="9" t="s">
        <v>50</v>
      </c>
      <c r="B29" s="37"/>
      <c r="C29" s="337">
        <f t="shared" ref="C29:K29" si="9">C11/C$18</f>
        <v>3.8195636599227051E-5</v>
      </c>
      <c r="D29" s="337">
        <f t="shared" si="9"/>
        <v>3.5396975845209873E-5</v>
      </c>
      <c r="E29" s="337">
        <f t="shared" si="9"/>
        <v>4.6517640582473434E-5</v>
      </c>
      <c r="F29" s="337">
        <f t="shared" si="9"/>
        <v>3.4131555507073584E-5</v>
      </c>
      <c r="G29" s="337">
        <f t="shared" si="9"/>
        <v>2.3650311601132953E-5</v>
      </c>
      <c r="H29" s="165">
        <f t="shared" si="9"/>
        <v>2.2355520240788629E-5</v>
      </c>
      <c r="I29" s="165">
        <f t="shared" si="9"/>
        <v>1.3554232810023834E-5</v>
      </c>
      <c r="J29" s="165">
        <f t="shared" si="9"/>
        <v>1.0727733963268732E-5</v>
      </c>
      <c r="K29" s="165">
        <f t="shared" si="9"/>
        <v>1.0707187116906883E-5</v>
      </c>
      <c r="L29" s="165">
        <f t="shared" si="7"/>
        <v>1.0736277713835491E-5</v>
      </c>
      <c r="M29" s="165">
        <f t="shared" ref="M29:AH29" si="10">M11/M$18</f>
        <v>1.0596021886761355E-5</v>
      </c>
      <c r="N29" s="186">
        <f t="shared" si="10"/>
        <v>1.0587181944247244E-5</v>
      </c>
      <c r="O29" s="165">
        <f t="shared" si="10"/>
        <v>1.0500635545716085E-5</v>
      </c>
      <c r="P29" s="165">
        <f t="shared" si="10"/>
        <v>1.0495301510648568E-5</v>
      </c>
      <c r="Q29" s="165">
        <f t="shared" si="10"/>
        <v>1.0522526461549726E-5</v>
      </c>
      <c r="R29" s="165">
        <f t="shared" si="10"/>
        <v>1.0472810640869927E-5</v>
      </c>
      <c r="S29" s="165">
        <f t="shared" si="10"/>
        <v>1.0470784151056728E-5</v>
      </c>
      <c r="T29" s="165">
        <f t="shared" si="10"/>
        <v>1.0492316156862687E-5</v>
      </c>
      <c r="U29" s="165">
        <f t="shared" si="10"/>
        <v>1.052158760950908E-5</v>
      </c>
      <c r="V29" s="165">
        <f t="shared" si="10"/>
        <v>1.050460432039039E-5</v>
      </c>
      <c r="W29" s="165">
        <f t="shared" si="10"/>
        <v>1.0476774870692764E-5</v>
      </c>
      <c r="X29" s="186">
        <f t="shared" si="10"/>
        <v>1.0148828407577477E-5</v>
      </c>
      <c r="Y29" s="173">
        <f t="shared" si="10"/>
        <v>9.958728935956321E-6</v>
      </c>
      <c r="Z29" s="173">
        <f t="shared" si="10"/>
        <v>9.8964836714798524E-6</v>
      </c>
      <c r="AA29" s="173">
        <f t="shared" si="10"/>
        <v>9.8752078867044273E-6</v>
      </c>
      <c r="AB29" s="173">
        <f t="shared" si="10"/>
        <v>9.8603040438556344E-6</v>
      </c>
      <c r="AC29" s="173">
        <f t="shared" si="10"/>
        <v>9.8620252372973405E-6</v>
      </c>
      <c r="AD29" s="173">
        <f t="shared" si="10"/>
        <v>9.8609156307848769E-6</v>
      </c>
      <c r="AE29" s="173">
        <f t="shared" si="10"/>
        <v>9.8397052000706767E-6</v>
      </c>
      <c r="AF29" s="173">
        <f t="shared" si="10"/>
        <v>9.8295370530837573E-6</v>
      </c>
      <c r="AG29" s="173">
        <f t="shared" si="10"/>
        <v>9.7991957623652319E-6</v>
      </c>
      <c r="AH29" s="173">
        <f t="shared" si="10"/>
        <v>9.4497798584009068E-6</v>
      </c>
    </row>
    <row r="30" spans="1:34">
      <c r="A30" s="9" t="s">
        <v>51</v>
      </c>
      <c r="B30" s="37"/>
      <c r="C30" s="337">
        <f t="shared" ref="C30:K30" si="11">C12/C$18</f>
        <v>0.31664182740759222</v>
      </c>
      <c r="D30" s="337">
        <f t="shared" si="11"/>
        <v>0.28140595796941847</v>
      </c>
      <c r="E30" s="337">
        <f t="shared" si="11"/>
        <v>0.36569564038067992</v>
      </c>
      <c r="F30" s="337">
        <f t="shared" si="11"/>
        <v>0.34989076707633299</v>
      </c>
      <c r="G30" s="337">
        <f t="shared" si="11"/>
        <v>0.23836344952187463</v>
      </c>
      <c r="H30" s="165">
        <f t="shared" si="11"/>
        <v>0.22554551437492371</v>
      </c>
      <c r="I30" s="165">
        <f t="shared" si="11"/>
        <v>0.13662002515096333</v>
      </c>
      <c r="J30" s="165">
        <f t="shared" si="11"/>
        <v>0.10816881432503495</v>
      </c>
      <c r="K30" s="165">
        <f t="shared" si="11"/>
        <v>0.10798680030820854</v>
      </c>
      <c r="L30" s="165">
        <f t="shared" si="7"/>
        <v>0.10829769220167569</v>
      </c>
      <c r="M30" s="165">
        <f t="shared" ref="M30:AH30" si="12">M12/M$18</f>
        <v>0.10689457607758816</v>
      </c>
      <c r="N30" s="186">
        <f t="shared" si="12"/>
        <v>0.10685494515781524</v>
      </c>
      <c r="O30" s="165">
        <f t="shared" si="12"/>
        <v>0.10600874612635491</v>
      </c>
      <c r="P30" s="165">
        <f t="shared" si="12"/>
        <v>0.10597326336633583</v>
      </c>
      <c r="Q30" s="165">
        <f t="shared" si="12"/>
        <v>0.1062597341919322</v>
      </c>
      <c r="R30" s="165">
        <f t="shared" si="12"/>
        <v>0.10576533357457102</v>
      </c>
      <c r="S30" s="165">
        <f t="shared" si="12"/>
        <v>0.10575429167862388</v>
      </c>
      <c r="T30" s="165">
        <f t="shared" si="12"/>
        <v>0.10597659011077588</v>
      </c>
      <c r="U30" s="165">
        <f t="shared" si="12"/>
        <v>0.10627350608159863</v>
      </c>
      <c r="V30" s="165">
        <f t="shared" si="12"/>
        <v>0.10610112566184392</v>
      </c>
      <c r="W30" s="165">
        <f t="shared" si="12"/>
        <v>0.1058106068775564</v>
      </c>
      <c r="X30" s="186">
        <f t="shared" si="12"/>
        <v>0.10249362701782938</v>
      </c>
      <c r="Y30" s="173">
        <f t="shared" si="12"/>
        <v>0.10056971796909529</v>
      </c>
      <c r="Z30" s="173">
        <f t="shared" si="12"/>
        <v>9.9935582798133971E-2</v>
      </c>
      <c r="AA30" s="173">
        <f t="shared" si="12"/>
        <v>9.9695358724382274E-2</v>
      </c>
      <c r="AB30" s="173">
        <f t="shared" si="12"/>
        <v>9.951699202038132E-2</v>
      </c>
      <c r="AC30" s="173">
        <f t="shared" si="12"/>
        <v>9.9505566378525576E-2</v>
      </c>
      <c r="AD30" s="173">
        <f t="shared" si="12"/>
        <v>9.9467253186039661E-2</v>
      </c>
      <c r="AE30" s="173">
        <f t="shared" si="12"/>
        <v>9.9213157150000619E-2</v>
      </c>
      <c r="AF30" s="173">
        <f t="shared" si="12"/>
        <v>9.9071314185808015E-2</v>
      </c>
      <c r="AG30" s="173">
        <f t="shared" si="12"/>
        <v>9.8729641080643166E-2</v>
      </c>
      <c r="AH30" s="173">
        <f t="shared" si="12"/>
        <v>9.5175820288849328E-2</v>
      </c>
    </row>
    <row r="31" spans="1:34">
      <c r="A31" s="9" t="s">
        <v>343</v>
      </c>
      <c r="B31" s="37"/>
      <c r="C31" s="337">
        <f t="shared" ref="C31:K31" si="13">C13/C$18</f>
        <v>0</v>
      </c>
      <c r="D31" s="337">
        <f t="shared" si="13"/>
        <v>0</v>
      </c>
      <c r="E31" s="337">
        <f t="shared" si="13"/>
        <v>7.3963048526132748E-5</v>
      </c>
      <c r="F31" s="337">
        <f t="shared" si="13"/>
        <v>8.8400728763320585E-5</v>
      </c>
      <c r="G31" s="337">
        <f t="shared" si="13"/>
        <v>1.0382486792897366E-4</v>
      </c>
      <c r="H31" s="165">
        <f t="shared" si="13"/>
        <v>1.5201753763736267E-4</v>
      </c>
      <c r="I31" s="165">
        <f t="shared" si="13"/>
        <v>1.4299715614575143E-4</v>
      </c>
      <c r="J31" s="165">
        <f t="shared" si="13"/>
        <v>1.5995051339233679E-4</v>
      </c>
      <c r="K31" s="165">
        <f t="shared" si="13"/>
        <v>1.5996537552658883E-4</v>
      </c>
      <c r="L31" s="165">
        <f t="shared" si="7"/>
        <v>1.6072207737611731E-4</v>
      </c>
      <c r="M31" s="165">
        <f t="shared" ref="M31:AH31" si="14">M13/M$18</f>
        <v>1.5936416917689079E-4</v>
      </c>
      <c r="N31" s="186">
        <f t="shared" si="14"/>
        <v>1.6124278101088555E-4</v>
      </c>
      <c r="O31" s="165">
        <f t="shared" si="14"/>
        <v>1.6317987638042798E-4</v>
      </c>
      <c r="P31" s="165">
        <f t="shared" si="14"/>
        <v>1.6698024703441872E-4</v>
      </c>
      <c r="Q31" s="165">
        <f t="shared" si="14"/>
        <v>1.7204330764633802E-4</v>
      </c>
      <c r="R31" s="165">
        <f t="shared" si="14"/>
        <v>1.7657158740506696E-4</v>
      </c>
      <c r="S31" s="165">
        <f t="shared" si="14"/>
        <v>1.8386696969255613E-4</v>
      </c>
      <c r="T31" s="165">
        <f t="shared" si="14"/>
        <v>1.9200938567058717E-4</v>
      </c>
      <c r="U31" s="165">
        <f t="shared" si="14"/>
        <v>2.0075189158943321E-4</v>
      </c>
      <c r="V31" s="165">
        <f t="shared" si="14"/>
        <v>2.0883153388936092E-4</v>
      </c>
      <c r="W31" s="165">
        <f t="shared" si="14"/>
        <v>2.1686923982334018E-4</v>
      </c>
      <c r="X31" s="186">
        <f t="shared" si="14"/>
        <v>2.187072521832946E-4</v>
      </c>
      <c r="Y31" s="173">
        <f t="shared" si="14"/>
        <v>2.2337429003350026E-4</v>
      </c>
      <c r="Z31" s="173">
        <f t="shared" si="14"/>
        <v>2.3118185856576932E-4</v>
      </c>
      <c r="AA31" s="173">
        <f t="shared" si="14"/>
        <v>2.4036255996238575E-4</v>
      </c>
      <c r="AB31" s="173">
        <f t="shared" si="14"/>
        <v>2.5055032575437166E-4</v>
      </c>
      <c r="AC31" s="173">
        <f t="shared" si="14"/>
        <v>2.6223125105973624E-4</v>
      </c>
      <c r="AD31" s="173">
        <f t="shared" si="14"/>
        <v>2.7482371862997448E-4</v>
      </c>
      <c r="AE31" s="173">
        <f t="shared" si="14"/>
        <v>2.8741778889406443E-4</v>
      </c>
      <c r="AF31" s="173">
        <f t="shared" si="14"/>
        <v>3.0078383382436291E-4</v>
      </c>
      <c r="AG31" s="173">
        <f t="shared" si="14"/>
        <v>3.1406422418380565E-4</v>
      </c>
      <c r="AH31" s="173">
        <f t="shared" si="14"/>
        <v>3.1792177871013926E-2</v>
      </c>
    </row>
    <row r="32" spans="1:34">
      <c r="A32" s="9" t="s">
        <v>344</v>
      </c>
      <c r="B32" s="37"/>
      <c r="C32" s="337">
        <f t="shared" ref="C32:K32" si="15">C14/C$18</f>
        <v>0</v>
      </c>
      <c r="D32" s="337">
        <f t="shared" si="15"/>
        <v>0</v>
      </c>
      <c r="E32" s="337">
        <f t="shared" si="15"/>
        <v>4.6517640582473434E-5</v>
      </c>
      <c r="F32" s="337">
        <f t="shared" si="15"/>
        <v>3.4131555507073584E-5</v>
      </c>
      <c r="G32" s="337">
        <f t="shared" si="15"/>
        <v>2.3650311601132953E-5</v>
      </c>
      <c r="H32" s="165">
        <f t="shared" si="15"/>
        <v>2.2355520240788629E-5</v>
      </c>
      <c r="I32" s="165">
        <f t="shared" si="15"/>
        <v>1.3554232810023834E-5</v>
      </c>
      <c r="J32" s="165">
        <f t="shared" si="15"/>
        <v>1.0727733963268732E-5</v>
      </c>
      <c r="K32" s="165">
        <f t="shared" si="15"/>
        <v>1.0707187116906883E-5</v>
      </c>
      <c r="L32" s="165">
        <f t="shared" si="7"/>
        <v>1.0736277713835491E-5</v>
      </c>
      <c r="M32" s="165">
        <f t="shared" ref="M32:AH32" si="16">M14/M$18</f>
        <v>1.0596021886761355E-5</v>
      </c>
      <c r="N32" s="186">
        <f t="shared" si="16"/>
        <v>1.0587181944247244E-5</v>
      </c>
      <c r="O32" s="165">
        <f t="shared" si="16"/>
        <v>1.0500635545716085E-5</v>
      </c>
      <c r="P32" s="165">
        <f t="shared" si="16"/>
        <v>1.0495301510648568E-5</v>
      </c>
      <c r="Q32" s="165">
        <f t="shared" si="16"/>
        <v>1.0522526461549726E-5</v>
      </c>
      <c r="R32" s="165">
        <f t="shared" si="16"/>
        <v>1.0472810640869927E-5</v>
      </c>
      <c r="S32" s="165">
        <f t="shared" si="16"/>
        <v>1.0470784151056728E-5</v>
      </c>
      <c r="T32" s="165">
        <f t="shared" si="16"/>
        <v>1.0492316156862687E-5</v>
      </c>
      <c r="U32" s="165">
        <f t="shared" si="16"/>
        <v>1.052158760950908E-5</v>
      </c>
      <c r="V32" s="165">
        <f t="shared" si="16"/>
        <v>1.050460432039039E-5</v>
      </c>
      <c r="W32" s="165">
        <f t="shared" si="16"/>
        <v>1.0476774870692764E-5</v>
      </c>
      <c r="X32" s="186">
        <f t="shared" si="16"/>
        <v>1.0148828407577477E-5</v>
      </c>
      <c r="Y32" s="173">
        <f t="shared" si="16"/>
        <v>9.958728935956321E-6</v>
      </c>
      <c r="Z32" s="173">
        <f t="shared" si="16"/>
        <v>9.8964836714798524E-6</v>
      </c>
      <c r="AA32" s="173">
        <f t="shared" si="16"/>
        <v>9.8752078867044273E-6</v>
      </c>
      <c r="AB32" s="173">
        <f t="shared" si="16"/>
        <v>9.8603040438556344E-6</v>
      </c>
      <c r="AC32" s="173">
        <f t="shared" si="16"/>
        <v>9.8620252372973405E-6</v>
      </c>
      <c r="AD32" s="173">
        <f t="shared" si="16"/>
        <v>9.8609156307848769E-6</v>
      </c>
      <c r="AE32" s="173">
        <f t="shared" si="16"/>
        <v>9.8397052000706767E-6</v>
      </c>
      <c r="AF32" s="173">
        <f t="shared" si="16"/>
        <v>9.8295370530837573E-6</v>
      </c>
      <c r="AG32" s="173">
        <f t="shared" si="16"/>
        <v>9.7991957623652319E-6</v>
      </c>
      <c r="AH32" s="173">
        <f t="shared" si="16"/>
        <v>9.4497798584009068E-6</v>
      </c>
    </row>
    <row r="33" spans="1:36">
      <c r="A33" s="9" t="s">
        <v>340</v>
      </c>
      <c r="B33" s="37"/>
      <c r="C33" s="337">
        <f t="shared" ref="C33:K33" si="17">C15/C$18</f>
        <v>3.8195636599227049E-8</v>
      </c>
      <c r="D33" s="337">
        <f t="shared" si="17"/>
        <v>3.5396975845209872E-8</v>
      </c>
      <c r="E33" s="337">
        <f t="shared" si="17"/>
        <v>4.6517640582473434E-8</v>
      </c>
      <c r="F33" s="337">
        <f t="shared" si="17"/>
        <v>3.4131555507073585E-8</v>
      </c>
      <c r="G33" s="337">
        <f t="shared" si="17"/>
        <v>2.3650311601132953E-8</v>
      </c>
      <c r="H33" s="165">
        <f t="shared" si="17"/>
        <v>2.2355520240788628E-8</v>
      </c>
      <c r="I33" s="165">
        <f t="shared" si="17"/>
        <v>1.3554232810023834E-8</v>
      </c>
      <c r="J33" s="165">
        <f t="shared" si="17"/>
        <v>1.0727733963268732E-8</v>
      </c>
      <c r="K33" s="165">
        <f t="shared" si="17"/>
        <v>1.0707187116906883E-8</v>
      </c>
      <c r="L33" s="165">
        <f t="shared" si="7"/>
        <v>1.0736277713835491E-8</v>
      </c>
      <c r="M33" s="165">
        <f t="shared" ref="M33:AH33" si="18">M15/M$18</f>
        <v>1.0596021886761355E-8</v>
      </c>
      <c r="N33" s="186">
        <f t="shared" si="18"/>
        <v>1.0587181944247245E-8</v>
      </c>
      <c r="O33" s="165">
        <f t="shared" si="18"/>
        <v>1.0500635545716086E-8</v>
      </c>
      <c r="P33" s="165">
        <f t="shared" si="18"/>
        <v>1.0495301510648568E-8</v>
      </c>
      <c r="Q33" s="165">
        <f t="shared" si="18"/>
        <v>1.0522526461549726E-8</v>
      </c>
      <c r="R33" s="165">
        <f t="shared" si="18"/>
        <v>1.0472810640869927E-8</v>
      </c>
      <c r="S33" s="165">
        <f t="shared" si="18"/>
        <v>1.0470784151056728E-8</v>
      </c>
      <c r="T33" s="165">
        <f t="shared" si="18"/>
        <v>1.0492316156862687E-8</v>
      </c>
      <c r="U33" s="165">
        <f t="shared" si="18"/>
        <v>1.0521587609509079E-8</v>
      </c>
      <c r="V33" s="165">
        <f t="shared" si="18"/>
        <v>1.0504604320390391E-8</v>
      </c>
      <c r="W33" s="165">
        <f t="shared" si="18"/>
        <v>1.0476774870692764E-8</v>
      </c>
      <c r="X33" s="186">
        <f t="shared" si="18"/>
        <v>1.0148828407577476E-8</v>
      </c>
      <c r="Y33" s="173">
        <f t="shared" si="18"/>
        <v>9.95872893595632E-9</v>
      </c>
      <c r="Z33" s="173">
        <f t="shared" si="18"/>
        <v>9.8964836714798515E-9</v>
      </c>
      <c r="AA33" s="173">
        <f t="shared" si="18"/>
        <v>9.8752078867044258E-9</v>
      </c>
      <c r="AB33" s="173">
        <f t="shared" si="18"/>
        <v>9.860304043855635E-9</v>
      </c>
      <c r="AC33" s="173">
        <f t="shared" si="18"/>
        <v>9.8620252372973396E-9</v>
      </c>
      <c r="AD33" s="173">
        <f t="shared" si="18"/>
        <v>9.8609156307848758E-9</v>
      </c>
      <c r="AE33" s="173">
        <f t="shared" si="18"/>
        <v>9.8397052000706771E-9</v>
      </c>
      <c r="AF33" s="173">
        <f t="shared" si="18"/>
        <v>9.8295370530837573E-9</v>
      </c>
      <c r="AG33" s="173">
        <f t="shared" si="18"/>
        <v>9.7991957623652311E-9</v>
      </c>
      <c r="AH33" s="173">
        <f t="shared" si="18"/>
        <v>9.4497798584009079E-9</v>
      </c>
    </row>
    <row r="34" spans="1:36">
      <c r="A34" s="9" t="s">
        <v>53</v>
      </c>
      <c r="B34" s="37"/>
      <c r="C34" s="337">
        <f t="shared" ref="C34:K34" si="19">C16/C$18</f>
        <v>0.11458690979768114</v>
      </c>
      <c r="D34" s="337">
        <f t="shared" si="19"/>
        <v>0.12742911304275553</v>
      </c>
      <c r="E34" s="337">
        <f t="shared" si="19"/>
        <v>0.21334757641464447</v>
      </c>
      <c r="F34" s="337">
        <f t="shared" si="19"/>
        <v>0.37771276323236896</v>
      </c>
      <c r="G34" s="337">
        <f t="shared" si="19"/>
        <v>0.54216967627524426</v>
      </c>
      <c r="H34" s="165">
        <f t="shared" si="19"/>
        <v>0.56642874655213604</v>
      </c>
      <c r="I34" s="165">
        <f t="shared" si="19"/>
        <v>0.7392470442047312</v>
      </c>
      <c r="J34" s="165">
        <f t="shared" si="19"/>
        <v>0.79392579825953458</v>
      </c>
      <c r="K34" s="165">
        <f t="shared" si="19"/>
        <v>0.7924064757453142</v>
      </c>
      <c r="L34" s="165">
        <f t="shared" si="7"/>
        <v>0.79447338509500387</v>
      </c>
      <c r="M34" s="165">
        <f t="shared" ref="M34:AH34" si="20">M16/M$18</f>
        <v>0.78418519574470968</v>
      </c>
      <c r="N34" s="186">
        <f t="shared" si="20"/>
        <v>0.78346618005719859</v>
      </c>
      <c r="O34" s="165">
        <f t="shared" si="20"/>
        <v>0.77713429066437523</v>
      </c>
      <c r="P34" s="165">
        <f t="shared" si="20"/>
        <v>0.77700107065719293</v>
      </c>
      <c r="Q34" s="165">
        <f t="shared" si="20"/>
        <v>0.77899957521612928</v>
      </c>
      <c r="R34" s="165">
        <f t="shared" si="20"/>
        <v>0.7753190329687325</v>
      </c>
      <c r="S34" s="165">
        <f t="shared" si="20"/>
        <v>0.77518544779632981</v>
      </c>
      <c r="T34" s="165">
        <f t="shared" si="20"/>
        <v>0.776422582062267</v>
      </c>
      <c r="U34" s="165">
        <f t="shared" si="20"/>
        <v>0.77857349388392216</v>
      </c>
      <c r="V34" s="165">
        <f t="shared" si="20"/>
        <v>0.77769504001261569</v>
      </c>
      <c r="W34" s="165">
        <f t="shared" si="20"/>
        <v>0.7752621679332512</v>
      </c>
      <c r="X34" s="186">
        <f t="shared" si="20"/>
        <v>0.75154581118727881</v>
      </c>
      <c r="Y34" s="173">
        <f t="shared" si="20"/>
        <v>0.73743710577188903</v>
      </c>
      <c r="Z34" s="173">
        <f t="shared" si="20"/>
        <v>0.73255830604897532</v>
      </c>
      <c r="AA34" s="173">
        <f t="shared" si="20"/>
        <v>0.7332377406626428</v>
      </c>
      <c r="AB34" s="173">
        <f t="shared" si="20"/>
        <v>0.73371074567356231</v>
      </c>
      <c r="AC34" s="173">
        <f t="shared" si="20"/>
        <v>0.7337723505913285</v>
      </c>
      <c r="AD34" s="173">
        <f t="shared" si="20"/>
        <v>0.73377094696374567</v>
      </c>
      <c r="AE34" s="173">
        <f t="shared" si="20"/>
        <v>0.73443421857454727</v>
      </c>
      <c r="AF34" s="173">
        <f t="shared" si="20"/>
        <v>0.7347969179801116</v>
      </c>
      <c r="AG34" s="173">
        <f t="shared" si="20"/>
        <v>0.73536163554691969</v>
      </c>
      <c r="AH34" s="173">
        <f t="shared" si="20"/>
        <v>0.7133903408942881</v>
      </c>
    </row>
    <row r="35" spans="1:36">
      <c r="A35" s="10"/>
      <c r="B35" s="37"/>
      <c r="C35" s="337"/>
      <c r="D35" s="337"/>
      <c r="E35" s="337"/>
      <c r="F35" s="337"/>
      <c r="G35" s="337"/>
      <c r="H35" s="165"/>
      <c r="I35" s="165"/>
      <c r="J35" s="165"/>
      <c r="K35" s="165"/>
      <c r="L35" s="165"/>
      <c r="M35" s="165"/>
      <c r="N35" s="184"/>
      <c r="O35" s="165"/>
      <c r="P35" s="165"/>
      <c r="Q35" s="165"/>
      <c r="R35" s="165"/>
      <c r="S35" s="165"/>
      <c r="T35" s="165"/>
      <c r="U35" s="165"/>
      <c r="V35" s="165"/>
      <c r="W35" s="165"/>
      <c r="X35" s="186"/>
    </row>
    <row r="36" spans="1:36">
      <c r="A36" s="10"/>
      <c r="B36" s="37"/>
      <c r="C36" s="337"/>
      <c r="D36" s="337"/>
      <c r="E36" s="337"/>
      <c r="F36" s="337"/>
      <c r="G36" s="337"/>
      <c r="H36" s="165"/>
      <c r="I36" s="165"/>
      <c r="J36" s="165"/>
      <c r="K36" s="165"/>
      <c r="L36" s="165"/>
      <c r="M36" s="165"/>
      <c r="N36" s="184"/>
      <c r="O36" s="165"/>
      <c r="P36" s="165"/>
      <c r="Q36" s="165"/>
      <c r="R36" s="165"/>
      <c r="S36" s="165"/>
      <c r="T36" s="165"/>
      <c r="U36" s="165"/>
      <c r="V36" s="165"/>
      <c r="W36" s="165"/>
      <c r="X36" s="186"/>
    </row>
    <row r="37" spans="1:36">
      <c r="A37" s="10"/>
      <c r="B37" s="37"/>
      <c r="C37" s="337"/>
      <c r="D37" s="337"/>
      <c r="E37" s="337"/>
      <c r="F37" s="337"/>
      <c r="G37" s="337"/>
      <c r="H37" s="165"/>
      <c r="I37" s="165"/>
      <c r="J37" s="165"/>
      <c r="K37" s="165"/>
      <c r="L37" s="165"/>
      <c r="M37" s="165"/>
      <c r="N37" s="184"/>
      <c r="O37" s="165"/>
      <c r="P37" s="165"/>
      <c r="Q37" s="165"/>
      <c r="R37" s="165"/>
      <c r="S37" s="165"/>
      <c r="T37" s="165"/>
      <c r="U37" s="165"/>
      <c r="V37" s="165"/>
      <c r="W37" s="165"/>
      <c r="X37" s="186"/>
    </row>
    <row r="38" spans="1:36">
      <c r="A38" s="10"/>
      <c r="B38" s="37"/>
      <c r="C38" s="337"/>
      <c r="D38" s="337"/>
      <c r="E38" s="337"/>
      <c r="F38" s="337"/>
      <c r="G38" s="337"/>
      <c r="H38" s="165"/>
      <c r="I38" s="165"/>
      <c r="J38" s="165"/>
      <c r="K38" s="165"/>
      <c r="L38" s="165"/>
      <c r="M38" s="165"/>
      <c r="N38" s="184"/>
      <c r="O38" s="165"/>
      <c r="P38" s="165"/>
      <c r="Q38" s="165"/>
      <c r="R38" s="165"/>
      <c r="S38" s="165"/>
      <c r="T38" s="165"/>
      <c r="U38" s="165"/>
      <c r="V38" s="165"/>
      <c r="W38" s="165"/>
      <c r="X38" s="186"/>
    </row>
    <row r="39" spans="1:36">
      <c r="A39" s="1" t="s">
        <v>138</v>
      </c>
      <c r="B39" s="13"/>
      <c r="D39" s="338"/>
      <c r="E39" s="338"/>
      <c r="F39" s="338"/>
      <c r="G39" s="338"/>
      <c r="H39" s="16"/>
      <c r="I39" s="16"/>
      <c r="J39" s="16"/>
      <c r="K39" s="16"/>
      <c r="L39" s="16"/>
      <c r="M39" s="16"/>
      <c r="N39" s="395" t="s">
        <v>0</v>
      </c>
    </row>
    <row r="40" spans="1:36" ht="15">
      <c r="A40" s="8" t="s">
        <v>61</v>
      </c>
      <c r="B40" s="34">
        <v>0</v>
      </c>
      <c r="C40" s="336">
        <f>C5*Inputs!$C$44</f>
        <v>0</v>
      </c>
      <c r="D40" s="336">
        <f>D5*Inputs!$C$44</f>
        <v>0</v>
      </c>
      <c r="E40" s="336">
        <f>E5*Inputs!$C$44</f>
        <v>0</v>
      </c>
      <c r="F40" s="336">
        <f>F5*Inputs!$C$44</f>
        <v>0</v>
      </c>
      <c r="G40" s="336">
        <f>G5*Inputs!$C$44</f>
        <v>0</v>
      </c>
      <c r="H40" s="14">
        <f>H5*Inputs!$C$44</f>
        <v>0</v>
      </c>
      <c r="I40" s="14">
        <f>I5*Inputs!$C$44</f>
        <v>0</v>
      </c>
      <c r="J40" s="14">
        <f>J5*Inputs!$C$44</f>
        <v>0</v>
      </c>
      <c r="K40" s="14">
        <f>K5*Inputs!$C$44</f>
        <v>0</v>
      </c>
      <c r="L40" s="14">
        <f>L5*Inputs!$C$44</f>
        <v>0</v>
      </c>
      <c r="M40" s="14">
        <f>M5*Inputs!$C$44</f>
        <v>0</v>
      </c>
      <c r="N40" s="191">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8">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6">
        <f>C6*Inputs!$C$47</f>
        <v>0</v>
      </c>
      <c r="D41" s="336">
        <f>D6*Inputs!$C$47</f>
        <v>0</v>
      </c>
      <c r="E41" s="336" t="s">
        <v>373</v>
      </c>
      <c r="F41" s="336">
        <f>F6*Inputs!$C$47</f>
        <v>0</v>
      </c>
      <c r="G41" s="336">
        <f>G6*Inputs!$C$47</f>
        <v>0</v>
      </c>
      <c r="H41" s="14">
        <f>H6*Inputs!$C$47</f>
        <v>0</v>
      </c>
      <c r="I41" s="14">
        <f>I6*Inputs!$C$47</f>
        <v>0</v>
      </c>
      <c r="J41" s="14">
        <f>J6*Inputs!$C$47</f>
        <v>0</v>
      </c>
      <c r="K41" s="14">
        <f>K6*Inputs!$C$47</f>
        <v>0</v>
      </c>
      <c r="L41" s="14">
        <f>L6*Inputs!$C$47</f>
        <v>0</v>
      </c>
      <c r="M41" s="14">
        <f>M6*Inputs!$C$47</f>
        <v>0</v>
      </c>
      <c r="N41" s="191">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8">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6">
        <f>C7*Inputs!$C$48</f>
        <v>205.79998499999999</v>
      </c>
      <c r="D42" s="336">
        <f>D7*Inputs!$C$48</f>
        <v>187.64998499999999</v>
      </c>
      <c r="E42" s="336">
        <f>E7*Inputs!$C$48</f>
        <v>79.498485000000002</v>
      </c>
      <c r="F42" s="336">
        <f>F7*Inputs!$C$48</f>
        <v>72.564135000000007</v>
      </c>
      <c r="G42" s="336">
        <f>G7*Inputs!$C$48</f>
        <v>73.358684999999994</v>
      </c>
      <c r="H42" s="14">
        <f>H7*Inputs!$C$48</f>
        <v>74.909835000000001</v>
      </c>
      <c r="I42" s="14">
        <f>I7*Inputs!$C$48</f>
        <v>76.465484999999987</v>
      </c>
      <c r="J42" s="14">
        <f>J7*Inputs!$C$48</f>
        <v>78.020685</v>
      </c>
      <c r="K42" s="14">
        <f>K7*Inputs!$C$48</f>
        <v>78.910334999999989</v>
      </c>
      <c r="L42" s="14">
        <f>L7*Inputs!$C$48</f>
        <v>78.910334999999989</v>
      </c>
      <c r="M42" s="14">
        <f>M7*Inputs!$C$48</f>
        <v>78.910634999999985</v>
      </c>
      <c r="N42" s="191">
        <f>N7*Inputs!$C$48</f>
        <v>78.910334999999989</v>
      </c>
      <c r="O42" s="14">
        <f>O7*Inputs!$C$48</f>
        <v>78.910334999999989</v>
      </c>
      <c r="P42" s="14">
        <f>P7*Inputs!$C$48</f>
        <v>78.910334999999989</v>
      </c>
      <c r="Q42" s="14">
        <f>Q7*Inputs!$C$48</f>
        <v>78.910334999999989</v>
      </c>
      <c r="R42" s="14">
        <f>R7*Inputs!$C$48</f>
        <v>78.910334999999989</v>
      </c>
      <c r="S42" s="14">
        <f>S7*Inputs!$C$48</f>
        <v>78.910334999999989</v>
      </c>
      <c r="T42" s="14">
        <f>T7*Inputs!$C$48</f>
        <v>78.910334999999989</v>
      </c>
      <c r="U42" s="14">
        <f>U7*Inputs!$C$48</f>
        <v>78.910334999999989</v>
      </c>
      <c r="V42" s="14">
        <f>V7*Inputs!$C$48</f>
        <v>78.910334999999989</v>
      </c>
      <c r="W42" s="14">
        <f>W7*Inputs!$C$48</f>
        <v>78.910334999999989</v>
      </c>
      <c r="X42" s="188">
        <f>X7*Inputs!$C$48</f>
        <v>78.910334999999989</v>
      </c>
      <c r="Y42" s="14">
        <f>Y7*Inputs!$C$48</f>
        <v>78.910334999999989</v>
      </c>
      <c r="Z42" s="14">
        <f>Z7*Inputs!$C$48</f>
        <v>78.910334999999989</v>
      </c>
      <c r="AA42" s="14">
        <f>AA7*Inputs!$C$48</f>
        <v>78.910334999999989</v>
      </c>
      <c r="AB42" s="14">
        <f>AB7*Inputs!$C$48</f>
        <v>78.910334999999989</v>
      </c>
      <c r="AC42" s="14">
        <f>AC7*Inputs!$C$48</f>
        <v>78.910334999999989</v>
      </c>
      <c r="AD42" s="14">
        <f>AD7*Inputs!$C$48</f>
        <v>78.910334999999989</v>
      </c>
      <c r="AE42" s="14">
        <f>AE7*Inputs!$C$48</f>
        <v>78.910334999999989</v>
      </c>
      <c r="AF42" s="14">
        <f>AF7*Inputs!$C$48</f>
        <v>78.910334999999989</v>
      </c>
      <c r="AG42" s="14">
        <f>AG7*Inputs!$C$48</f>
        <v>78.910334999999989</v>
      </c>
      <c r="AH42" s="14">
        <f>AH7*Inputs!$C$48</f>
        <v>78.910334999999989</v>
      </c>
    </row>
    <row r="43" spans="1:36" ht="15">
      <c r="A43" s="8" t="s">
        <v>59</v>
      </c>
      <c r="B43" s="34">
        <v>0</v>
      </c>
      <c r="C43" s="336">
        <f>C8*Inputs!$C$53</f>
        <v>3059.1400000000003</v>
      </c>
      <c r="D43" s="336">
        <f>D8*Inputs!$C$53</f>
        <v>4147.5</v>
      </c>
      <c r="E43" s="336">
        <f>E8*Inputs!$C$53</f>
        <v>2174.34</v>
      </c>
      <c r="F43" s="336">
        <f>F8*Inputs!$C$53</f>
        <v>1442.0000000000002</v>
      </c>
      <c r="G43" s="336">
        <f>G8*Inputs!$C$53</f>
        <v>1891.9770800000003</v>
      </c>
      <c r="H43" s="14">
        <f>H8*Inputs!$C$53</f>
        <v>1901.4445800000001</v>
      </c>
      <c r="I43" s="14">
        <f>I8*Inputs!$C$53</f>
        <v>1969.7567400000003</v>
      </c>
      <c r="J43" s="14">
        <f>J8*Inputs!$C$53</f>
        <v>1996.5170400000002</v>
      </c>
      <c r="K43" s="14">
        <f>K8*Inputs!$C$53</f>
        <v>2005.98342</v>
      </c>
      <c r="L43" s="14">
        <f>L8*Inputs!$C$53</f>
        <v>2015.44686</v>
      </c>
      <c r="M43" s="14">
        <f>M8*Inputs!$C$53</f>
        <v>2015.44686</v>
      </c>
      <c r="N43" s="191">
        <f>N8*Inputs!$C$53</f>
        <v>2015.44686</v>
      </c>
      <c r="O43" s="14">
        <f>O8*Inputs!$C$53</f>
        <v>2015.44686</v>
      </c>
      <c r="P43" s="14">
        <f>P8*Inputs!$C$53</f>
        <v>2015.44686</v>
      </c>
      <c r="Q43" s="14">
        <f>Q8*Inputs!$C$53</f>
        <v>2015.4467200000004</v>
      </c>
      <c r="R43" s="14">
        <f>R8*Inputs!$C$53</f>
        <v>2015.44686</v>
      </c>
      <c r="S43" s="14">
        <f>S8*Inputs!$C$53</f>
        <v>2015.44686</v>
      </c>
      <c r="T43" s="14">
        <f>T8*Inputs!$C$53</f>
        <v>2015.44686</v>
      </c>
      <c r="U43" s="14">
        <f>U8*Inputs!$C$53</f>
        <v>2015.44686</v>
      </c>
      <c r="V43" s="14">
        <f>V8*Inputs!$C$53</f>
        <v>2015.4467200000004</v>
      </c>
      <c r="W43" s="14">
        <f>W8*Inputs!$C$53</f>
        <v>2015.4467200000004</v>
      </c>
      <c r="X43" s="188">
        <f>X8*Inputs!$C$53</f>
        <v>2015.44686</v>
      </c>
      <c r="Y43" s="14">
        <f>Y8*Inputs!$C$53</f>
        <v>2015.4467200000004</v>
      </c>
      <c r="Z43" s="14">
        <f>Z8*Inputs!$C$53</f>
        <v>2015.44686</v>
      </c>
      <c r="AA43" s="14">
        <f>AA8*Inputs!$C$53</f>
        <v>2015.44686</v>
      </c>
      <c r="AB43" s="14">
        <f>AB8*Inputs!$C$53</f>
        <v>2015.44686</v>
      </c>
      <c r="AC43" s="14">
        <f>AC8*Inputs!$C$53</f>
        <v>2015.44686</v>
      </c>
      <c r="AD43" s="14">
        <f>AD8*Inputs!$C$53</f>
        <v>2015.44686</v>
      </c>
      <c r="AE43" s="14">
        <f>AE8*Inputs!$C$53</f>
        <v>2015.44686</v>
      </c>
      <c r="AF43" s="14">
        <f>AF8*Inputs!$C$53</f>
        <v>2015.44686</v>
      </c>
      <c r="AG43" s="14">
        <f>AG8*Inputs!$C$53</f>
        <v>2015.44686</v>
      </c>
      <c r="AH43" s="14">
        <f>AH8*Inputs!$C$53</f>
        <v>2015.44686</v>
      </c>
    </row>
    <row r="44" spans="1:36" ht="15">
      <c r="A44" s="8" t="s">
        <v>120</v>
      </c>
      <c r="B44" s="34">
        <v>1</v>
      </c>
      <c r="C44" s="336">
        <f>C10*Inputs!$C$46</f>
        <v>312.69</v>
      </c>
      <c r="D44" s="336">
        <f>D10*Inputs!$C$46</f>
        <v>350.7</v>
      </c>
      <c r="E44" s="336">
        <f>E10*Inputs!$C$46</f>
        <v>189.96200999999999</v>
      </c>
      <c r="F44" s="336">
        <f>F10*Inputs!$C$46</f>
        <v>167.49998999999997</v>
      </c>
      <c r="G44" s="336">
        <f>G10*Inputs!$C$46</f>
        <v>194.73866999999998</v>
      </c>
      <c r="H44" s="14">
        <f>H10*Inputs!$C$46</f>
        <v>195.22734</v>
      </c>
      <c r="I44" s="14">
        <f>I10*Inputs!$C$46</f>
        <v>192.05948999999998</v>
      </c>
      <c r="J44" s="14">
        <f>J10*Inputs!$C$46</f>
        <v>191.29886999999999</v>
      </c>
      <c r="K44" s="14">
        <f>K10*Inputs!$C$46</f>
        <v>195.00285</v>
      </c>
      <c r="L44" s="14">
        <f>L10*Inputs!$C$46</f>
        <v>189.82193999999998</v>
      </c>
      <c r="M44" s="14">
        <f>M10*Inputs!$C$46</f>
        <v>215.50851</v>
      </c>
      <c r="N44" s="191">
        <f>N10*Inputs!$C$46</f>
        <v>217.18955999999997</v>
      </c>
      <c r="O44" s="14">
        <f>O10*Inputs!$C$46</f>
        <v>233.33142000000001</v>
      </c>
      <c r="P44" s="14">
        <f>P10*Inputs!$C$46</f>
        <v>233.77997999999999</v>
      </c>
      <c r="Q44" s="14">
        <f>Q10*Inputs!$C$46</f>
        <v>228.60473999999999</v>
      </c>
      <c r="R44" s="14">
        <f>R10*Inputs!$C$46</f>
        <v>238.05263999999997</v>
      </c>
      <c r="S44" s="14">
        <f>S10*Inputs!$C$46</f>
        <v>238.37414999999999</v>
      </c>
      <c r="T44" s="14">
        <f>T10*Inputs!$C$46</f>
        <v>234.94757999999999</v>
      </c>
      <c r="U44" s="14">
        <f>U10*Inputs!$C$46</f>
        <v>229.39077</v>
      </c>
      <c r="V44" s="14">
        <f>V10*Inputs!$C$46</f>
        <v>231.84629999999999</v>
      </c>
      <c r="W44" s="14">
        <f>W10*Inputs!$C$46</f>
        <v>237.90501</v>
      </c>
      <c r="X44" s="188">
        <f>X10*Inputs!$C$46</f>
        <v>301.52765999999997</v>
      </c>
      <c r="Y44" s="14">
        <f>Y10*Inputs!$C$46</f>
        <v>341.08242000000001</v>
      </c>
      <c r="Z44" s="14">
        <f>Z10*Inputs!$C$46</f>
        <v>354.90965999999997</v>
      </c>
      <c r="AA44" s="14">
        <f>AA10*Inputs!$C$46</f>
        <v>354.72086999999999</v>
      </c>
      <c r="AB44" s="14">
        <f>AB10*Inputs!$C$46</f>
        <v>354.60789</v>
      </c>
      <c r="AC44" s="14">
        <f>AC10*Inputs!$C$46</f>
        <v>354.41426999999999</v>
      </c>
      <c r="AD44" s="14">
        <f>AD10*Inputs!$C$46</f>
        <v>354.51191999999998</v>
      </c>
      <c r="AE44" s="14">
        <f>AE10*Inputs!$C$46</f>
        <v>354.37605000000002</v>
      </c>
      <c r="AF44" s="14">
        <f>AF10*Inputs!$C$46</f>
        <v>354.24227999999999</v>
      </c>
      <c r="AG44" s="14">
        <f>AG10*Inputs!$C$46</f>
        <v>354.83280000000002</v>
      </c>
      <c r="AH44" s="14">
        <f>AH10*Inputs!$C$46</f>
        <v>354.72548999999998</v>
      </c>
    </row>
    <row r="45" spans="1:36" ht="15">
      <c r="A45" s="8" t="s">
        <v>50</v>
      </c>
      <c r="B45" s="34">
        <v>1</v>
      </c>
      <c r="C45" s="336">
        <f>C11*Inputs!$C$49</f>
        <v>2.5000000000000001E-2</v>
      </c>
      <c r="D45" s="336">
        <f>D11*Inputs!$C$49</f>
        <v>2.5000000000000001E-2</v>
      </c>
      <c r="E45" s="336">
        <f>E11*Inputs!$C$49</f>
        <v>2.5000000000000001E-2</v>
      </c>
      <c r="F45" s="336">
        <f>F11*Inputs!$C$49</f>
        <v>2.5000000000000001E-2</v>
      </c>
      <c r="G45" s="336">
        <f>G11*Inputs!$C$49</f>
        <v>2.5000000000000001E-2</v>
      </c>
      <c r="H45" s="14">
        <f>H11*Inputs!$C$49</f>
        <v>2.5000000000000001E-2</v>
      </c>
      <c r="I45" s="14">
        <f>I11*Inputs!$C$49</f>
        <v>2.5000000000000001E-2</v>
      </c>
      <c r="J45" s="14">
        <f>J11*Inputs!$C$49</f>
        <v>2.5000000000000001E-2</v>
      </c>
      <c r="K45" s="14">
        <f>K11*Inputs!$C$49</f>
        <v>2.5000000000000001E-2</v>
      </c>
      <c r="L45" s="14">
        <f>L11*Inputs!$C$49</f>
        <v>2.5000000000000001E-2</v>
      </c>
      <c r="M45" s="14">
        <f>M11*Inputs!$C$49</f>
        <v>2.5000000000000001E-2</v>
      </c>
      <c r="N45" s="191">
        <f>N11*Inputs!$C$49</f>
        <v>2.5000000000000001E-2</v>
      </c>
      <c r="O45" s="14">
        <f>O11*Inputs!$C$49</f>
        <v>2.5000000000000001E-2</v>
      </c>
      <c r="P45" s="14">
        <f>P11*Inputs!$C$49</f>
        <v>2.5000000000000001E-2</v>
      </c>
      <c r="Q45" s="14">
        <f>Q11*Inputs!$C$49</f>
        <v>2.5000000000000001E-2</v>
      </c>
      <c r="R45" s="14">
        <f>R11*Inputs!$C$49</f>
        <v>2.5000000000000001E-2</v>
      </c>
      <c r="S45" s="14">
        <f>S11*Inputs!$C$49</f>
        <v>2.5000000000000001E-2</v>
      </c>
      <c r="T45" s="14">
        <f>T11*Inputs!$C$49</f>
        <v>2.5000000000000001E-2</v>
      </c>
      <c r="U45" s="14">
        <f>U11*Inputs!$C$49</f>
        <v>2.5000000000000001E-2</v>
      </c>
      <c r="V45" s="14">
        <f>V11*Inputs!$C$49</f>
        <v>2.5000000000000001E-2</v>
      </c>
      <c r="W45" s="14">
        <f>W11*Inputs!$C$49</f>
        <v>2.5000000000000001E-2</v>
      </c>
      <c r="X45" s="188">
        <f>X11*Inputs!$C$49</f>
        <v>2.5000000000000001E-2</v>
      </c>
      <c r="Y45" s="14">
        <f>Y11*Inputs!$C$49</f>
        <v>2.5000000000000001E-2</v>
      </c>
      <c r="Z45" s="14">
        <f>Z11*Inputs!$C$49</f>
        <v>2.5000000000000001E-2</v>
      </c>
      <c r="AA45" s="14">
        <f>AA11*Inputs!$C$49</f>
        <v>2.5000000000000001E-2</v>
      </c>
      <c r="AB45" s="14">
        <f>AB11*Inputs!$C$49</f>
        <v>2.5000000000000001E-2</v>
      </c>
      <c r="AC45" s="14">
        <f>AC11*Inputs!$C$49</f>
        <v>2.5000000000000001E-2</v>
      </c>
      <c r="AD45" s="14">
        <f>AD11*Inputs!$C$49</f>
        <v>2.5000000000000001E-2</v>
      </c>
      <c r="AE45" s="14">
        <f>AE11*Inputs!$C$49</f>
        <v>2.5000000000000001E-2</v>
      </c>
      <c r="AF45" s="14">
        <f>AF11*Inputs!$C$49</f>
        <v>2.5000000000000001E-2</v>
      </c>
      <c r="AG45" s="14">
        <f>AG11*Inputs!$C$49</f>
        <v>2.5000000000000001E-2</v>
      </c>
      <c r="AH45" s="14">
        <f>AH11*Inputs!$C$49</f>
        <v>2.5000000000000001E-2</v>
      </c>
    </row>
    <row r="46" spans="1:36" ht="15">
      <c r="A46" s="8" t="s">
        <v>51</v>
      </c>
      <c r="B46" s="34">
        <v>1</v>
      </c>
      <c r="C46" s="336">
        <f>C12*Inputs!$C$52</f>
        <v>124.35</v>
      </c>
      <c r="D46" s="336">
        <f>D12*Inputs!$C$52</f>
        <v>119.25</v>
      </c>
      <c r="E46" s="336">
        <f>E12*Inputs!$C$52</f>
        <v>117.9216</v>
      </c>
      <c r="F46" s="336">
        <f>F12*Inputs!$C$52</f>
        <v>153.76859999999999</v>
      </c>
      <c r="G46" s="336">
        <f>G12*Inputs!$C$52</f>
        <v>151.1799</v>
      </c>
      <c r="H46" s="14">
        <f>H12*Inputs!$C$52</f>
        <v>151.33545000000001</v>
      </c>
      <c r="I46" s="14">
        <f>I12*Inputs!$C$52</f>
        <v>151.19264999999999</v>
      </c>
      <c r="J46" s="14">
        <f>J12*Inputs!$C$52</f>
        <v>151.2465</v>
      </c>
      <c r="K46" s="14">
        <f>K12*Inputs!$C$52</f>
        <v>151.28175000000002</v>
      </c>
      <c r="L46" s="14">
        <f>L12*Inputs!$C$52</f>
        <v>151.30619999999999</v>
      </c>
      <c r="M46" s="14">
        <f>M12*Inputs!$C$52</f>
        <v>151.3227</v>
      </c>
      <c r="N46" s="191">
        <f>N12*Inputs!$C$52</f>
        <v>151.3929</v>
      </c>
      <c r="O46" s="14">
        <f>O12*Inputs!$C$52</f>
        <v>151.43190000000001</v>
      </c>
      <c r="P46" s="14">
        <f>P12*Inputs!$C$52</f>
        <v>151.45815000000002</v>
      </c>
      <c r="Q46" s="14">
        <f>Q12*Inputs!$C$52</f>
        <v>151.47464999999997</v>
      </c>
      <c r="R46" s="14">
        <f>R12*Inputs!$C$52</f>
        <v>151.48559999999998</v>
      </c>
      <c r="S46" s="14">
        <f>S12*Inputs!$C$52</f>
        <v>151.4991</v>
      </c>
      <c r="T46" s="14">
        <f>T12*Inputs!$C$52</f>
        <v>151.506</v>
      </c>
      <c r="U46" s="14">
        <f>U12*Inputs!$C$52</f>
        <v>151.50779999999997</v>
      </c>
      <c r="V46" s="14">
        <f>V12*Inputs!$C$52</f>
        <v>151.50659999999999</v>
      </c>
      <c r="W46" s="14">
        <f>W12*Inputs!$C$52</f>
        <v>151.4931</v>
      </c>
      <c r="X46" s="188">
        <f>X12*Inputs!$C$52</f>
        <v>151.48589999999999</v>
      </c>
      <c r="Y46" s="14">
        <f>Y12*Inputs!$C$52</f>
        <v>151.47975</v>
      </c>
      <c r="Z46" s="14">
        <f>Z12*Inputs!$C$52</f>
        <v>151.47135</v>
      </c>
      <c r="AA46" s="14">
        <f>AA12*Inputs!$C$52</f>
        <v>151.43279999999999</v>
      </c>
      <c r="AB46" s="14">
        <f>AB12*Inputs!$C$52</f>
        <v>151.39034999999998</v>
      </c>
      <c r="AC46" s="14">
        <f>AC12*Inputs!$C$52</f>
        <v>151.34654999999998</v>
      </c>
      <c r="AD46" s="14">
        <f>AD12*Inputs!$C$52</f>
        <v>151.30529999999999</v>
      </c>
      <c r="AE46" s="14">
        <f>AE12*Inputs!$C$52</f>
        <v>151.2441</v>
      </c>
      <c r="AF46" s="14">
        <f>AF12*Inputs!$C$52</f>
        <v>151.1841</v>
      </c>
      <c r="AG46" s="14">
        <f>AG12*Inputs!$C$52</f>
        <v>151.1292</v>
      </c>
      <c r="AH46" s="14">
        <f>AH12*Inputs!$C$52</f>
        <v>151.07624999999999</v>
      </c>
    </row>
    <row r="47" spans="1:36" ht="15">
      <c r="A47" s="8" t="s">
        <v>343</v>
      </c>
      <c r="B47" s="34">
        <v>1</v>
      </c>
      <c r="C47" s="336">
        <f>C13*Inputs!$C$54</f>
        <v>0</v>
      </c>
      <c r="D47" s="336">
        <f>D13*Inputs!$C$54</f>
        <v>0</v>
      </c>
      <c r="E47" s="336">
        <f>E13*Inputs!$C$54</f>
        <v>0.12561</v>
      </c>
      <c r="F47" s="336">
        <f>F13*Inputs!$C$54</f>
        <v>0.20461000000000001</v>
      </c>
      <c r="G47" s="336">
        <f>G13*Inputs!$C$54</f>
        <v>0.34681000000000001</v>
      </c>
      <c r="H47" s="14">
        <f>H13*Inputs!$C$54</f>
        <v>0.53720000000000001</v>
      </c>
      <c r="I47" s="14">
        <f>I13*Inputs!$C$54</f>
        <v>0.83345000000000002</v>
      </c>
      <c r="J47" s="14">
        <f>J13*Inputs!$C$54</f>
        <v>1.1778900000000001</v>
      </c>
      <c r="K47" s="14">
        <f>K13*Inputs!$C$54</f>
        <v>1.1802600000000001</v>
      </c>
      <c r="L47" s="14">
        <f>L13*Inputs!$C$54</f>
        <v>1.1826300000000001</v>
      </c>
      <c r="M47" s="14">
        <f>M13*Inputs!$C$54</f>
        <v>1.1881600000000003</v>
      </c>
      <c r="N47" s="191">
        <f>N13*Inputs!$C$54</f>
        <v>1.2031700000000001</v>
      </c>
      <c r="O47" s="14">
        <f>O13*Inputs!$C$54</f>
        <v>1.2276600000000002</v>
      </c>
      <c r="P47" s="14">
        <f>P13*Inputs!$C$54</f>
        <v>1.2568900000000001</v>
      </c>
      <c r="Q47" s="14">
        <f>Q13*Inputs!$C$54</f>
        <v>1.29165</v>
      </c>
      <c r="R47" s="14">
        <f>R13*Inputs!$C$54</f>
        <v>1.3319400000000001</v>
      </c>
      <c r="S47" s="14">
        <f>S13*Inputs!$C$54</f>
        <v>1.38724</v>
      </c>
      <c r="T47" s="14">
        <f>T13*Inputs!$C$54</f>
        <v>1.4457000000000002</v>
      </c>
      <c r="U47" s="14">
        <f>U13*Inputs!$C$54</f>
        <v>1.50732</v>
      </c>
      <c r="V47" s="14">
        <f>V13*Inputs!$C$54</f>
        <v>1.5705199999999999</v>
      </c>
      <c r="W47" s="14">
        <f>W13*Inputs!$C$54</f>
        <v>1.6353</v>
      </c>
      <c r="X47" s="188">
        <f>X13*Inputs!$C$54</f>
        <v>1.70245</v>
      </c>
      <c r="Y47" s="14">
        <f>Y13*Inputs!$C$54</f>
        <v>1.77197</v>
      </c>
      <c r="Z47" s="14">
        <f>Z13*Inputs!$C$54</f>
        <v>1.84544</v>
      </c>
      <c r="AA47" s="14">
        <f>AA13*Inputs!$C$54</f>
        <v>1.9228600000000002</v>
      </c>
      <c r="AB47" s="14">
        <f>AB13*Inputs!$C$54</f>
        <v>2.00739</v>
      </c>
      <c r="AC47" s="14">
        <f>AC13*Inputs!$C$54</f>
        <v>2.1006100000000001</v>
      </c>
      <c r="AD47" s="14">
        <f>AD13*Inputs!$C$54</f>
        <v>2.20173</v>
      </c>
      <c r="AE47" s="14">
        <f>AE13*Inputs!$C$54</f>
        <v>2.3075899999999998</v>
      </c>
      <c r="AF47" s="14">
        <f>AF13*Inputs!$C$54</f>
        <v>2.4173999999999998</v>
      </c>
      <c r="AG47" s="14">
        <f>AG13*Inputs!$C$54</f>
        <v>2.5319500000000001</v>
      </c>
      <c r="AH47" s="14">
        <f>AH13*Inputs!$C$54</f>
        <v>265.78207000000003</v>
      </c>
    </row>
    <row r="48" spans="1:36" ht="15">
      <c r="A48" s="8" t="s">
        <v>344</v>
      </c>
      <c r="B48" s="34">
        <v>1</v>
      </c>
      <c r="C48" s="336">
        <f>C14*Inputs!$C$55</f>
        <v>0</v>
      </c>
      <c r="D48" s="336">
        <f>D14*Inputs!$C$55</f>
        <v>0</v>
      </c>
      <c r="E48" s="336">
        <f>E14*Inputs!$C$55</f>
        <v>2.3000000000000003E-2</v>
      </c>
      <c r="F48" s="336">
        <f>F14*Inputs!$C$55</f>
        <v>2.3000000000000003E-2</v>
      </c>
      <c r="G48" s="336">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1">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8">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340</v>
      </c>
      <c r="B49" s="34">
        <v>1</v>
      </c>
      <c r="C49" s="336">
        <f>C15*Inputs!$C$51</f>
        <v>2.7000000000000002E-5</v>
      </c>
      <c r="D49" s="336">
        <f>D15*Inputs!$C$51</f>
        <v>2.7000000000000002E-5</v>
      </c>
      <c r="E49" s="336">
        <f>E15*Inputs!$C$51</f>
        <v>2.7000000000000002E-5</v>
      </c>
      <c r="F49" s="336">
        <f>F15*Inputs!$C$51</f>
        <v>2.7000000000000002E-5</v>
      </c>
      <c r="G49" s="336">
        <f>G15*Inputs!$C$51</f>
        <v>2.7000000000000002E-5</v>
      </c>
      <c r="H49" s="14">
        <f>H15*Inputs!$C$51</f>
        <v>2.7000000000000002E-5</v>
      </c>
      <c r="I49" s="14">
        <f>I15*Inputs!$C$51</f>
        <v>2.7000000000000002E-5</v>
      </c>
      <c r="J49" s="14">
        <f>J15*Inputs!$C$51</f>
        <v>2.7000000000000002E-5</v>
      </c>
      <c r="K49" s="14">
        <f>K15*Inputs!$C$51</f>
        <v>2.7000000000000002E-5</v>
      </c>
      <c r="L49" s="14">
        <f>L15*Inputs!$C$51</f>
        <v>2.7000000000000002E-5</v>
      </c>
      <c r="M49" s="14">
        <f>M15*Inputs!$C$51</f>
        <v>2.7000000000000002E-5</v>
      </c>
      <c r="N49" s="191">
        <f>N15*Inputs!$C$51</f>
        <v>2.7000000000000002E-5</v>
      </c>
      <c r="O49" s="14">
        <f>O15*Inputs!$C$51</f>
        <v>2.7000000000000002E-5</v>
      </c>
      <c r="P49" s="14">
        <f>P15*Inputs!$C$51</f>
        <v>2.7000000000000002E-5</v>
      </c>
      <c r="Q49" s="14">
        <f>Q15*Inputs!$C$51</f>
        <v>2.7000000000000002E-5</v>
      </c>
      <c r="R49" s="14">
        <f>R15*Inputs!$C$51</f>
        <v>2.7000000000000002E-5</v>
      </c>
      <c r="S49" s="14">
        <f>S15*Inputs!$C$51</f>
        <v>2.7000000000000002E-5</v>
      </c>
      <c r="T49" s="14">
        <f>T15*Inputs!$C$51</f>
        <v>2.7000000000000002E-5</v>
      </c>
      <c r="U49" s="14">
        <f>U15*Inputs!$C$51</f>
        <v>2.7000000000000002E-5</v>
      </c>
      <c r="V49" s="14">
        <f>V15*Inputs!$C$51</f>
        <v>2.7000000000000002E-5</v>
      </c>
      <c r="W49" s="14">
        <f>W15*Inputs!$C$51</f>
        <v>2.7000000000000002E-5</v>
      </c>
      <c r="X49" s="188">
        <f>X15*Inputs!$C$51</f>
        <v>2.7000000000000002E-5</v>
      </c>
      <c r="Y49" s="14">
        <f>Y15*Inputs!$C$51</f>
        <v>2.7000000000000002E-5</v>
      </c>
      <c r="Z49" s="14">
        <f>Z15*Inputs!$C$51</f>
        <v>2.7000000000000002E-5</v>
      </c>
      <c r="AA49" s="14">
        <f>AA15*Inputs!$C$51</f>
        <v>2.7000000000000002E-5</v>
      </c>
      <c r="AB49" s="14">
        <f>AB15*Inputs!$C$51</f>
        <v>2.7000000000000002E-5</v>
      </c>
      <c r="AC49" s="14">
        <f>AC15*Inputs!$C$51</f>
        <v>2.7000000000000002E-5</v>
      </c>
      <c r="AD49" s="14">
        <f>AD15*Inputs!$C$51</f>
        <v>2.7000000000000002E-5</v>
      </c>
      <c r="AE49" s="14">
        <f>AE15*Inputs!$C$51</f>
        <v>2.7000000000000002E-5</v>
      </c>
      <c r="AF49" s="14">
        <f>AF15*Inputs!$C$51</f>
        <v>2.7000000000000002E-5</v>
      </c>
      <c r="AG49" s="14">
        <f>AG15*Inputs!$C$51</f>
        <v>2.7000000000000002E-5</v>
      </c>
      <c r="AH49" s="14">
        <f>AH15*Inputs!$C$51</f>
        <v>2.7000000000000002E-5</v>
      </c>
    </row>
    <row r="50" spans="1:34" ht="15">
      <c r="A50" s="8" t="s">
        <v>53</v>
      </c>
      <c r="B50" s="34">
        <v>1</v>
      </c>
      <c r="C50" s="336">
        <f>C16*Inputs!$C$57</f>
        <v>51.000000000000007</v>
      </c>
      <c r="D50" s="336">
        <f>D16*Inputs!$C$57</f>
        <v>61.2</v>
      </c>
      <c r="E50" s="336">
        <f>E16*Inputs!$C$57</f>
        <v>77.968460000000007</v>
      </c>
      <c r="F50" s="336">
        <f>F16*Inputs!$C$57</f>
        <v>188.12845999999999</v>
      </c>
      <c r="G50" s="336">
        <f>G16*Inputs!$C$57</f>
        <v>389.71514000000002</v>
      </c>
      <c r="H50" s="14">
        <f>H16*Inputs!$C$57</f>
        <v>430.73426999999998</v>
      </c>
      <c r="I50" s="14">
        <f>I16*Inputs!$C$57</f>
        <v>927.17898000000002</v>
      </c>
      <c r="J50" s="14">
        <f>J16*Inputs!$C$57</f>
        <v>1258.1164500000002</v>
      </c>
      <c r="K50" s="14">
        <f>K16*Inputs!$C$57</f>
        <v>1258.1184900000001</v>
      </c>
      <c r="L50" s="14">
        <f>L16*Inputs!$C$57</f>
        <v>1257.9823200000001</v>
      </c>
      <c r="M50" s="14">
        <f>M16*Inputs!$C$57</f>
        <v>1258.1276700000001</v>
      </c>
      <c r="N50" s="191">
        <f>N16*Inputs!$C$57</f>
        <v>1258.0236300000001</v>
      </c>
      <c r="O50" s="14">
        <f>O16*Inputs!$C$57</f>
        <v>1258.1412700000001</v>
      </c>
      <c r="P50" s="14">
        <f>P16*Inputs!$C$57</f>
        <v>1258.5649100000001</v>
      </c>
      <c r="Q50" s="14">
        <f>Q16*Inputs!$C$57</f>
        <v>1258.53737</v>
      </c>
      <c r="R50" s="14">
        <f>R16*Inputs!$C$57</f>
        <v>1258.53737</v>
      </c>
      <c r="S50" s="14">
        <f>S16*Inputs!$C$57</f>
        <v>1258.5640599999999</v>
      </c>
      <c r="T50" s="14">
        <f>T16*Inputs!$C$57</f>
        <v>1257.9857200000001</v>
      </c>
      <c r="U50" s="14">
        <f>U16*Inputs!$C$57</f>
        <v>1257.9612400000001</v>
      </c>
      <c r="V50" s="14">
        <f>V16*Inputs!$C$57</f>
        <v>1258.5734100000002</v>
      </c>
      <c r="W50" s="14">
        <f>W16*Inputs!$C$57</f>
        <v>1257.9688900000001</v>
      </c>
      <c r="X50" s="188">
        <f>X16*Inputs!$C$57</f>
        <v>1258.8919900000001</v>
      </c>
      <c r="Y50" s="14">
        <f>Y16*Inputs!$C$57</f>
        <v>1258.83844</v>
      </c>
      <c r="Z50" s="14">
        <f>Z16*Inputs!$C$57</f>
        <v>1258.37536</v>
      </c>
      <c r="AA50" s="14">
        <f>AA16*Inputs!$C$57</f>
        <v>1262.25612</v>
      </c>
      <c r="AB50" s="14">
        <f>AB16*Inputs!$C$57</f>
        <v>1264.9795200000001</v>
      </c>
      <c r="AC50" s="14">
        <f>AC16*Inputs!$C$57</f>
        <v>1264.8649399999999</v>
      </c>
      <c r="AD50" s="14">
        <f>AD16*Inputs!$C$57</f>
        <v>1265.00485</v>
      </c>
      <c r="AE50" s="14">
        <f>AE16*Inputs!$C$57</f>
        <v>1268.87762</v>
      </c>
      <c r="AF50" s="14">
        <f>AF16*Inputs!$C$57</f>
        <v>1270.8174900000001</v>
      </c>
      <c r="AG50" s="14">
        <f>AG16*Inputs!$C$57</f>
        <v>1275.7320199999999</v>
      </c>
      <c r="AH50" s="14">
        <f>AH16*Inputs!$C$57</f>
        <v>1283.3776000000003</v>
      </c>
    </row>
    <row r="51" spans="1:34" s="20" customFormat="1" ht="15">
      <c r="A51" s="8" t="s">
        <v>127</v>
      </c>
      <c r="B51" s="38"/>
      <c r="C51" s="339">
        <f t="shared" ref="C51:AH51" si="21">SUMPRODUCT($B42:$B50,C42:C50)</f>
        <v>488.06502699999993</v>
      </c>
      <c r="D51" s="339">
        <f t="shared" si="21"/>
        <v>531.175027</v>
      </c>
      <c r="E51" s="339">
        <f t="shared" si="21"/>
        <v>386.02570700000001</v>
      </c>
      <c r="F51" s="339">
        <f t="shared" si="21"/>
        <v>509.64968699999997</v>
      </c>
      <c r="G51" s="339">
        <f t="shared" si="21"/>
        <v>736.02854700000012</v>
      </c>
      <c r="H51" s="19">
        <f t="shared" si="21"/>
        <v>777.88228700000002</v>
      </c>
      <c r="I51" s="19">
        <f t="shared" si="21"/>
        <v>1271.3125970000001</v>
      </c>
      <c r="J51" s="19">
        <f t="shared" si="21"/>
        <v>1601.8877370000002</v>
      </c>
      <c r="K51" s="19">
        <f t="shared" si="21"/>
        <v>1605.6313770000002</v>
      </c>
      <c r="L51" s="19">
        <f t="shared" si="21"/>
        <v>1600.3411170000002</v>
      </c>
      <c r="M51" s="19">
        <f t="shared" si="21"/>
        <v>1626.1950670000001</v>
      </c>
      <c r="N51" s="191">
        <f t="shared" si="21"/>
        <v>1627.857287</v>
      </c>
      <c r="O51" s="19">
        <f t="shared" si="21"/>
        <v>1644.1802770000002</v>
      </c>
      <c r="P51" s="19">
        <f t="shared" si="21"/>
        <v>1645.1079570000002</v>
      </c>
      <c r="Q51" s="19">
        <f t="shared" si="21"/>
        <v>1639.9564370000001</v>
      </c>
      <c r="R51" s="19">
        <f t="shared" si="21"/>
        <v>1649.4555769999999</v>
      </c>
      <c r="S51" s="19">
        <f t="shared" si="21"/>
        <v>1649.8725769999999</v>
      </c>
      <c r="T51" s="19">
        <f t="shared" si="21"/>
        <v>1645.933027</v>
      </c>
      <c r="U51" s="19">
        <f t="shared" si="21"/>
        <v>1640.4151570000001</v>
      </c>
      <c r="V51" s="19">
        <f t="shared" si="21"/>
        <v>1643.5448570000001</v>
      </c>
      <c r="W51" s="19">
        <f t="shared" si="21"/>
        <v>1649.0503270000002</v>
      </c>
      <c r="X51" s="183">
        <f t="shared" si="21"/>
        <v>1713.656027</v>
      </c>
      <c r="Y51" s="19">
        <f t="shared" si="21"/>
        <v>1753.220607</v>
      </c>
      <c r="Z51" s="19">
        <f t="shared" si="21"/>
        <v>1766.6498369999999</v>
      </c>
      <c r="AA51" s="19">
        <f t="shared" si="21"/>
        <v>1770.3806770000001</v>
      </c>
      <c r="AB51" s="19">
        <f t="shared" si="21"/>
        <v>1773.033177</v>
      </c>
      <c r="AC51" s="19">
        <f t="shared" si="21"/>
        <v>1772.7743969999999</v>
      </c>
      <c r="AD51" s="19">
        <f t="shared" si="21"/>
        <v>1773.071827</v>
      </c>
      <c r="AE51" s="19">
        <f t="shared" si="21"/>
        <v>1776.8533870000001</v>
      </c>
      <c r="AF51" s="19">
        <f t="shared" si="21"/>
        <v>1778.7092970000001</v>
      </c>
      <c r="AG51" s="19">
        <f t="shared" si="21"/>
        <v>1784.2739969999998</v>
      </c>
      <c r="AH51" s="19">
        <f t="shared" si="21"/>
        <v>2055.0094370000002</v>
      </c>
    </row>
    <row r="52" spans="1:34" s="20" customFormat="1" ht="15">
      <c r="A52" s="27" t="s">
        <v>326</v>
      </c>
      <c r="B52" s="39"/>
      <c r="C52" s="339">
        <f>SUM(C40:C50)</f>
        <v>3753.0050120000005</v>
      </c>
      <c r="D52" s="339">
        <f t="shared" ref="D52:I52" si="22">SUM(D42:D50)</f>
        <v>4866.3250119999993</v>
      </c>
      <c r="E52" s="339">
        <f t="shared" si="22"/>
        <v>2639.8641920000009</v>
      </c>
      <c r="F52" s="339">
        <f t="shared" si="22"/>
        <v>2024.2138220000002</v>
      </c>
      <c r="G52" s="339">
        <f t="shared" si="22"/>
        <v>2701.3643120000006</v>
      </c>
      <c r="H52" s="19">
        <f t="shared" si="22"/>
        <v>2754.2367020000006</v>
      </c>
      <c r="I52" s="19">
        <f t="shared" si="22"/>
        <v>3317.5348220000005</v>
      </c>
      <c r="J52" s="19">
        <f t="shared" ref="J52:AH52" si="23">SUM(J42:J50)</f>
        <v>3676.4254620000011</v>
      </c>
      <c r="K52" s="19">
        <f t="shared" si="23"/>
        <v>3690.5251320000007</v>
      </c>
      <c r="L52" s="19">
        <f t="shared" si="23"/>
        <v>3694.698312</v>
      </c>
      <c r="M52" s="19">
        <f t="shared" si="23"/>
        <v>3720.5525620000008</v>
      </c>
      <c r="N52" s="191">
        <f t="shared" si="23"/>
        <v>3722.2144819999999</v>
      </c>
      <c r="O52" s="19">
        <f t="shared" si="23"/>
        <v>3738.5374720000004</v>
      </c>
      <c r="P52" s="19">
        <f t="shared" si="23"/>
        <v>3739.4651520000002</v>
      </c>
      <c r="Q52" s="19">
        <f t="shared" si="23"/>
        <v>3734.3134920000007</v>
      </c>
      <c r="R52" s="19">
        <f t="shared" si="23"/>
        <v>3743.8127720000002</v>
      </c>
      <c r="S52" s="19">
        <f t="shared" si="23"/>
        <v>3744.2297720000006</v>
      </c>
      <c r="T52" s="19">
        <f t="shared" si="23"/>
        <v>3740.2902220000005</v>
      </c>
      <c r="U52" s="19">
        <f t="shared" si="23"/>
        <v>3734.7723520000004</v>
      </c>
      <c r="V52" s="19">
        <f t="shared" si="23"/>
        <v>3737.9019120000012</v>
      </c>
      <c r="W52" s="19">
        <f t="shared" si="23"/>
        <v>3743.4073820000008</v>
      </c>
      <c r="X52" s="183">
        <f t="shared" si="23"/>
        <v>3808.013222000001</v>
      </c>
      <c r="Y52" s="19">
        <f t="shared" si="23"/>
        <v>3847.5776620000006</v>
      </c>
      <c r="Z52" s="19">
        <f t="shared" si="23"/>
        <v>3861.007032</v>
      </c>
      <c r="AA52" s="19">
        <f t="shared" si="23"/>
        <v>3864.7378720000006</v>
      </c>
      <c r="AB52" s="19">
        <f t="shared" si="23"/>
        <v>3867.3903720000008</v>
      </c>
      <c r="AC52" s="19">
        <f t="shared" si="23"/>
        <v>3867.1315919999997</v>
      </c>
      <c r="AD52" s="19">
        <f t="shared" si="23"/>
        <v>3867.4290220000003</v>
      </c>
      <c r="AE52" s="19">
        <f t="shared" si="23"/>
        <v>3871.2105819999997</v>
      </c>
      <c r="AF52" s="19">
        <f t="shared" si="23"/>
        <v>3873.0664919999999</v>
      </c>
      <c r="AG52" s="19">
        <f t="shared" si="23"/>
        <v>3878.6311920000003</v>
      </c>
      <c r="AH52" s="19">
        <f t="shared" si="23"/>
        <v>4149.3666320000011</v>
      </c>
    </row>
    <row r="53" spans="1:34" s="20" customFormat="1" ht="15">
      <c r="A53" s="27" t="s">
        <v>327</v>
      </c>
      <c r="B53" s="39"/>
      <c r="C53" s="339">
        <f>C20*Inputs!$C$60</f>
        <v>7353.28</v>
      </c>
      <c r="D53" s="339">
        <f>D20*Inputs!$C$60</f>
        <v>7216.44</v>
      </c>
      <c r="E53" s="339">
        <f>E20*Inputs!$C$60</f>
        <v>6149.0983400000005</v>
      </c>
      <c r="F53" s="339">
        <f>F20*Inputs!$C$60</f>
        <v>5566.2897400000011</v>
      </c>
      <c r="G53" s="339">
        <f>G20*Inputs!$C$60</f>
        <v>6293.20604</v>
      </c>
      <c r="H53" s="19">
        <f>H20*Inputs!$C$60</f>
        <v>6376.9396899999992</v>
      </c>
      <c r="I53" s="19">
        <f>I20*Inputs!$C$60</f>
        <v>6538.5882099999999</v>
      </c>
      <c r="J53" s="19">
        <f>J20*Inputs!$C$60</f>
        <v>4552.004930000001</v>
      </c>
      <c r="K53" s="19">
        <f>K20*Inputs!$C$60</f>
        <v>4171.3995399999994</v>
      </c>
      <c r="L53" s="19">
        <f>L20*Inputs!$C$60</f>
        <v>4251.81988</v>
      </c>
      <c r="M53" s="19">
        <f>M20*Inputs!$C$60</f>
        <v>4270.5536499999998</v>
      </c>
      <c r="N53" s="191">
        <f>N20*Inputs!$C$60</f>
        <v>4300.0946999999996</v>
      </c>
      <c r="O53" s="19">
        <f>O20*Inputs!$C$60</f>
        <v>4199.9372800000001</v>
      </c>
      <c r="P53" s="19">
        <f>P20*Inputs!$C$60</f>
        <v>4223.70597</v>
      </c>
      <c r="Q53" s="19">
        <f>Q20*Inputs!$C$60</f>
        <v>4248.0526</v>
      </c>
      <c r="R53" s="19">
        <f>R20*Inputs!$C$60</f>
        <v>4365.7878000000001</v>
      </c>
      <c r="S53" s="19">
        <f>S20*Inputs!$C$60</f>
        <v>4507.0060199999998</v>
      </c>
      <c r="T53" s="19">
        <f>T20*Inputs!$C$60</f>
        <v>4540.3656099999998</v>
      </c>
      <c r="U53" s="19">
        <f>U20*Inputs!$C$60</f>
        <v>4574.5890300000001</v>
      </c>
      <c r="V53" s="19">
        <f>V20*Inputs!$C$60</f>
        <v>4572.8619200000003</v>
      </c>
      <c r="W53" s="19">
        <f>W20*Inputs!$C$60</f>
        <v>4566.8500899999999</v>
      </c>
      <c r="X53" s="183">
        <f>X20*Inputs!$C$60</f>
        <v>4531.7097100000001</v>
      </c>
      <c r="Y53" s="19">
        <f>Y20*Inputs!$C$60</f>
        <v>4507.9359600000007</v>
      </c>
      <c r="Z53" s="19">
        <f>Z20*Inputs!$C$60</f>
        <v>4497.5830900000001</v>
      </c>
      <c r="AA53" s="19">
        <f>AA20*Inputs!$C$60</f>
        <v>4493.5304700000006</v>
      </c>
      <c r="AB53" s="19">
        <f>AB20*Inputs!$C$60</f>
        <v>4489.6792600000008</v>
      </c>
      <c r="AC53" s="19">
        <f>AC20*Inputs!$C$60</f>
        <v>4485.8783199999998</v>
      </c>
      <c r="AD53" s="19">
        <f>AD20*Inputs!$C$60</f>
        <v>4482.1290800000006</v>
      </c>
      <c r="AE53" s="19">
        <f>AE20*Inputs!$C$60</f>
        <v>4480.5814900000005</v>
      </c>
      <c r="AF53" s="19">
        <f>AF20*Inputs!$C$60</f>
        <v>4477.2338599999994</v>
      </c>
      <c r="AG53" s="19">
        <f>AG20*Inputs!$C$60</f>
        <v>4473.5122299999994</v>
      </c>
      <c r="AH53" s="19">
        <f>AH20*Inputs!$C$60</f>
        <v>4469.9685799999997</v>
      </c>
    </row>
    <row r="54" spans="1:34" s="20" customFormat="1" ht="15">
      <c r="A54" s="27" t="s">
        <v>221</v>
      </c>
      <c r="B54" s="39"/>
      <c r="C54" s="339">
        <f>C21*Inputs!$C$61</f>
        <v>926.2</v>
      </c>
      <c r="D54" s="339">
        <f>D21*Inputs!$C$61</f>
        <v>1347.39</v>
      </c>
      <c r="E54" s="339">
        <f>E21*Inputs!$C$61</f>
        <v>1380.95705</v>
      </c>
      <c r="F54" s="339">
        <f>F21*Inputs!$C$61</f>
        <v>2320.7058599999996</v>
      </c>
      <c r="G54" s="339">
        <f>G21*Inputs!$C$61</f>
        <v>1810.12447</v>
      </c>
      <c r="H54" s="19">
        <f>H21*Inputs!$C$61</f>
        <v>2273.7673199999999</v>
      </c>
      <c r="I54" s="19">
        <f>I21*Inputs!$C$61</f>
        <v>2187.9599499999999</v>
      </c>
      <c r="J54" s="19">
        <f>J21*Inputs!$C$61</f>
        <v>3790.30872</v>
      </c>
      <c r="K54" s="19">
        <f>K21*Inputs!$C$61</f>
        <v>3877.9557299999997</v>
      </c>
      <c r="L54" s="19">
        <f>L21*Inputs!$C$61</f>
        <v>3850.59213</v>
      </c>
      <c r="M54" s="19">
        <f>M21*Inputs!$C$61</f>
        <v>3856.7235299999998</v>
      </c>
      <c r="N54" s="191">
        <f>N21*Inputs!$C$61</f>
        <v>3887.5733600000003</v>
      </c>
      <c r="O54" s="19">
        <f>O21*Inputs!$C$61</f>
        <v>3861.9842799999997</v>
      </c>
      <c r="P54" s="19">
        <f>P21*Inputs!$C$61</f>
        <v>4011.9350699999995</v>
      </c>
      <c r="Q54" s="19">
        <f>Q21*Inputs!$C$61</f>
        <v>4007.5480499999999</v>
      </c>
      <c r="R54" s="19">
        <f>R21*Inputs!$C$61</f>
        <v>3986.1740600000003</v>
      </c>
      <c r="S54" s="19">
        <f>S21*Inputs!$C$61</f>
        <v>3947.7220199999997</v>
      </c>
      <c r="T54" s="19">
        <f>T21*Inputs!$C$61</f>
        <v>4106.0879199999999</v>
      </c>
      <c r="U54" s="19">
        <f>U21*Inputs!$C$61</f>
        <v>4178.9254099999998</v>
      </c>
      <c r="V54" s="19">
        <f>V21*Inputs!$C$61</f>
        <v>4373.8763200000003</v>
      </c>
      <c r="W54" s="19">
        <f>W21*Inputs!$C$61</f>
        <v>4438.7851200000005</v>
      </c>
      <c r="X54" s="183">
        <f>X21*Inputs!$C$61</f>
        <v>4488.7011399999992</v>
      </c>
      <c r="Y54" s="19">
        <f>Y21*Inputs!$C$61</f>
        <v>4525.5522400000009</v>
      </c>
      <c r="Z54" s="19">
        <f>Z21*Inputs!$C$61</f>
        <v>4321.8589700000002</v>
      </c>
      <c r="AA54" s="19">
        <f>AA21*Inputs!$C$61</f>
        <v>4352.9123</v>
      </c>
      <c r="AB54" s="19">
        <f>AB21*Inputs!$C$61</f>
        <v>4324.5528700000004</v>
      </c>
      <c r="AC54" s="19">
        <f>AC21*Inputs!$C$61</f>
        <v>4364.7181600000004</v>
      </c>
      <c r="AD54" s="19">
        <f>AD21*Inputs!$C$61</f>
        <v>4394.9154699999999</v>
      </c>
      <c r="AE54" s="19">
        <f>AE21*Inputs!$C$61</f>
        <v>4351.1003799999999</v>
      </c>
      <c r="AF54" s="19">
        <f>AF21*Inputs!$C$61</f>
        <v>4520.1866600000012</v>
      </c>
      <c r="AG54" s="19">
        <f>AG21*Inputs!$C$61</f>
        <v>4538.1965200000004</v>
      </c>
      <c r="AH54" s="19">
        <f>AH21*Inputs!$C$61</f>
        <v>4629.6171900000008</v>
      </c>
    </row>
    <row r="55" spans="1:34" s="20" customFormat="1" ht="15">
      <c r="A55" s="27" t="s">
        <v>58</v>
      </c>
      <c r="B55" s="39"/>
      <c r="C55" s="339">
        <f>SUM(C52:C54)</f>
        <v>12032.485012000001</v>
      </c>
      <c r="D55" s="339">
        <f t="shared" ref="D55:AH55" si="24">SUM(D52:D54)</f>
        <v>13430.155011999999</v>
      </c>
      <c r="E55" s="339">
        <f t="shared" si="24"/>
        <v>10169.919582000002</v>
      </c>
      <c r="F55" s="339">
        <f t="shared" si="24"/>
        <v>9911.2094220000017</v>
      </c>
      <c r="G55" s="339">
        <f t="shared" si="24"/>
        <v>10804.694822000001</v>
      </c>
      <c r="H55" s="19">
        <f t="shared" si="24"/>
        <v>11404.943712</v>
      </c>
      <c r="I55" s="19">
        <f t="shared" si="24"/>
        <v>12044.082982</v>
      </c>
      <c r="J55" s="19">
        <f t="shared" si="24"/>
        <v>12018.739112000003</v>
      </c>
      <c r="K55" s="19">
        <f t="shared" si="24"/>
        <v>11739.880401999999</v>
      </c>
      <c r="L55" s="19">
        <f t="shared" si="24"/>
        <v>11797.110322</v>
      </c>
      <c r="M55" s="19">
        <f t="shared" si="24"/>
        <v>11847.829742</v>
      </c>
      <c r="N55" s="191">
        <f t="shared" si="24"/>
        <v>11909.882541999999</v>
      </c>
      <c r="O55" s="19">
        <f t="shared" si="24"/>
        <v>11800.459031999999</v>
      </c>
      <c r="P55" s="19">
        <f t="shared" si="24"/>
        <v>11975.106191999999</v>
      </c>
      <c r="Q55" s="19">
        <f t="shared" si="24"/>
        <v>11989.914142</v>
      </c>
      <c r="R55" s="19">
        <f t="shared" si="24"/>
        <v>12095.774632000001</v>
      </c>
      <c r="S55" s="19">
        <f t="shared" si="24"/>
        <v>12198.957811999999</v>
      </c>
      <c r="T55" s="19">
        <f t="shared" si="24"/>
        <v>12386.743752</v>
      </c>
      <c r="U55" s="19">
        <f t="shared" si="24"/>
        <v>12488.286792000001</v>
      </c>
      <c r="V55" s="19">
        <f t="shared" si="24"/>
        <v>12684.640152</v>
      </c>
      <c r="W55" s="19">
        <f t="shared" si="24"/>
        <v>12749.042592000002</v>
      </c>
      <c r="X55" s="183">
        <f t="shared" si="24"/>
        <v>12828.424072</v>
      </c>
      <c r="Y55" s="19">
        <f t="shared" si="24"/>
        <v>12881.065862000003</v>
      </c>
      <c r="Z55" s="19">
        <f t="shared" si="24"/>
        <v>12680.449091999999</v>
      </c>
      <c r="AA55" s="19">
        <f t="shared" si="24"/>
        <v>12711.180642000001</v>
      </c>
      <c r="AB55" s="19">
        <f t="shared" si="24"/>
        <v>12681.622502000002</v>
      </c>
      <c r="AC55" s="19">
        <f t="shared" si="24"/>
        <v>12717.728072</v>
      </c>
      <c r="AD55" s="19">
        <f t="shared" si="24"/>
        <v>12744.473572000001</v>
      </c>
      <c r="AE55" s="19">
        <f t="shared" si="24"/>
        <v>12702.892452</v>
      </c>
      <c r="AF55" s="19">
        <f t="shared" si="24"/>
        <v>12870.487012</v>
      </c>
      <c r="AG55" s="19">
        <f t="shared" si="24"/>
        <v>12890.339941999999</v>
      </c>
      <c r="AH55" s="19">
        <f t="shared" si="24"/>
        <v>13248.952402000003</v>
      </c>
    </row>
    <row r="57" spans="1:34">
      <c r="A57" s="1" t="s">
        <v>139</v>
      </c>
      <c r="B57" s="13"/>
      <c r="D57" s="338"/>
      <c r="E57" s="338"/>
      <c r="F57" s="338"/>
      <c r="G57" s="338"/>
      <c r="H57" s="16"/>
      <c r="I57" s="16"/>
      <c r="J57" s="16"/>
      <c r="K57" s="16"/>
      <c r="L57" s="16"/>
      <c r="M57" s="16"/>
      <c r="N57" s="395" t="s">
        <v>0</v>
      </c>
    </row>
    <row r="58" spans="1:34" ht="15">
      <c r="A58" s="8" t="s">
        <v>61</v>
      </c>
      <c r="B58" s="34">
        <v>0</v>
      </c>
      <c r="C58" s="336">
        <f>C40*Inputs!$H44</f>
        <v>0</v>
      </c>
      <c r="D58" s="336">
        <f>D40*Inputs!$H44</f>
        <v>0</v>
      </c>
      <c r="E58" s="336">
        <f>E40*Inputs!$H44</f>
        <v>0</v>
      </c>
      <c r="F58" s="336">
        <f>F40*Inputs!$H44</f>
        <v>0</v>
      </c>
      <c r="G58" s="336">
        <f>G40*Inputs!$H44</f>
        <v>0</v>
      </c>
      <c r="H58" s="14">
        <f>H40*Inputs!$H44</f>
        <v>0</v>
      </c>
      <c r="I58" s="14">
        <f>I40*Inputs!$H44</f>
        <v>0</v>
      </c>
      <c r="J58" s="14">
        <f>J40*Inputs!$H44</f>
        <v>0</v>
      </c>
      <c r="K58" s="14">
        <f>K40*Inputs!$H44</f>
        <v>0</v>
      </c>
      <c r="L58" s="14">
        <f>L40*Inputs!$H44</f>
        <v>0</v>
      </c>
      <c r="M58" s="14">
        <f>M40*Inputs!$H44</f>
        <v>0</v>
      </c>
      <c r="N58" s="191">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8">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6">
        <f>C41*Inputs!$H47</f>
        <v>0</v>
      </c>
      <c r="D59" s="336">
        <f>D41*Inputs!$H47</f>
        <v>0</v>
      </c>
      <c r="E59" s="336" t="s">
        <v>373</v>
      </c>
      <c r="F59" s="336">
        <f>F41*Inputs!$H47</f>
        <v>0</v>
      </c>
      <c r="G59" s="336">
        <f>G41*Inputs!$H47</f>
        <v>0</v>
      </c>
      <c r="H59" s="14">
        <f>H41*Inputs!$H47</f>
        <v>0</v>
      </c>
      <c r="I59" s="14">
        <f>I41*Inputs!$H47</f>
        <v>0</v>
      </c>
      <c r="J59" s="14">
        <f>J41*Inputs!$H47</f>
        <v>0</v>
      </c>
      <c r="K59" s="14">
        <f>K41*Inputs!$H47</f>
        <v>0</v>
      </c>
      <c r="L59" s="14">
        <f>L41*Inputs!$H47</f>
        <v>0</v>
      </c>
      <c r="M59" s="14">
        <f>M41*Inputs!$H47</f>
        <v>0</v>
      </c>
      <c r="N59" s="191">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8">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6">
        <f>C42*Inputs!$H48</f>
        <v>185.2199865</v>
      </c>
      <c r="D60" s="336">
        <f>D42*Inputs!$H48</f>
        <v>168.8849865</v>
      </c>
      <c r="E60" s="336">
        <f>E42*Inputs!$H48</f>
        <v>71.548636500000001</v>
      </c>
      <c r="F60" s="336">
        <f>F42*Inputs!$H48</f>
        <v>65.307721500000014</v>
      </c>
      <c r="G60" s="336">
        <f>G42*Inputs!$H48</f>
        <v>66.02281649999999</v>
      </c>
      <c r="H60" s="14">
        <f>H42*Inputs!$H48</f>
        <v>67.418851500000002</v>
      </c>
      <c r="I60" s="14">
        <f>I42*Inputs!$H48</f>
        <v>68.818936499999992</v>
      </c>
      <c r="J60" s="14">
        <f>J42*Inputs!$H48</f>
        <v>70.218616499999996</v>
      </c>
      <c r="K60" s="14">
        <f>K42*Inputs!$H48</f>
        <v>71.019301499999997</v>
      </c>
      <c r="L60" s="14">
        <f>L42*Inputs!$H48</f>
        <v>71.019301499999997</v>
      </c>
      <c r="M60" s="14">
        <f>M42*Inputs!$H48</f>
        <v>71.019571499999984</v>
      </c>
      <c r="N60" s="191">
        <f>N42*Inputs!$H48</f>
        <v>71.019301499999997</v>
      </c>
      <c r="O60" s="14">
        <f>O42*Inputs!$H48</f>
        <v>71.019301499999997</v>
      </c>
      <c r="P60" s="14">
        <f>P42*Inputs!$H48</f>
        <v>71.019301499999997</v>
      </c>
      <c r="Q60" s="14">
        <f>Q42*Inputs!$H48</f>
        <v>71.019301499999997</v>
      </c>
      <c r="R60" s="14">
        <f>R42*Inputs!$H48</f>
        <v>71.019301499999997</v>
      </c>
      <c r="S60" s="14">
        <f>S42*Inputs!$H48</f>
        <v>71.019301499999997</v>
      </c>
      <c r="T60" s="14">
        <f>T42*Inputs!$H48</f>
        <v>71.019301499999997</v>
      </c>
      <c r="U60" s="14">
        <f>U42*Inputs!$H48</f>
        <v>71.019301499999997</v>
      </c>
      <c r="V60" s="14">
        <f>V42*Inputs!$H48</f>
        <v>71.019301499999997</v>
      </c>
      <c r="W60" s="14">
        <f>W42*Inputs!$H48</f>
        <v>71.019301499999997</v>
      </c>
      <c r="X60" s="188">
        <f>X42*Inputs!$H48</f>
        <v>71.019301499999997</v>
      </c>
      <c r="Y60" s="14">
        <f>Y42*Inputs!$H48</f>
        <v>71.019301499999997</v>
      </c>
      <c r="Z60" s="14">
        <f>Z42*Inputs!$H48</f>
        <v>71.019301499999997</v>
      </c>
      <c r="AA60" s="14">
        <f>AA42*Inputs!$H48</f>
        <v>71.019301499999997</v>
      </c>
      <c r="AB60" s="14">
        <f>AB42*Inputs!$H48</f>
        <v>71.019301499999997</v>
      </c>
      <c r="AC60" s="14">
        <f>AC42*Inputs!$H48</f>
        <v>71.019301499999997</v>
      </c>
      <c r="AD60" s="14">
        <f>AD42*Inputs!$H48</f>
        <v>71.019301499999997</v>
      </c>
      <c r="AE60" s="14">
        <f>AE42*Inputs!$H48</f>
        <v>71.019301499999997</v>
      </c>
      <c r="AF60" s="14">
        <f>AF42*Inputs!$H48</f>
        <v>71.019301499999997</v>
      </c>
      <c r="AG60" s="14">
        <f>AG42*Inputs!$H48</f>
        <v>71.019301499999997</v>
      </c>
      <c r="AH60" s="14">
        <f>AH42*Inputs!$H48</f>
        <v>71.019301499999997</v>
      </c>
    </row>
    <row r="61" spans="1:34" ht="15">
      <c r="A61" s="8" t="s">
        <v>59</v>
      </c>
      <c r="B61" s="34">
        <v>0</v>
      </c>
      <c r="C61" s="336">
        <f>C43*Inputs!$H53</f>
        <v>2753.2260000000006</v>
      </c>
      <c r="D61" s="336">
        <f>D43*Inputs!$H53</f>
        <v>3732.75</v>
      </c>
      <c r="E61" s="336">
        <f>E43*Inputs!$H53</f>
        <v>1956.9060000000002</v>
      </c>
      <c r="F61" s="336">
        <f>F43*Inputs!$H53</f>
        <v>1297.8000000000002</v>
      </c>
      <c r="G61" s="336">
        <f>G43*Inputs!$H53</f>
        <v>1702.7793720000004</v>
      </c>
      <c r="H61" s="14">
        <f>H43*Inputs!$H53</f>
        <v>1711.3001220000001</v>
      </c>
      <c r="I61" s="14">
        <f>I43*Inputs!$H53</f>
        <v>1772.7810660000002</v>
      </c>
      <c r="J61" s="14">
        <f>J43*Inputs!$H53</f>
        <v>1796.8653360000003</v>
      </c>
      <c r="K61" s="14">
        <f>K43*Inputs!$H53</f>
        <v>1805.385078</v>
      </c>
      <c r="L61" s="14">
        <f>L43*Inputs!$H53</f>
        <v>1813.9021740000001</v>
      </c>
      <c r="M61" s="14">
        <f>M43*Inputs!$H53</f>
        <v>1813.9021740000001</v>
      </c>
      <c r="N61" s="191">
        <f>N43*Inputs!$H53</f>
        <v>1813.9021740000001</v>
      </c>
      <c r="O61" s="14">
        <f>O43*Inputs!$H53</f>
        <v>1813.9021740000001</v>
      </c>
      <c r="P61" s="14">
        <f>P43*Inputs!$H53</f>
        <v>1813.9021740000001</v>
      </c>
      <c r="Q61" s="14">
        <f>Q43*Inputs!$H53</f>
        <v>1813.9020480000004</v>
      </c>
      <c r="R61" s="14">
        <f>R43*Inputs!$H53</f>
        <v>1813.9021740000001</v>
      </c>
      <c r="S61" s="14">
        <f>S43*Inputs!$H53</f>
        <v>1813.9021740000001</v>
      </c>
      <c r="T61" s="14">
        <f>T43*Inputs!$H53</f>
        <v>1813.9021740000001</v>
      </c>
      <c r="U61" s="14">
        <f>U43*Inputs!$H53</f>
        <v>1813.9021740000001</v>
      </c>
      <c r="V61" s="14">
        <f>V43*Inputs!$H53</f>
        <v>1813.9020480000004</v>
      </c>
      <c r="W61" s="14">
        <f>W43*Inputs!$H53</f>
        <v>1813.9020480000004</v>
      </c>
      <c r="X61" s="188">
        <f>X43*Inputs!$H53</f>
        <v>1813.9021740000001</v>
      </c>
      <c r="Y61" s="14">
        <f>Y43*Inputs!$H53</f>
        <v>1813.9020480000004</v>
      </c>
      <c r="Z61" s="14">
        <f>Z43*Inputs!$H53</f>
        <v>1813.9021740000001</v>
      </c>
      <c r="AA61" s="14">
        <f>AA43*Inputs!$H53</f>
        <v>1813.9021740000001</v>
      </c>
      <c r="AB61" s="14">
        <f>AB43*Inputs!$H53</f>
        <v>1813.9021740000001</v>
      </c>
      <c r="AC61" s="14">
        <f>AC43*Inputs!$H53</f>
        <v>1813.9021740000001</v>
      </c>
      <c r="AD61" s="14">
        <f>AD43*Inputs!$H53</f>
        <v>1813.9021740000001</v>
      </c>
      <c r="AE61" s="14">
        <f>AE43*Inputs!$H53</f>
        <v>1813.9021740000001</v>
      </c>
      <c r="AF61" s="14">
        <f>AF43*Inputs!$H53</f>
        <v>1813.9021740000001</v>
      </c>
      <c r="AG61" s="14">
        <f>AG43*Inputs!$H53</f>
        <v>1813.9021740000001</v>
      </c>
      <c r="AH61" s="14">
        <f>AH43*Inputs!$H53</f>
        <v>1813.9021740000001</v>
      </c>
    </row>
    <row r="62" spans="1:34" ht="15">
      <c r="A62" s="8" t="s">
        <v>120</v>
      </c>
      <c r="B62" s="34">
        <v>1</v>
      </c>
      <c r="C62" s="336">
        <f>C44*Inputs!$H46</f>
        <v>281.42099999999999</v>
      </c>
      <c r="D62" s="336">
        <f>D44*Inputs!$H46</f>
        <v>315.63</v>
      </c>
      <c r="E62" s="336">
        <f>E44*Inputs!$H46</f>
        <v>170.96580900000001</v>
      </c>
      <c r="F62" s="336">
        <f>F44*Inputs!$H46</f>
        <v>150.74999099999997</v>
      </c>
      <c r="G62" s="336">
        <f>G44*Inputs!$H46</f>
        <v>175.264803</v>
      </c>
      <c r="H62" s="14">
        <f>H44*Inputs!$H46</f>
        <v>175.70460600000001</v>
      </c>
      <c r="I62" s="14">
        <f>I44*Inputs!$H46</f>
        <v>172.85354099999998</v>
      </c>
      <c r="J62" s="14">
        <f>J44*Inputs!$H46</f>
        <v>172.168983</v>
      </c>
      <c r="K62" s="14">
        <f>K44*Inputs!$H46</f>
        <v>175.502565</v>
      </c>
      <c r="L62" s="14">
        <f>L44*Inputs!$H46</f>
        <v>170.83974599999999</v>
      </c>
      <c r="M62" s="14">
        <f>M44*Inputs!$H46</f>
        <v>193.95765900000001</v>
      </c>
      <c r="N62" s="191">
        <f>N44*Inputs!$H46</f>
        <v>195.47060399999998</v>
      </c>
      <c r="O62" s="14">
        <f>O44*Inputs!$H46</f>
        <v>209.998278</v>
      </c>
      <c r="P62" s="14">
        <f>P44*Inputs!$H46</f>
        <v>210.401982</v>
      </c>
      <c r="Q62" s="14">
        <f>Q44*Inputs!$H46</f>
        <v>205.74426600000001</v>
      </c>
      <c r="R62" s="14">
        <f>R44*Inputs!$H46</f>
        <v>214.24737599999997</v>
      </c>
      <c r="S62" s="14">
        <f>S44*Inputs!$H46</f>
        <v>214.53673499999999</v>
      </c>
      <c r="T62" s="14">
        <f>T44*Inputs!$H46</f>
        <v>211.452822</v>
      </c>
      <c r="U62" s="14">
        <f>U44*Inputs!$H46</f>
        <v>206.45169300000001</v>
      </c>
      <c r="V62" s="14">
        <f>V44*Inputs!$H46</f>
        <v>208.66166999999999</v>
      </c>
      <c r="W62" s="14">
        <f>W44*Inputs!$H46</f>
        <v>214.114509</v>
      </c>
      <c r="X62" s="188">
        <f>X44*Inputs!$H46</f>
        <v>271.37489399999998</v>
      </c>
      <c r="Y62" s="14">
        <f>Y44*Inputs!$H46</f>
        <v>306.97417799999999</v>
      </c>
      <c r="Z62" s="14">
        <f>Z44*Inputs!$H46</f>
        <v>319.41869399999996</v>
      </c>
      <c r="AA62" s="14">
        <f>AA44*Inputs!$H46</f>
        <v>319.248783</v>
      </c>
      <c r="AB62" s="14">
        <f>AB44*Inputs!$H46</f>
        <v>319.14710100000002</v>
      </c>
      <c r="AC62" s="14">
        <f>AC44*Inputs!$H46</f>
        <v>318.97284300000001</v>
      </c>
      <c r="AD62" s="14">
        <f>AD44*Inputs!$H46</f>
        <v>319.06072799999998</v>
      </c>
      <c r="AE62" s="14">
        <f>AE44*Inputs!$H46</f>
        <v>318.938445</v>
      </c>
      <c r="AF62" s="14">
        <f>AF44*Inputs!$H46</f>
        <v>318.81805200000002</v>
      </c>
      <c r="AG62" s="14">
        <f>AG44*Inputs!$H46</f>
        <v>319.34952000000004</v>
      </c>
      <c r="AH62" s="14">
        <f>AH44*Inputs!$H46</f>
        <v>319.25294099999996</v>
      </c>
    </row>
    <row r="63" spans="1:34" ht="15">
      <c r="A63" s="8" t="s">
        <v>50</v>
      </c>
      <c r="B63" s="34">
        <v>1</v>
      </c>
      <c r="C63" s="336">
        <f>C45*Inputs!$H49</f>
        <v>2.2500000000000003E-2</v>
      </c>
      <c r="D63" s="336">
        <f>D45*Inputs!$H49</f>
        <v>2.2500000000000003E-2</v>
      </c>
      <c r="E63" s="336">
        <f>E45*Inputs!$H49</f>
        <v>2.2500000000000003E-2</v>
      </c>
      <c r="F63" s="336">
        <f>F45*Inputs!$H49</f>
        <v>2.2500000000000003E-2</v>
      </c>
      <c r="G63" s="336">
        <f>G45*Inputs!$H49</f>
        <v>2.2500000000000003E-2</v>
      </c>
      <c r="H63" s="14">
        <f>H45*Inputs!$H49</f>
        <v>2.2500000000000003E-2</v>
      </c>
      <c r="I63" s="14">
        <f>I45*Inputs!$H49</f>
        <v>2.2500000000000003E-2</v>
      </c>
      <c r="J63" s="14">
        <f>J45*Inputs!$H49</f>
        <v>2.2500000000000003E-2</v>
      </c>
      <c r="K63" s="14">
        <f>K45*Inputs!$H49</f>
        <v>2.2500000000000003E-2</v>
      </c>
      <c r="L63" s="14">
        <f>L45*Inputs!$H49</f>
        <v>2.2500000000000003E-2</v>
      </c>
      <c r="M63" s="14">
        <f>M45*Inputs!$H49</f>
        <v>2.2500000000000003E-2</v>
      </c>
      <c r="N63" s="191">
        <f>N45*Inputs!$H49</f>
        <v>2.2500000000000003E-2</v>
      </c>
      <c r="O63" s="14">
        <f>O45*Inputs!$H49</f>
        <v>2.2500000000000003E-2</v>
      </c>
      <c r="P63" s="14">
        <f>P45*Inputs!$H49</f>
        <v>2.2500000000000003E-2</v>
      </c>
      <c r="Q63" s="14">
        <f>Q45*Inputs!$H49</f>
        <v>2.2500000000000003E-2</v>
      </c>
      <c r="R63" s="14">
        <f>R45*Inputs!$H49</f>
        <v>2.2500000000000003E-2</v>
      </c>
      <c r="S63" s="14">
        <f>S45*Inputs!$H49</f>
        <v>2.2500000000000003E-2</v>
      </c>
      <c r="T63" s="14">
        <f>T45*Inputs!$H49</f>
        <v>2.2500000000000003E-2</v>
      </c>
      <c r="U63" s="14">
        <f>U45*Inputs!$H49</f>
        <v>2.2500000000000003E-2</v>
      </c>
      <c r="V63" s="14">
        <f>V45*Inputs!$H49</f>
        <v>2.2500000000000003E-2</v>
      </c>
      <c r="W63" s="14">
        <f>W45*Inputs!$H49</f>
        <v>2.2500000000000003E-2</v>
      </c>
      <c r="X63" s="188">
        <f>X45*Inputs!$H49</f>
        <v>2.2500000000000003E-2</v>
      </c>
      <c r="Y63" s="14">
        <f>Y45*Inputs!$H49</f>
        <v>2.2500000000000003E-2</v>
      </c>
      <c r="Z63" s="14">
        <f>Z45*Inputs!$H49</f>
        <v>2.2500000000000003E-2</v>
      </c>
      <c r="AA63" s="14">
        <f>AA45*Inputs!$H49</f>
        <v>2.2500000000000003E-2</v>
      </c>
      <c r="AB63" s="14">
        <f>AB45*Inputs!$H49</f>
        <v>2.2500000000000003E-2</v>
      </c>
      <c r="AC63" s="14">
        <f>AC45*Inputs!$H49</f>
        <v>2.2500000000000003E-2</v>
      </c>
      <c r="AD63" s="14">
        <f>AD45*Inputs!$H49</f>
        <v>2.2500000000000003E-2</v>
      </c>
      <c r="AE63" s="14">
        <f>AE45*Inputs!$H49</f>
        <v>2.2500000000000003E-2</v>
      </c>
      <c r="AF63" s="14">
        <f>AF45*Inputs!$H49</f>
        <v>2.2500000000000003E-2</v>
      </c>
      <c r="AG63" s="14">
        <f>AG45*Inputs!$H49</f>
        <v>2.2500000000000003E-2</v>
      </c>
      <c r="AH63" s="14">
        <f>AH45*Inputs!$H49</f>
        <v>2.2500000000000003E-2</v>
      </c>
    </row>
    <row r="64" spans="1:34" ht="15">
      <c r="A64" s="8" t="s">
        <v>51</v>
      </c>
      <c r="B64" s="34">
        <v>1</v>
      </c>
      <c r="C64" s="336">
        <f>C46*Inputs!$H52</f>
        <v>111.91499999999999</v>
      </c>
      <c r="D64" s="336">
        <f>D46*Inputs!$H52</f>
        <v>107.325</v>
      </c>
      <c r="E64" s="336">
        <f>E46*Inputs!$H52</f>
        <v>106.12944</v>
      </c>
      <c r="F64" s="336">
        <f>F46*Inputs!$H52</f>
        <v>138.39174</v>
      </c>
      <c r="G64" s="336">
        <f>G46*Inputs!$H52</f>
        <v>136.06191000000001</v>
      </c>
      <c r="H64" s="14">
        <f>H46*Inputs!$H52</f>
        <v>136.20190500000001</v>
      </c>
      <c r="I64" s="14">
        <f>I46*Inputs!$H52</f>
        <v>136.073385</v>
      </c>
      <c r="J64" s="14">
        <f>J46*Inputs!$H52</f>
        <v>136.12184999999999</v>
      </c>
      <c r="K64" s="14">
        <f>K46*Inputs!$H52</f>
        <v>136.15357500000002</v>
      </c>
      <c r="L64" s="14">
        <f>L46*Inputs!$H52</f>
        <v>136.17558</v>
      </c>
      <c r="M64" s="14">
        <f>M46*Inputs!$H52</f>
        <v>136.19042999999999</v>
      </c>
      <c r="N64" s="191">
        <f>N46*Inputs!$H52</f>
        <v>136.25361000000001</v>
      </c>
      <c r="O64" s="14">
        <f>O46*Inputs!$H52</f>
        <v>136.28871000000001</v>
      </c>
      <c r="P64" s="14">
        <f>P46*Inputs!$H52</f>
        <v>136.31233500000002</v>
      </c>
      <c r="Q64" s="14">
        <f>Q46*Inputs!$H52</f>
        <v>136.32718499999999</v>
      </c>
      <c r="R64" s="14">
        <f>R46*Inputs!$H52</f>
        <v>136.33703999999997</v>
      </c>
      <c r="S64" s="14">
        <f>S46*Inputs!$H52</f>
        <v>136.34918999999999</v>
      </c>
      <c r="T64" s="14">
        <f>T46*Inputs!$H52</f>
        <v>136.3554</v>
      </c>
      <c r="U64" s="14">
        <f>U46*Inputs!$H52</f>
        <v>136.35701999999998</v>
      </c>
      <c r="V64" s="14">
        <f>V46*Inputs!$H52</f>
        <v>136.35594</v>
      </c>
      <c r="W64" s="14">
        <f>W46*Inputs!$H52</f>
        <v>136.34379000000001</v>
      </c>
      <c r="X64" s="188">
        <f>X46*Inputs!$H52</f>
        <v>136.33731</v>
      </c>
      <c r="Y64" s="14">
        <f>Y46*Inputs!$H52</f>
        <v>136.33177499999999</v>
      </c>
      <c r="Z64" s="14">
        <f>Z46*Inputs!$H52</f>
        <v>136.32421500000001</v>
      </c>
      <c r="AA64" s="14">
        <f>AA46*Inputs!$H52</f>
        <v>136.28951999999998</v>
      </c>
      <c r="AB64" s="14">
        <f>AB46*Inputs!$H52</f>
        <v>136.25131499999998</v>
      </c>
      <c r="AC64" s="14">
        <f>AC46*Inputs!$H52</f>
        <v>136.211895</v>
      </c>
      <c r="AD64" s="14">
        <f>AD46*Inputs!$H52</f>
        <v>136.17477</v>
      </c>
      <c r="AE64" s="14">
        <f>AE46*Inputs!$H52</f>
        <v>136.11969000000002</v>
      </c>
      <c r="AF64" s="14">
        <f>AF46*Inputs!$H52</f>
        <v>136.06569000000002</v>
      </c>
      <c r="AG64" s="14">
        <f>AG46*Inputs!$H52</f>
        <v>136.01627999999999</v>
      </c>
      <c r="AH64" s="14">
        <f>AH46*Inputs!$H52</f>
        <v>135.968625</v>
      </c>
    </row>
    <row r="65" spans="1:34" ht="15">
      <c r="A65" s="8" t="s">
        <v>343</v>
      </c>
      <c r="B65" s="34">
        <v>1</v>
      </c>
      <c r="C65" s="336">
        <f>C47*Inputs!$H54</f>
        <v>0</v>
      </c>
      <c r="D65" s="336">
        <f>D47*Inputs!$H54</f>
        <v>0</v>
      </c>
      <c r="E65" s="336">
        <f>E47*Inputs!$H54</f>
        <v>0.113049</v>
      </c>
      <c r="F65" s="336">
        <f>F47*Inputs!$H54</f>
        <v>0.18414900000000001</v>
      </c>
      <c r="G65" s="336">
        <f>G47*Inputs!$H54</f>
        <v>0.31212899999999999</v>
      </c>
      <c r="H65" s="14">
        <f>H47*Inputs!$H54</f>
        <v>0.48348000000000002</v>
      </c>
      <c r="I65" s="14">
        <f>I47*Inputs!$H54</f>
        <v>0.75010500000000002</v>
      </c>
      <c r="J65" s="14">
        <f>J47*Inputs!$H54</f>
        <v>1.0601010000000002</v>
      </c>
      <c r="K65" s="14">
        <f>K47*Inputs!$H54</f>
        <v>1.0622340000000001</v>
      </c>
      <c r="L65" s="14">
        <f>L47*Inputs!$H54</f>
        <v>1.0643670000000001</v>
      </c>
      <c r="M65" s="14">
        <f>M47*Inputs!$H54</f>
        <v>1.0693440000000003</v>
      </c>
      <c r="N65" s="191">
        <f>N47*Inputs!$H54</f>
        <v>1.0828530000000001</v>
      </c>
      <c r="O65" s="14">
        <f>O47*Inputs!$H54</f>
        <v>1.1048940000000003</v>
      </c>
      <c r="P65" s="14">
        <f>P47*Inputs!$H54</f>
        <v>1.1312010000000001</v>
      </c>
      <c r="Q65" s="14">
        <f>Q47*Inputs!$H54</f>
        <v>1.162485</v>
      </c>
      <c r="R65" s="14">
        <f>R47*Inputs!$H54</f>
        <v>1.1987460000000001</v>
      </c>
      <c r="S65" s="14">
        <f>S47*Inputs!$H54</f>
        <v>1.248516</v>
      </c>
      <c r="T65" s="14">
        <f>T47*Inputs!$H54</f>
        <v>1.3011300000000001</v>
      </c>
      <c r="U65" s="14">
        <f>U47*Inputs!$H54</f>
        <v>1.3565880000000001</v>
      </c>
      <c r="V65" s="14">
        <f>V47*Inputs!$H54</f>
        <v>1.4134679999999999</v>
      </c>
      <c r="W65" s="14">
        <f>W47*Inputs!$H54</f>
        <v>1.47177</v>
      </c>
      <c r="X65" s="188">
        <f>X47*Inputs!$H54</f>
        <v>1.532205</v>
      </c>
      <c r="Y65" s="14">
        <f>Y47*Inputs!$H54</f>
        <v>1.594773</v>
      </c>
      <c r="Z65" s="14">
        <f>Z47*Inputs!$H54</f>
        <v>1.6608959999999999</v>
      </c>
      <c r="AA65" s="14">
        <f>AA47*Inputs!$H54</f>
        <v>1.7305740000000003</v>
      </c>
      <c r="AB65" s="14">
        <f>AB47*Inputs!$H54</f>
        <v>1.806651</v>
      </c>
      <c r="AC65" s="14">
        <f>AC47*Inputs!$H54</f>
        <v>1.890549</v>
      </c>
      <c r="AD65" s="14">
        <f>AD47*Inputs!$H54</f>
        <v>1.981557</v>
      </c>
      <c r="AE65" s="14">
        <f>AE47*Inputs!$H54</f>
        <v>2.0768309999999999</v>
      </c>
      <c r="AF65" s="14">
        <f>AF47*Inputs!$H54</f>
        <v>2.1756599999999997</v>
      </c>
      <c r="AG65" s="14">
        <f>AG47*Inputs!$H54</f>
        <v>2.2787550000000003</v>
      </c>
      <c r="AH65" s="14">
        <f>AH47*Inputs!$H54</f>
        <v>239.20386300000004</v>
      </c>
    </row>
    <row r="66" spans="1:34" ht="15">
      <c r="A66" s="8" t="s">
        <v>344</v>
      </c>
      <c r="B66" s="34">
        <v>1</v>
      </c>
      <c r="C66" s="336">
        <f>C48*Inputs!$H55</f>
        <v>0</v>
      </c>
      <c r="D66" s="336">
        <f>D48*Inputs!$H55</f>
        <v>0</v>
      </c>
      <c r="E66" s="336">
        <f>E48*Inputs!$H55</f>
        <v>2.0700000000000003E-2</v>
      </c>
      <c r="F66" s="336">
        <f>F48*Inputs!$H55</f>
        <v>2.0700000000000003E-2</v>
      </c>
      <c r="G66" s="336">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1">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8">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340</v>
      </c>
      <c r="B67" s="34">
        <v>1</v>
      </c>
      <c r="C67" s="336">
        <f>C49*Inputs!$H51</f>
        <v>2.4300000000000001E-5</v>
      </c>
      <c r="D67" s="336">
        <f>D49*Inputs!$H51</f>
        <v>2.4300000000000001E-5</v>
      </c>
      <c r="E67" s="336">
        <f>E49*Inputs!$H51</f>
        <v>2.4300000000000001E-5</v>
      </c>
      <c r="F67" s="336">
        <f>F49*Inputs!$H51</f>
        <v>2.4300000000000001E-5</v>
      </c>
      <c r="G67" s="336">
        <f>G49*Inputs!$H51</f>
        <v>2.4300000000000001E-5</v>
      </c>
      <c r="H67" s="14">
        <f>H49*Inputs!$H51</f>
        <v>2.4300000000000001E-5</v>
      </c>
      <c r="I67" s="14">
        <f>I49*Inputs!$H51</f>
        <v>2.4300000000000001E-5</v>
      </c>
      <c r="J67" s="14">
        <f>J49*Inputs!$H51</f>
        <v>2.4300000000000001E-5</v>
      </c>
      <c r="K67" s="14">
        <f>K49*Inputs!$H51</f>
        <v>2.4300000000000001E-5</v>
      </c>
      <c r="L67" s="14">
        <f>L49*Inputs!$H51</f>
        <v>2.4300000000000001E-5</v>
      </c>
      <c r="M67" s="14">
        <f>M49*Inputs!$H51</f>
        <v>2.4300000000000001E-5</v>
      </c>
      <c r="N67" s="191">
        <f>N49*Inputs!$H51</f>
        <v>2.4300000000000001E-5</v>
      </c>
      <c r="O67" s="14">
        <f>O49*Inputs!$H51</f>
        <v>2.4300000000000001E-5</v>
      </c>
      <c r="P67" s="14">
        <f>P49*Inputs!$H51</f>
        <v>2.4300000000000001E-5</v>
      </c>
      <c r="Q67" s="14">
        <f>Q49*Inputs!$H51</f>
        <v>2.4300000000000001E-5</v>
      </c>
      <c r="R67" s="14">
        <f>R49*Inputs!$H51</f>
        <v>2.4300000000000001E-5</v>
      </c>
      <c r="S67" s="14">
        <f>S49*Inputs!$H51</f>
        <v>2.4300000000000001E-5</v>
      </c>
      <c r="T67" s="14">
        <f>T49*Inputs!$H51</f>
        <v>2.4300000000000001E-5</v>
      </c>
      <c r="U67" s="14">
        <f>U49*Inputs!$H51</f>
        <v>2.4300000000000001E-5</v>
      </c>
      <c r="V67" s="14">
        <f>V49*Inputs!$H51</f>
        <v>2.4300000000000001E-5</v>
      </c>
      <c r="W67" s="14">
        <f>W49*Inputs!$H51</f>
        <v>2.4300000000000001E-5</v>
      </c>
      <c r="X67" s="188">
        <f>X49*Inputs!$H51</f>
        <v>2.4300000000000001E-5</v>
      </c>
      <c r="Y67" s="14">
        <f>Y49*Inputs!$H51</f>
        <v>2.4300000000000001E-5</v>
      </c>
      <c r="Z67" s="14">
        <f>Z49*Inputs!$H51</f>
        <v>2.4300000000000001E-5</v>
      </c>
      <c r="AA67" s="14">
        <f>AA49*Inputs!$H51</f>
        <v>2.4300000000000001E-5</v>
      </c>
      <c r="AB67" s="14">
        <f>AB49*Inputs!$H51</f>
        <v>2.4300000000000001E-5</v>
      </c>
      <c r="AC67" s="14">
        <f>AC49*Inputs!$H51</f>
        <v>2.4300000000000001E-5</v>
      </c>
      <c r="AD67" s="14">
        <f>AD49*Inputs!$H51</f>
        <v>2.4300000000000001E-5</v>
      </c>
      <c r="AE67" s="14">
        <f>AE49*Inputs!$H51</f>
        <v>2.4300000000000001E-5</v>
      </c>
      <c r="AF67" s="14">
        <f>AF49*Inputs!$H51</f>
        <v>2.4300000000000001E-5</v>
      </c>
      <c r="AG67" s="14">
        <f>AG49*Inputs!$H51</f>
        <v>2.4300000000000001E-5</v>
      </c>
      <c r="AH67" s="14">
        <f>AH49*Inputs!$H51</f>
        <v>2.4300000000000001E-5</v>
      </c>
    </row>
    <row r="68" spans="1:34" ht="15">
      <c r="A68" s="8" t="s">
        <v>53</v>
      </c>
      <c r="B68" s="34">
        <v>1</v>
      </c>
      <c r="C68" s="336">
        <f>C50*Inputs!$H57</f>
        <v>45.900000000000006</v>
      </c>
      <c r="D68" s="336">
        <f>D50*Inputs!$H57</f>
        <v>55.080000000000005</v>
      </c>
      <c r="E68" s="336">
        <f>E50*Inputs!$H57</f>
        <v>70.171614000000005</v>
      </c>
      <c r="F68" s="336">
        <f>F50*Inputs!$H57</f>
        <v>169.31561399999998</v>
      </c>
      <c r="G68" s="336">
        <f>G50*Inputs!$H57</f>
        <v>350.74362600000001</v>
      </c>
      <c r="H68" s="14">
        <f>H50*Inputs!$H57</f>
        <v>387.660843</v>
      </c>
      <c r="I68" s="14">
        <f>I50*Inputs!$H57</f>
        <v>834.46108200000003</v>
      </c>
      <c r="J68" s="14">
        <f>J50*Inputs!$H57</f>
        <v>1132.3048050000002</v>
      </c>
      <c r="K68" s="14">
        <f>K50*Inputs!$H57</f>
        <v>1132.3066410000001</v>
      </c>
      <c r="L68" s="14">
        <f>L50*Inputs!$H57</f>
        <v>1132.1840880000002</v>
      </c>
      <c r="M68" s="14">
        <f>M50*Inputs!$H57</f>
        <v>1132.3149030000002</v>
      </c>
      <c r="N68" s="191">
        <f>N50*Inputs!$H57</f>
        <v>1132.2212670000001</v>
      </c>
      <c r="O68" s="14">
        <f>O50*Inputs!$H57</f>
        <v>1132.3271430000002</v>
      </c>
      <c r="P68" s="14">
        <f>P50*Inputs!$H57</f>
        <v>1132.708419</v>
      </c>
      <c r="Q68" s="14">
        <f>Q50*Inputs!$H57</f>
        <v>1132.6836330000001</v>
      </c>
      <c r="R68" s="14">
        <f>R50*Inputs!$H57</f>
        <v>1132.6836330000001</v>
      </c>
      <c r="S68" s="14">
        <f>S50*Inputs!$H57</f>
        <v>1132.707654</v>
      </c>
      <c r="T68" s="14">
        <f>T50*Inputs!$H57</f>
        <v>1132.1871480000002</v>
      </c>
      <c r="U68" s="14">
        <f>U50*Inputs!$H57</f>
        <v>1132.1651160000001</v>
      </c>
      <c r="V68" s="14">
        <f>V50*Inputs!$H57</f>
        <v>1132.7160690000003</v>
      </c>
      <c r="W68" s="14">
        <f>W50*Inputs!$H57</f>
        <v>1132.1720010000001</v>
      </c>
      <c r="X68" s="188">
        <f>X50*Inputs!$H57</f>
        <v>1133.0027910000001</v>
      </c>
      <c r="Y68" s="14">
        <f>Y50*Inputs!$H57</f>
        <v>1132.954596</v>
      </c>
      <c r="Z68" s="14">
        <f>Z50*Inputs!$H57</f>
        <v>1132.537824</v>
      </c>
      <c r="AA68" s="14">
        <f>AA50*Inputs!$H57</f>
        <v>1136.0305080000001</v>
      </c>
      <c r="AB68" s="14">
        <f>AB50*Inputs!$H57</f>
        <v>1138.4815680000002</v>
      </c>
      <c r="AC68" s="14">
        <f>AC50*Inputs!$H57</f>
        <v>1138.3784459999999</v>
      </c>
      <c r="AD68" s="14">
        <f>AD50*Inputs!$H57</f>
        <v>1138.504365</v>
      </c>
      <c r="AE68" s="14">
        <f>AE50*Inputs!$H57</f>
        <v>1141.9898579999999</v>
      </c>
      <c r="AF68" s="14">
        <f>AF50*Inputs!$H57</f>
        <v>1143.7357410000002</v>
      </c>
      <c r="AG68" s="14">
        <f>AG50*Inputs!$H57</f>
        <v>1148.1588179999999</v>
      </c>
      <c r="AH68" s="14">
        <f>AH50*Inputs!$H57</f>
        <v>1155.0398400000004</v>
      </c>
    </row>
    <row r="69" spans="1:34" s="20" customFormat="1" ht="15">
      <c r="A69" s="8" t="s">
        <v>127</v>
      </c>
      <c r="B69" s="38"/>
      <c r="C69" s="339">
        <f t="shared" ref="C69:AH69" si="25">SUMPRODUCT($B60:$B68,C60:C68)</f>
        <v>439.25852429999998</v>
      </c>
      <c r="D69" s="339">
        <f t="shared" si="25"/>
        <v>478.05752429999995</v>
      </c>
      <c r="E69" s="339">
        <f t="shared" si="25"/>
        <v>347.42313630000001</v>
      </c>
      <c r="F69" s="339">
        <f t="shared" si="25"/>
        <v>458.68471829999993</v>
      </c>
      <c r="G69" s="339">
        <f t="shared" si="25"/>
        <v>662.42569230000004</v>
      </c>
      <c r="H69" s="19">
        <f t="shared" si="25"/>
        <v>700.09405830000003</v>
      </c>
      <c r="I69" s="19">
        <f t="shared" si="25"/>
        <v>1144.1813373</v>
      </c>
      <c r="J69" s="19">
        <f t="shared" si="25"/>
        <v>1441.6989633000003</v>
      </c>
      <c r="K69" s="19">
        <f t="shared" si="25"/>
        <v>1445.0682393000002</v>
      </c>
      <c r="L69" s="19">
        <f t="shared" si="25"/>
        <v>1440.3070053000001</v>
      </c>
      <c r="M69" s="19">
        <f t="shared" si="25"/>
        <v>1463.5755603000002</v>
      </c>
      <c r="N69" s="191">
        <f t="shared" si="25"/>
        <v>1465.0715583000001</v>
      </c>
      <c r="O69" s="19">
        <f t="shared" si="25"/>
        <v>1479.7622493000001</v>
      </c>
      <c r="P69" s="19">
        <f t="shared" si="25"/>
        <v>1480.5971613000002</v>
      </c>
      <c r="Q69" s="19">
        <f t="shared" si="25"/>
        <v>1475.9607933000002</v>
      </c>
      <c r="R69" s="19">
        <f t="shared" si="25"/>
        <v>1484.5100193000001</v>
      </c>
      <c r="S69" s="19">
        <f t="shared" si="25"/>
        <v>1484.8853193</v>
      </c>
      <c r="T69" s="19">
        <f t="shared" si="25"/>
        <v>1481.3397243000002</v>
      </c>
      <c r="U69" s="19">
        <f t="shared" si="25"/>
        <v>1476.3736413000001</v>
      </c>
      <c r="V69" s="19">
        <f t="shared" si="25"/>
        <v>1479.1903713000004</v>
      </c>
      <c r="W69" s="19">
        <f t="shared" si="25"/>
        <v>1484.1452943000002</v>
      </c>
      <c r="X69" s="183">
        <f t="shared" si="25"/>
        <v>1542.2904243</v>
      </c>
      <c r="Y69" s="19">
        <f t="shared" si="25"/>
        <v>1577.8985462999999</v>
      </c>
      <c r="Z69" s="19">
        <f t="shared" si="25"/>
        <v>1589.9848532999999</v>
      </c>
      <c r="AA69" s="19">
        <f t="shared" si="25"/>
        <v>1593.3426093</v>
      </c>
      <c r="AB69" s="19">
        <f t="shared" si="25"/>
        <v>1595.7298593</v>
      </c>
      <c r="AC69" s="19">
        <f t="shared" si="25"/>
        <v>1595.4969572999998</v>
      </c>
      <c r="AD69" s="19">
        <f t="shared" si="25"/>
        <v>1595.7646442999999</v>
      </c>
      <c r="AE69" s="19">
        <f t="shared" si="25"/>
        <v>1599.1680483</v>
      </c>
      <c r="AF69" s="19">
        <f t="shared" si="25"/>
        <v>1600.8383673000003</v>
      </c>
      <c r="AG69" s="19">
        <f t="shared" si="25"/>
        <v>1605.8465972999998</v>
      </c>
      <c r="AH69" s="19">
        <f t="shared" si="25"/>
        <v>1849.5084933000003</v>
      </c>
    </row>
    <row r="70" spans="1:34" s="20" customFormat="1" ht="15">
      <c r="A70" s="27" t="s">
        <v>326</v>
      </c>
      <c r="B70" s="39"/>
      <c r="C70" s="339">
        <f>SUM(C58:C68)</f>
        <v>3377.7045108000007</v>
      </c>
      <c r="D70" s="339">
        <f t="shared" ref="D70:AH70" si="26">SUM(D58:D68)</f>
        <v>4379.6925108000005</v>
      </c>
      <c r="E70" s="339">
        <f t="shared" si="26"/>
        <v>2375.8777728</v>
      </c>
      <c r="F70" s="339">
        <f t="shared" si="26"/>
        <v>1821.7924398</v>
      </c>
      <c r="G70" s="339">
        <f t="shared" si="26"/>
        <v>2431.2278808000005</v>
      </c>
      <c r="H70" s="19">
        <f t="shared" si="26"/>
        <v>2478.8130318000003</v>
      </c>
      <c r="I70" s="19">
        <f t="shared" si="26"/>
        <v>2985.7813398000008</v>
      </c>
      <c r="J70" s="19">
        <f t="shared" si="26"/>
        <v>3308.7829158000004</v>
      </c>
      <c r="K70" s="19">
        <f t="shared" si="26"/>
        <v>3321.4726188</v>
      </c>
      <c r="L70" s="19">
        <f t="shared" si="26"/>
        <v>3325.2284808000004</v>
      </c>
      <c r="M70" s="19">
        <f t="shared" si="26"/>
        <v>3348.4973058000005</v>
      </c>
      <c r="N70" s="183">
        <f t="shared" si="26"/>
        <v>3349.9930338000004</v>
      </c>
      <c r="O70" s="19">
        <f t="shared" si="26"/>
        <v>3364.6837248000002</v>
      </c>
      <c r="P70" s="19">
        <f t="shared" si="26"/>
        <v>3365.5186368000004</v>
      </c>
      <c r="Q70" s="19">
        <f t="shared" si="26"/>
        <v>3360.8821428000006</v>
      </c>
      <c r="R70" s="19">
        <f t="shared" si="26"/>
        <v>3369.4314948000001</v>
      </c>
      <c r="S70" s="19">
        <f t="shared" si="26"/>
        <v>3369.8067947999998</v>
      </c>
      <c r="T70" s="19">
        <f t="shared" si="26"/>
        <v>3366.2611998000002</v>
      </c>
      <c r="U70" s="19">
        <f t="shared" si="26"/>
        <v>3361.2951168000004</v>
      </c>
      <c r="V70" s="19">
        <f t="shared" si="26"/>
        <v>3364.1117208000005</v>
      </c>
      <c r="W70" s="19">
        <f t="shared" si="26"/>
        <v>3369.0666438000007</v>
      </c>
      <c r="X70" s="183">
        <f t="shared" si="26"/>
        <v>3427.2118997999996</v>
      </c>
      <c r="Y70" s="19">
        <f t="shared" si="26"/>
        <v>3462.8198958000003</v>
      </c>
      <c r="Z70" s="19">
        <f t="shared" si="26"/>
        <v>3474.9063288000002</v>
      </c>
      <c r="AA70" s="19">
        <f t="shared" si="26"/>
        <v>3478.2640848000001</v>
      </c>
      <c r="AB70" s="19">
        <f t="shared" si="26"/>
        <v>3480.6513347999999</v>
      </c>
      <c r="AC70" s="19">
        <f t="shared" si="26"/>
        <v>3480.4184328000001</v>
      </c>
      <c r="AD70" s="19">
        <f t="shared" si="26"/>
        <v>3480.6861198000006</v>
      </c>
      <c r="AE70" s="19">
        <f t="shared" si="26"/>
        <v>3484.0895237999998</v>
      </c>
      <c r="AF70" s="19">
        <f t="shared" si="26"/>
        <v>3485.7598428000001</v>
      </c>
      <c r="AG70" s="19">
        <f t="shared" si="26"/>
        <v>3490.7680727999996</v>
      </c>
      <c r="AH70" s="19">
        <f t="shared" si="26"/>
        <v>3734.4299688000006</v>
      </c>
    </row>
    <row r="71" spans="1:34" s="20" customFormat="1" ht="15">
      <c r="A71" s="27" t="s">
        <v>141</v>
      </c>
      <c r="B71" s="39"/>
      <c r="C71" s="339">
        <f>C53*Inputs!$H$60</f>
        <v>6617.9520000000002</v>
      </c>
      <c r="D71" s="339">
        <f>D53*Inputs!$H$60</f>
        <v>6494.7959999999994</v>
      </c>
      <c r="E71" s="339">
        <f>E53*Inputs!$H$60</f>
        <v>5534.1885060000004</v>
      </c>
      <c r="F71" s="339">
        <f>F53*Inputs!$H$60</f>
        <v>5009.6607660000009</v>
      </c>
      <c r="G71" s="339">
        <f>G53*Inputs!$H$60</f>
        <v>5663.8854360000005</v>
      </c>
      <c r="H71" s="19">
        <f>H53*Inputs!$H$60</f>
        <v>5739.2457209999993</v>
      </c>
      <c r="I71" s="19">
        <f>I53*Inputs!$H$60</f>
        <v>5884.7293890000001</v>
      </c>
      <c r="J71" s="19">
        <f>J53*Inputs!$H$60</f>
        <v>4096.8044370000007</v>
      </c>
      <c r="K71" s="19">
        <f>K53*Inputs!$H$60</f>
        <v>3754.2595859999997</v>
      </c>
      <c r="L71" s="19">
        <f>L53*Inputs!$H$60</f>
        <v>3826.6378920000002</v>
      </c>
      <c r="M71" s="19">
        <f>M53*Inputs!$H$60</f>
        <v>3843.4982850000001</v>
      </c>
      <c r="N71" s="191">
        <f>N53*Inputs!$H$60</f>
        <v>3870.0852299999997</v>
      </c>
      <c r="O71" s="19">
        <f>O53*Inputs!$H$60</f>
        <v>3779.9435520000002</v>
      </c>
      <c r="P71" s="19">
        <f>P53*Inputs!$H$60</f>
        <v>3801.3353729999999</v>
      </c>
      <c r="Q71" s="19">
        <f>Q53*Inputs!$H$60</f>
        <v>3823.2473399999999</v>
      </c>
      <c r="R71" s="19">
        <f>R53*Inputs!$H$60</f>
        <v>3929.2090200000002</v>
      </c>
      <c r="S71" s="19">
        <f>S53*Inputs!$H$60</f>
        <v>4056.3054179999999</v>
      </c>
      <c r="T71" s="19">
        <f>T53*Inputs!$H$60</f>
        <v>4086.3290489999999</v>
      </c>
      <c r="U71" s="19">
        <f>U53*Inputs!$H$60</f>
        <v>4117.1301270000004</v>
      </c>
      <c r="V71" s="19">
        <f>V53*Inputs!$H$60</f>
        <v>4115.5757280000007</v>
      </c>
      <c r="W71" s="19">
        <f>W53*Inputs!$H$60</f>
        <v>4110.1650810000001</v>
      </c>
      <c r="X71" s="183">
        <f>X53*Inputs!$H$60</f>
        <v>4078.5387390000001</v>
      </c>
      <c r="Y71" s="19">
        <f>Y53*Inputs!$H$60</f>
        <v>4057.1423640000007</v>
      </c>
      <c r="Z71" s="19">
        <f>Z53*Inputs!$H$60</f>
        <v>4047.8247810000003</v>
      </c>
      <c r="AA71" s="19">
        <f>AA53*Inputs!$H$60</f>
        <v>4044.1774230000005</v>
      </c>
      <c r="AB71" s="19">
        <f>AB53*Inputs!$H$60</f>
        <v>4040.711334000001</v>
      </c>
      <c r="AC71" s="19">
        <f>AC53*Inputs!$H$60</f>
        <v>4037.2904880000001</v>
      </c>
      <c r="AD71" s="19">
        <f>AD53*Inputs!$H$60</f>
        <v>4033.9161720000006</v>
      </c>
      <c r="AE71" s="19">
        <f>AE53*Inputs!$H$60</f>
        <v>4032.5233410000005</v>
      </c>
      <c r="AF71" s="19">
        <f>AF53*Inputs!$H$60</f>
        <v>4029.5104739999997</v>
      </c>
      <c r="AG71" s="19">
        <f>AG53*Inputs!$H$60</f>
        <v>4026.1610069999997</v>
      </c>
      <c r="AH71" s="19">
        <f>AH53*Inputs!$H$60</f>
        <v>4022.9717219999998</v>
      </c>
    </row>
    <row r="72" spans="1:34" s="20" customFormat="1" ht="15">
      <c r="A72" s="27" t="s">
        <v>221</v>
      </c>
      <c r="B72" s="39"/>
      <c r="C72" s="339">
        <f>C54*Inputs!$H$61</f>
        <v>833.58</v>
      </c>
      <c r="D72" s="339">
        <f>D54*Inputs!$H$61</f>
        <v>1212.6510000000001</v>
      </c>
      <c r="E72" s="339">
        <f>E54*Inputs!$H$61</f>
        <v>1242.861345</v>
      </c>
      <c r="F72" s="339">
        <f>F54*Inputs!$H$61</f>
        <v>2088.6352739999998</v>
      </c>
      <c r="G72" s="339">
        <f>G54*Inputs!$H$61</f>
        <v>1629.1120229999999</v>
      </c>
      <c r="H72" s="19">
        <f>H54*Inputs!$H$61</f>
        <v>2046.390588</v>
      </c>
      <c r="I72" s="19">
        <f>I54*Inputs!$H$61</f>
        <v>1969.163955</v>
      </c>
      <c r="J72" s="19">
        <f>J54*Inputs!$H$61</f>
        <v>3411.2778480000002</v>
      </c>
      <c r="K72" s="19">
        <f>K54*Inputs!$H$61</f>
        <v>3490.1601569999998</v>
      </c>
      <c r="L72" s="19">
        <f>L54*Inputs!$H$61</f>
        <v>3465.532917</v>
      </c>
      <c r="M72" s="19">
        <f>M54*Inputs!$H$61</f>
        <v>3471.0511769999998</v>
      </c>
      <c r="N72" s="191">
        <f>N54*Inputs!$H$61</f>
        <v>3498.8160240000002</v>
      </c>
      <c r="O72" s="19">
        <f>O54*Inputs!$H$61</f>
        <v>3475.785852</v>
      </c>
      <c r="P72" s="19">
        <f>P54*Inputs!$H$61</f>
        <v>3610.7415629999996</v>
      </c>
      <c r="Q72" s="19">
        <f>Q54*Inputs!$H$61</f>
        <v>3606.7932449999998</v>
      </c>
      <c r="R72" s="19">
        <f>R54*Inputs!$H$61</f>
        <v>3587.5566540000004</v>
      </c>
      <c r="S72" s="19">
        <f>S54*Inputs!$H$61</f>
        <v>3552.9498179999996</v>
      </c>
      <c r="T72" s="19">
        <f>T54*Inputs!$H$61</f>
        <v>3695.4791279999999</v>
      </c>
      <c r="U72" s="19">
        <f>U54*Inputs!$H$61</f>
        <v>3761.0328690000001</v>
      </c>
      <c r="V72" s="19">
        <f>V54*Inputs!$H$61</f>
        <v>3936.4886880000004</v>
      </c>
      <c r="W72" s="19">
        <f>W54*Inputs!$H$61</f>
        <v>3994.9066080000007</v>
      </c>
      <c r="X72" s="183">
        <f>X54*Inputs!$H$61</f>
        <v>4039.8310259999994</v>
      </c>
      <c r="Y72" s="19">
        <f>Y54*Inputs!$H$61</f>
        <v>4072.9970160000007</v>
      </c>
      <c r="Z72" s="19">
        <f>Z54*Inputs!$H$61</f>
        <v>3889.6730730000004</v>
      </c>
      <c r="AA72" s="19">
        <f>AA54*Inputs!$H$61</f>
        <v>3917.6210700000001</v>
      </c>
      <c r="AB72" s="19">
        <f>AB54*Inputs!$H$61</f>
        <v>3892.0975830000007</v>
      </c>
      <c r="AC72" s="19">
        <f>AC54*Inputs!$H$61</f>
        <v>3928.2463440000006</v>
      </c>
      <c r="AD72" s="19">
        <f>AD54*Inputs!$H$61</f>
        <v>3955.4239229999998</v>
      </c>
      <c r="AE72" s="19">
        <f>AE54*Inputs!$H$61</f>
        <v>3915.9903420000001</v>
      </c>
      <c r="AF72" s="19">
        <f>AF54*Inputs!$H$61</f>
        <v>4068.1679940000013</v>
      </c>
      <c r="AG72" s="19">
        <f>AG54*Inputs!$H$61</f>
        <v>4084.3768680000003</v>
      </c>
      <c r="AH72" s="19">
        <f>AH54*Inputs!$H$61</f>
        <v>4166.6554710000009</v>
      </c>
    </row>
    <row r="73" spans="1:34" ht="15">
      <c r="A73" s="27" t="s">
        <v>58</v>
      </c>
      <c r="C73" s="336">
        <f>SUM(C70:C72)</f>
        <v>10829.236510800001</v>
      </c>
      <c r="D73" s="336">
        <f t="shared" ref="D73:AH73" si="27">SUM(D70:D72)</f>
        <v>12087.1395108</v>
      </c>
      <c r="E73" s="336">
        <f t="shared" si="27"/>
        <v>9152.9276238000002</v>
      </c>
      <c r="F73" s="336">
        <f t="shared" si="27"/>
        <v>8920.0884798000006</v>
      </c>
      <c r="G73" s="336">
        <f t="shared" si="27"/>
        <v>9724.2253398000012</v>
      </c>
      <c r="H73" s="14">
        <f t="shared" si="27"/>
        <v>10264.4493408</v>
      </c>
      <c r="I73" s="14">
        <f t="shared" si="27"/>
        <v>10839.6746838</v>
      </c>
      <c r="J73" s="14">
        <f t="shared" si="27"/>
        <v>10816.865200800001</v>
      </c>
      <c r="K73" s="14">
        <f t="shared" si="27"/>
        <v>10565.892361799999</v>
      </c>
      <c r="L73" s="14">
        <f t="shared" si="27"/>
        <v>10617.399289800001</v>
      </c>
      <c r="M73" s="14">
        <f t="shared" si="27"/>
        <v>10663.0467678</v>
      </c>
      <c r="N73" s="191">
        <f t="shared" si="27"/>
        <v>10718.8942878</v>
      </c>
      <c r="O73" s="14">
        <f t="shared" si="27"/>
        <v>10620.413128799999</v>
      </c>
      <c r="P73" s="14">
        <f t="shared" si="27"/>
        <v>10777.595572800001</v>
      </c>
      <c r="Q73" s="14">
        <f t="shared" si="27"/>
        <v>10790.9227278</v>
      </c>
      <c r="R73" s="14">
        <f t="shared" si="27"/>
        <v>10886.197168800001</v>
      </c>
      <c r="S73" s="14">
        <f t="shared" si="27"/>
        <v>10979.0620308</v>
      </c>
      <c r="T73" s="14">
        <f t="shared" si="27"/>
        <v>11148.0693768</v>
      </c>
      <c r="U73" s="14">
        <f t="shared" si="27"/>
        <v>11239.458112800001</v>
      </c>
      <c r="V73" s="14">
        <f t="shared" si="27"/>
        <v>11416.176136800001</v>
      </c>
      <c r="W73" s="14">
        <f t="shared" si="27"/>
        <v>11474.138332800001</v>
      </c>
      <c r="X73" s="188">
        <f t="shared" si="27"/>
        <v>11545.5816648</v>
      </c>
      <c r="Y73" s="14">
        <f t="shared" si="27"/>
        <v>11592.959275800002</v>
      </c>
      <c r="Z73" s="14">
        <f t="shared" si="27"/>
        <v>11412.404182800001</v>
      </c>
      <c r="AA73" s="14">
        <f t="shared" si="27"/>
        <v>11440.062577799999</v>
      </c>
      <c r="AB73" s="14">
        <f t="shared" si="27"/>
        <v>11413.460251800001</v>
      </c>
      <c r="AC73" s="14">
        <f t="shared" si="27"/>
        <v>11445.955264800001</v>
      </c>
      <c r="AD73" s="14">
        <f t="shared" si="27"/>
        <v>11470.026214800002</v>
      </c>
      <c r="AE73" s="14">
        <f t="shared" si="27"/>
        <v>11432.6032068</v>
      </c>
      <c r="AF73" s="14">
        <f t="shared" si="27"/>
        <v>11583.4383108</v>
      </c>
      <c r="AG73" s="14">
        <f t="shared" si="27"/>
        <v>11601.3059478</v>
      </c>
      <c r="AH73" s="14">
        <f t="shared" si="27"/>
        <v>11924.057161800001</v>
      </c>
    </row>
    <row r="75" spans="1:34">
      <c r="B75" s="89"/>
      <c r="H75" s="89"/>
      <c r="I75" s="89"/>
      <c r="J75" s="89"/>
      <c r="K75" s="89"/>
      <c r="L75" s="89"/>
      <c r="M75" s="89"/>
      <c r="N75" s="191"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188</v>
      </c>
      <c r="B77" s="33"/>
    </row>
    <row r="78" spans="1:34" hidden="1">
      <c r="A78" t="s">
        <v>189</v>
      </c>
      <c r="B78" s="33"/>
      <c r="C78" s="340">
        <f>'backup - EIA liq_fuelS_aeo2014'!E46</f>
        <v>273.77869168296451</v>
      </c>
      <c r="D78" s="340">
        <f>'backup - EIA liq_fuelS_aeo2014'!F46</f>
        <v>330.59007454663532</v>
      </c>
      <c r="E78" s="340">
        <f>'backup - EIA liq_fuelS_aeo2014'!G46</f>
        <v>346.41273999999999</v>
      </c>
      <c r="F78" s="340">
        <f>'backup - EIA liq_fuelS_aeo2014'!H46</f>
        <v>332.23648773503913</v>
      </c>
      <c r="G78" s="34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6">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7">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5" t="e">
        <f>C78*Inputs!$C58</f>
        <v>#REF!</v>
      </c>
      <c r="D83" s="335" t="e">
        <f>D78*Inputs!$C58</f>
        <v>#REF!</v>
      </c>
      <c r="E83" s="335" t="e">
        <f>E78*Inputs!$C58</f>
        <v>#REF!</v>
      </c>
      <c r="F83" s="335" t="e">
        <f>F78*Inputs!$C58</f>
        <v>#REF!</v>
      </c>
      <c r="G83" s="335" t="e">
        <f>G78*Inputs!$C58</f>
        <v>#REF!</v>
      </c>
      <c r="H83" s="50" t="e">
        <f>H78*Inputs!$C58</f>
        <v>#REF!</v>
      </c>
      <c r="I83" s="50" t="e">
        <f>I78*Inputs!$C58</f>
        <v>#REF!</v>
      </c>
      <c r="J83" s="50" t="e">
        <f>J78*Inputs!$C58</f>
        <v>#REF!</v>
      </c>
      <c r="K83" s="50" t="e">
        <f>K78*Inputs!$C58</f>
        <v>#REF!</v>
      </c>
      <c r="L83" s="50" t="e">
        <f>L78*Inputs!$C58</f>
        <v>#REF!</v>
      </c>
      <c r="M83" s="50" t="e">
        <f>M78*Inputs!$C58</f>
        <v>#REF!</v>
      </c>
      <c r="N83" s="394"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5"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opLeftCell="B13"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23" customWidth="1"/>
    <col min="6" max="6" width="9" style="423" customWidth="1"/>
    <col min="7" max="7" width="9.6640625" style="81" customWidth="1"/>
    <col min="8" max="8" width="10.83203125" style="423" customWidth="1"/>
    <col min="9" max="9" width="5.6640625" style="423" bestFit="1" customWidth="1"/>
    <col min="10" max="10" width="9.33203125" style="423" customWidth="1"/>
    <col min="11" max="11" width="6.5" style="423" customWidth="1"/>
    <col min="12" max="12" width="9.6640625" style="423" customWidth="1"/>
    <col min="13" max="13" width="5.6640625" style="423"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28"/>
      <c r="B1" s="528"/>
      <c r="C1" s="528"/>
      <c r="D1" s="528"/>
      <c r="E1" s="528"/>
      <c r="F1" s="528"/>
      <c r="G1" s="528"/>
      <c r="H1" s="528"/>
      <c r="I1" s="528"/>
      <c r="J1" s="528"/>
      <c r="K1" s="528"/>
      <c r="L1" s="528"/>
      <c r="M1" s="528"/>
      <c r="N1" s="528"/>
      <c r="O1" s="528"/>
      <c r="P1" s="528"/>
    </row>
    <row r="2" spans="1:16">
      <c r="A2" s="528"/>
      <c r="B2" s="528"/>
      <c r="C2" s="528"/>
      <c r="D2" s="528"/>
      <c r="E2" s="528"/>
      <c r="F2" s="528"/>
      <c r="G2" s="528"/>
      <c r="H2" s="528"/>
      <c r="I2" s="528"/>
      <c r="J2" s="528"/>
      <c r="K2" s="528"/>
      <c r="L2" s="528"/>
      <c r="M2" s="528"/>
      <c r="N2" s="528"/>
      <c r="O2" s="528"/>
      <c r="P2" s="528"/>
    </row>
    <row r="3" spans="1:16">
      <c r="A3" s="528"/>
      <c r="B3" s="528"/>
      <c r="C3" s="528"/>
      <c r="D3" s="528"/>
      <c r="E3" s="528"/>
      <c r="F3" s="528"/>
      <c r="G3" s="528"/>
      <c r="H3" s="528"/>
      <c r="I3" s="528"/>
      <c r="J3" s="528"/>
      <c r="K3" s="528"/>
      <c r="L3" s="528"/>
      <c r="M3" s="528"/>
      <c r="N3" s="528"/>
      <c r="O3" s="528"/>
      <c r="P3" s="528"/>
    </row>
    <row r="4" spans="1:16">
      <c r="A4" s="528"/>
      <c r="B4" s="528"/>
      <c r="C4" s="528"/>
      <c r="D4" s="528"/>
      <c r="E4" s="528"/>
      <c r="F4" s="528"/>
      <c r="G4" s="528"/>
      <c r="H4" s="528"/>
      <c r="I4" s="528"/>
      <c r="J4" s="528"/>
      <c r="K4" s="528"/>
      <c r="L4" s="528"/>
      <c r="M4" s="528"/>
      <c r="N4" s="528"/>
      <c r="O4" s="528"/>
      <c r="P4" s="528"/>
    </row>
    <row r="5" spans="1:16">
      <c r="A5" s="528"/>
      <c r="B5" s="528"/>
      <c r="C5" s="528"/>
      <c r="D5" s="528"/>
      <c r="E5" s="528"/>
      <c r="F5" s="528"/>
      <c r="G5" s="528"/>
      <c r="H5" s="528"/>
      <c r="I5" s="528"/>
      <c r="J5" s="528"/>
      <c r="K5" s="528"/>
      <c r="L5" s="528"/>
      <c r="M5" s="528"/>
      <c r="N5" s="528"/>
      <c r="O5" s="528"/>
      <c r="P5" s="528"/>
    </row>
    <row r="6" spans="1:16">
      <c r="A6" s="528"/>
      <c r="B6" s="528"/>
      <c r="C6" s="528"/>
      <c r="D6" s="528"/>
      <c r="E6" s="528"/>
      <c r="F6" s="528"/>
      <c r="G6" s="528"/>
      <c r="H6" s="528"/>
      <c r="I6" s="528"/>
      <c r="J6" s="528"/>
      <c r="K6" s="528"/>
      <c r="L6" s="528"/>
      <c r="M6" s="528"/>
      <c r="N6" s="528"/>
      <c r="O6" s="528"/>
      <c r="P6" s="528"/>
    </row>
    <row r="7" spans="1:16">
      <c r="A7" s="528"/>
      <c r="B7" s="528"/>
      <c r="C7" s="528"/>
      <c r="D7" s="528"/>
      <c r="E7" s="528"/>
      <c r="F7" s="528"/>
      <c r="G7" s="528"/>
      <c r="H7" s="528"/>
      <c r="I7" s="528"/>
      <c r="J7" s="528"/>
      <c r="K7" s="528"/>
      <c r="L7" s="528"/>
      <c r="M7" s="528"/>
      <c r="N7" s="528"/>
      <c r="O7" s="528"/>
      <c r="P7" s="528"/>
    </row>
    <row r="8" spans="1:16">
      <c r="A8" s="528"/>
      <c r="B8" s="528"/>
      <c r="C8" s="528"/>
      <c r="D8" s="528"/>
      <c r="E8" s="528"/>
      <c r="F8" s="528"/>
      <c r="G8" s="528"/>
      <c r="H8" s="528"/>
      <c r="I8" s="528"/>
      <c r="J8" s="528"/>
      <c r="K8" s="528"/>
      <c r="L8" s="528"/>
      <c r="M8" s="528"/>
      <c r="N8" s="528"/>
      <c r="O8" s="528"/>
      <c r="P8" s="528"/>
    </row>
    <row r="9" spans="1:16" ht="2.25" customHeight="1">
      <c r="A9" s="528"/>
      <c r="B9" s="528"/>
      <c r="C9" s="528"/>
      <c r="D9" s="528"/>
      <c r="E9" s="528"/>
      <c r="F9" s="528"/>
      <c r="G9" s="528"/>
      <c r="H9" s="528"/>
      <c r="I9" s="528"/>
      <c r="J9" s="528"/>
      <c r="K9" s="528"/>
      <c r="L9" s="528"/>
      <c r="M9" s="528"/>
      <c r="N9" s="528"/>
      <c r="O9" s="528"/>
      <c r="P9" s="528"/>
    </row>
    <row r="10" spans="1:16" ht="12" hidden="1" customHeight="1">
      <c r="A10" s="528"/>
      <c r="B10" s="528"/>
      <c r="C10" s="528"/>
      <c r="D10" s="528"/>
      <c r="E10" s="528"/>
      <c r="F10" s="528"/>
      <c r="G10" s="528"/>
      <c r="H10" s="528"/>
      <c r="I10" s="528"/>
      <c r="J10" s="528"/>
      <c r="K10" s="528"/>
      <c r="L10" s="528"/>
      <c r="M10" s="528"/>
      <c r="N10" s="528"/>
      <c r="O10" s="528"/>
      <c r="P10" s="528"/>
    </row>
    <row r="11" spans="1:16">
      <c r="A11" s="529" t="s">
        <v>211</v>
      </c>
      <c r="B11" s="531">
        <v>2000</v>
      </c>
      <c r="C11" s="533" t="s">
        <v>218</v>
      </c>
      <c r="D11" s="533" t="s">
        <v>552</v>
      </c>
      <c r="E11" s="536" t="s">
        <v>212</v>
      </c>
      <c r="F11" s="537"/>
      <c r="G11" s="531"/>
      <c r="H11" s="540" t="s">
        <v>553</v>
      </c>
      <c r="I11" s="541"/>
      <c r="J11" s="541"/>
      <c r="K11" s="541"/>
      <c r="L11" s="541"/>
      <c r="M11" s="541"/>
      <c r="N11" s="541"/>
      <c r="O11" s="542"/>
    </row>
    <row r="12" spans="1:16" ht="12" customHeight="1">
      <c r="A12" s="530"/>
      <c r="B12" s="532"/>
      <c r="C12" s="534"/>
      <c r="D12" s="534"/>
      <c r="E12" s="538"/>
      <c r="F12" s="539"/>
      <c r="G12" s="532"/>
      <c r="H12" s="539" t="s">
        <v>213</v>
      </c>
      <c r="I12" s="532"/>
      <c r="J12" s="538" t="s">
        <v>214</v>
      </c>
      <c r="K12" s="532"/>
      <c r="L12" s="538" t="s">
        <v>215</v>
      </c>
      <c r="M12" s="539"/>
      <c r="N12" s="539"/>
      <c r="O12" s="532"/>
    </row>
    <row r="13" spans="1:16" ht="67" thickBot="1">
      <c r="A13" s="212" t="s">
        <v>216</v>
      </c>
      <c r="B13" s="212" t="s">
        <v>217</v>
      </c>
      <c r="C13" s="535"/>
      <c r="D13" s="535"/>
      <c r="E13" s="417" t="s">
        <v>554</v>
      </c>
      <c r="F13" s="441" t="s">
        <v>555</v>
      </c>
      <c r="G13" s="213" t="s">
        <v>306</v>
      </c>
      <c r="H13" s="429" t="s">
        <v>356</v>
      </c>
      <c r="I13" s="441" t="s">
        <v>556</v>
      </c>
      <c r="J13" s="417" t="s">
        <v>356</v>
      </c>
      <c r="K13" s="441" t="s">
        <v>556</v>
      </c>
      <c r="L13" s="417" t="s">
        <v>356</v>
      </c>
      <c r="M13" s="441" t="s">
        <v>556</v>
      </c>
      <c r="N13" s="213" t="s">
        <v>58</v>
      </c>
      <c r="O13" s="213" t="s">
        <v>557</v>
      </c>
    </row>
    <row r="14" spans="1:16" ht="13" thickTop="1">
      <c r="A14" s="449" t="s">
        <v>558</v>
      </c>
      <c r="B14" s="449" t="s">
        <v>559</v>
      </c>
      <c r="C14" s="450">
        <v>0.85</v>
      </c>
      <c r="D14" s="451">
        <v>40</v>
      </c>
      <c r="E14" s="439">
        <v>4.29</v>
      </c>
      <c r="F14" s="452">
        <v>1.53</v>
      </c>
      <c r="G14" s="440">
        <v>0</v>
      </c>
      <c r="H14" s="453">
        <f t="shared" ref="H14:H32" si="0">E14/D14</f>
        <v>0.10725</v>
      </c>
      <c r="I14" s="440">
        <f t="shared" ref="I14:I32" si="1">F14+G14*8760/1000*C14</f>
        <v>1.53</v>
      </c>
      <c r="J14" s="454">
        <f t="shared" ref="J14:J32" si="2">H14/C14</f>
        <v>0.12617647058823531</v>
      </c>
      <c r="K14" s="440">
        <f t="shared" ref="K14:K32" si="3">I14/C14</f>
        <v>1.8</v>
      </c>
      <c r="L14" s="454">
        <f t="shared" ref="L14:M31" si="4">J14/8760*1000</f>
        <v>1.4403706688154716E-2</v>
      </c>
      <c r="M14" s="440">
        <f t="shared" si="4"/>
        <v>0.20547945205479454</v>
      </c>
      <c r="N14" s="455">
        <f t="shared" ref="N14:N32" si="5">SUM(L14:M14)</f>
        <v>0.21988315874294925</v>
      </c>
      <c r="O14" s="551">
        <f>AVERAGE(N14:N15)</f>
        <v>0.20532702121944668</v>
      </c>
    </row>
    <row r="15" spans="1:16" ht="13" thickBot="1">
      <c r="A15" s="224" t="s">
        <v>560</v>
      </c>
      <c r="B15" s="224" t="s">
        <v>561</v>
      </c>
      <c r="C15" s="225">
        <v>0.85</v>
      </c>
      <c r="D15" s="226">
        <v>40</v>
      </c>
      <c r="E15" s="227">
        <v>8.5</v>
      </c>
      <c r="F15" s="438">
        <v>0.24</v>
      </c>
      <c r="G15" s="521">
        <v>0.13</v>
      </c>
      <c r="H15" s="420">
        <f t="shared" si="0"/>
        <v>0.21249999999999999</v>
      </c>
      <c r="I15" s="521">
        <f t="shared" si="1"/>
        <v>1.2079800000000001</v>
      </c>
      <c r="J15" s="433">
        <f t="shared" si="2"/>
        <v>0.25</v>
      </c>
      <c r="K15" s="521">
        <f t="shared" si="3"/>
        <v>1.4211529411764707</v>
      </c>
      <c r="L15" s="433">
        <f t="shared" si="4"/>
        <v>2.8538812785388126E-2</v>
      </c>
      <c r="M15" s="521">
        <f t="shared" si="4"/>
        <v>0.16223207091055603</v>
      </c>
      <c r="N15" s="425">
        <f t="shared" si="5"/>
        <v>0.19077088369594414</v>
      </c>
      <c r="O15" s="552"/>
    </row>
    <row r="16" spans="1:16">
      <c r="A16" s="228" t="s">
        <v>562</v>
      </c>
      <c r="B16" s="228" t="s">
        <v>563</v>
      </c>
      <c r="C16" s="229">
        <v>0.9</v>
      </c>
      <c r="D16" s="230">
        <v>40</v>
      </c>
      <c r="E16" s="231">
        <f>36000/5600</f>
        <v>6.4285714285714288</v>
      </c>
      <c r="F16" s="470">
        <f>10000/5600</f>
        <v>1.7857142857142858</v>
      </c>
      <c r="G16" s="231">
        <v>0</v>
      </c>
      <c r="H16" s="418">
        <f t="shared" si="0"/>
        <v>0.16071428571428573</v>
      </c>
      <c r="I16" s="522">
        <f t="shared" si="1"/>
        <v>1.7857142857142858</v>
      </c>
      <c r="J16" s="434">
        <f t="shared" si="2"/>
        <v>0.17857142857142858</v>
      </c>
      <c r="K16" s="522">
        <f t="shared" si="3"/>
        <v>1.9841269841269842</v>
      </c>
      <c r="L16" s="434">
        <f t="shared" si="4"/>
        <v>2.0384866275277233E-2</v>
      </c>
      <c r="M16" s="522">
        <f t="shared" si="4"/>
        <v>0.22649851416974706</v>
      </c>
      <c r="N16" s="427">
        <f t="shared" si="5"/>
        <v>0.24688338044502428</v>
      </c>
      <c r="O16" s="553">
        <f>AVERAGE(N16:N18)</f>
        <v>0.24750247638375492</v>
      </c>
    </row>
    <row r="17" spans="1:15">
      <c r="A17" s="218" t="s">
        <v>564</v>
      </c>
      <c r="B17" s="218" t="s">
        <v>310</v>
      </c>
      <c r="C17" s="219">
        <v>0.9</v>
      </c>
      <c r="D17" s="220">
        <v>40</v>
      </c>
      <c r="E17" s="217">
        <v>17.5</v>
      </c>
      <c r="F17" s="520">
        <v>1.7</v>
      </c>
      <c r="G17" s="217">
        <v>0</v>
      </c>
      <c r="H17" s="519">
        <f>E17/D17</f>
        <v>0.4375</v>
      </c>
      <c r="I17" s="523">
        <f>F17+G17*8760/1000*C17</f>
        <v>1.7</v>
      </c>
      <c r="J17" s="435">
        <f>H17/C17</f>
        <v>0.4861111111111111</v>
      </c>
      <c r="K17" s="523">
        <f>I17/C17</f>
        <v>1.8888888888888888</v>
      </c>
      <c r="L17" s="435">
        <f t="shared" si="4"/>
        <v>5.5492135971588023E-2</v>
      </c>
      <c r="M17" s="523">
        <f t="shared" si="4"/>
        <v>0.21562658548959918</v>
      </c>
      <c r="N17" s="426">
        <f>SUM(L17:M17)</f>
        <v>0.27111872146118721</v>
      </c>
      <c r="O17" s="554"/>
    </row>
    <row r="18" spans="1:15" ht="13" thickBot="1">
      <c r="A18" s="457" t="s">
        <v>565</v>
      </c>
      <c r="B18" s="457" t="s">
        <v>559</v>
      </c>
      <c r="C18" s="458">
        <v>0.9</v>
      </c>
      <c r="D18" s="459">
        <v>40</v>
      </c>
      <c r="E18" s="444">
        <v>4</v>
      </c>
      <c r="F18" s="456">
        <v>1.67</v>
      </c>
      <c r="G18" s="444">
        <v>0</v>
      </c>
      <c r="H18" s="460">
        <f>E18/D18</f>
        <v>0.1</v>
      </c>
      <c r="I18" s="445">
        <f>F18+G18*8760/1000*C18</f>
        <v>1.67</v>
      </c>
      <c r="J18" s="447">
        <f>H18/C18</f>
        <v>0.11111111111111112</v>
      </c>
      <c r="K18" s="445">
        <f>I18/C18</f>
        <v>1.8555555555555554</v>
      </c>
      <c r="L18" s="447">
        <f t="shared" si="4"/>
        <v>1.2683916793505836E-2</v>
      </c>
      <c r="M18" s="445">
        <f t="shared" si="4"/>
        <v>0.21182141045154743</v>
      </c>
      <c r="N18" s="448">
        <f>SUM(L18:M18)</f>
        <v>0.22450532724505326</v>
      </c>
      <c r="O18" s="552"/>
    </row>
    <row r="19" spans="1:15">
      <c r="A19" s="228" t="s">
        <v>566</v>
      </c>
      <c r="B19" s="228" t="s">
        <v>310</v>
      </c>
      <c r="C19" s="229">
        <v>0.85</v>
      </c>
      <c r="D19" s="230">
        <v>40</v>
      </c>
      <c r="E19" s="231">
        <v>21.3</v>
      </c>
      <c r="F19" s="470">
        <v>7.8</v>
      </c>
      <c r="G19" s="231">
        <v>0</v>
      </c>
      <c r="H19" s="418">
        <f>E19/D19</f>
        <v>0.53249999999999997</v>
      </c>
      <c r="I19" s="522">
        <f>F19+G19*8760/1000*C19</f>
        <v>7.8</v>
      </c>
      <c r="J19" s="434">
        <f>H19/C19</f>
        <v>0.62647058823529411</v>
      </c>
      <c r="K19" s="522">
        <f>I19/C19</f>
        <v>9.1764705882352935</v>
      </c>
      <c r="L19" s="434">
        <f t="shared" si="4"/>
        <v>7.1514907332796127E-2</v>
      </c>
      <c r="M19" s="522">
        <f t="shared" si="4"/>
        <v>1.0475423045930701</v>
      </c>
      <c r="N19" s="427">
        <f>SUM(L19:M19)</f>
        <v>1.1190572119258662</v>
      </c>
      <c r="O19" s="553">
        <f>AVERAGE(N19:N20)</f>
        <v>0.71885911899006172</v>
      </c>
    </row>
    <row r="20" spans="1:15" ht="13" thickBot="1">
      <c r="A20" s="457" t="s">
        <v>567</v>
      </c>
      <c r="B20" s="457" t="s">
        <v>559</v>
      </c>
      <c r="C20" s="458">
        <v>0.85</v>
      </c>
      <c r="D20" s="459">
        <v>40</v>
      </c>
      <c r="E20" s="444">
        <v>3.71</v>
      </c>
      <c r="F20" s="456">
        <v>2.2799999999999998</v>
      </c>
      <c r="G20" s="444">
        <v>0</v>
      </c>
      <c r="H20" s="460">
        <f t="shared" si="0"/>
        <v>9.2749999999999999E-2</v>
      </c>
      <c r="I20" s="445">
        <f t="shared" si="1"/>
        <v>2.2799999999999998</v>
      </c>
      <c r="J20" s="447">
        <f t="shared" si="2"/>
        <v>0.10911764705882353</v>
      </c>
      <c r="K20" s="445">
        <f t="shared" si="3"/>
        <v>2.6823529411764704</v>
      </c>
      <c r="L20" s="447">
        <f t="shared" si="4"/>
        <v>1.2456352403975288E-2</v>
      </c>
      <c r="M20" s="445">
        <f t="shared" si="4"/>
        <v>0.30620467365028203</v>
      </c>
      <c r="N20" s="448">
        <f t="shared" si="5"/>
        <v>0.31866102605425733</v>
      </c>
      <c r="O20" s="552"/>
    </row>
    <row r="21" spans="1:15" ht="13" thickBot="1">
      <c r="A21" s="232" t="s">
        <v>568</v>
      </c>
      <c r="B21" s="232" t="s">
        <v>559</v>
      </c>
      <c r="C21" s="233">
        <v>0.55000000000000004</v>
      </c>
      <c r="D21" s="234">
        <v>40</v>
      </c>
      <c r="E21" s="235">
        <v>5.71</v>
      </c>
      <c r="F21" s="468">
        <v>1.1399999999999999</v>
      </c>
      <c r="G21" s="235">
        <v>0</v>
      </c>
      <c r="H21" s="419">
        <f t="shared" si="0"/>
        <v>0.14274999999999999</v>
      </c>
      <c r="I21" s="236">
        <f t="shared" si="1"/>
        <v>1.1399999999999999</v>
      </c>
      <c r="J21" s="436">
        <f t="shared" si="2"/>
        <v>0.25954545454545452</v>
      </c>
      <c r="K21" s="236">
        <f t="shared" si="3"/>
        <v>2.0727272727272723</v>
      </c>
      <c r="L21" s="436">
        <f t="shared" si="4"/>
        <v>2.9628476546284761E-2</v>
      </c>
      <c r="M21" s="236">
        <f t="shared" si="4"/>
        <v>0.236612702366127</v>
      </c>
      <c r="N21" s="428">
        <f t="shared" si="5"/>
        <v>0.26624117891241178</v>
      </c>
      <c r="O21" s="236">
        <f>N21</f>
        <v>0.26624117891241178</v>
      </c>
    </row>
    <row r="22" spans="1:15">
      <c r="A22" s="237" t="s">
        <v>307</v>
      </c>
      <c r="B22" s="237" t="s">
        <v>569</v>
      </c>
      <c r="C22" s="238">
        <v>0.2</v>
      </c>
      <c r="D22" s="239">
        <v>25</v>
      </c>
      <c r="E22" s="240">
        <v>37</v>
      </c>
      <c r="F22" s="474">
        <v>1</v>
      </c>
      <c r="G22" s="240">
        <v>0</v>
      </c>
      <c r="H22" s="430">
        <f>E22/D22</f>
        <v>1.48</v>
      </c>
      <c r="I22" s="524">
        <f>F22+G22*8760/1000*C22</f>
        <v>1</v>
      </c>
      <c r="J22" s="437">
        <f>H22/C22</f>
        <v>7.3999999999999995</v>
      </c>
      <c r="K22" s="524">
        <f>I22/C22</f>
        <v>5</v>
      </c>
      <c r="L22" s="437">
        <f>J22/8760*1000</f>
        <v>0.84474885844748848</v>
      </c>
      <c r="M22" s="524">
        <f>K22/8760*1000</f>
        <v>0.57077625570776247</v>
      </c>
      <c r="N22" s="432">
        <f>SUM(L22:M22)</f>
        <v>1.415525114155251</v>
      </c>
      <c r="O22" s="555">
        <f>N39</f>
        <v>0.79313246811604099</v>
      </c>
    </row>
    <row r="23" spans="1:15">
      <c r="A23" s="461" t="s">
        <v>308</v>
      </c>
      <c r="B23" s="461" t="s">
        <v>220</v>
      </c>
      <c r="C23" s="462">
        <v>0.2</v>
      </c>
      <c r="D23" s="463">
        <v>25</v>
      </c>
      <c r="E23" s="464">
        <v>32.340000000000003</v>
      </c>
      <c r="F23" s="473">
        <v>0.37</v>
      </c>
      <c r="G23" s="464">
        <v>0</v>
      </c>
      <c r="H23" s="465">
        <f t="shared" si="0"/>
        <v>1.2936000000000001</v>
      </c>
      <c r="I23" s="518">
        <f t="shared" si="1"/>
        <v>0.37</v>
      </c>
      <c r="J23" s="466">
        <f t="shared" si="2"/>
        <v>6.468</v>
      </c>
      <c r="K23" s="518">
        <f t="shared" si="3"/>
        <v>1.8499999999999999</v>
      </c>
      <c r="L23" s="466">
        <f t="shared" si="4"/>
        <v>0.73835616438356166</v>
      </c>
      <c r="M23" s="518">
        <f t="shared" si="4"/>
        <v>0.21118721461187212</v>
      </c>
      <c r="N23" s="467">
        <f t="shared" si="5"/>
        <v>0.94954337899543373</v>
      </c>
      <c r="O23" s="556"/>
    </row>
    <row r="24" spans="1:15" ht="13" thickBot="1">
      <c r="A24" s="457" t="s">
        <v>309</v>
      </c>
      <c r="B24" s="457" t="s">
        <v>559</v>
      </c>
      <c r="C24" s="458">
        <v>0.2</v>
      </c>
      <c r="D24" s="457">
        <v>25</v>
      </c>
      <c r="E24" s="444">
        <v>7.14</v>
      </c>
      <c r="F24" s="456">
        <v>0.12</v>
      </c>
      <c r="G24" s="471">
        <v>0</v>
      </c>
      <c r="H24" s="460">
        <f t="shared" si="0"/>
        <v>0.28559999999999997</v>
      </c>
      <c r="I24" s="444">
        <f t="shared" si="1"/>
        <v>0.12</v>
      </c>
      <c r="J24" s="456">
        <f t="shared" si="2"/>
        <v>1.4279999999999997</v>
      </c>
      <c r="K24" s="444">
        <f t="shared" si="3"/>
        <v>0.6</v>
      </c>
      <c r="L24" s="456">
        <f t="shared" si="4"/>
        <v>0.16301369863013696</v>
      </c>
      <c r="M24" s="444">
        <f t="shared" si="4"/>
        <v>6.8493150684931503E-2</v>
      </c>
      <c r="N24" s="472">
        <f t="shared" si="5"/>
        <v>0.23150684931506846</v>
      </c>
      <c r="O24" s="557"/>
    </row>
    <row r="25" spans="1:15">
      <c r="A25" s="228" t="s">
        <v>430</v>
      </c>
      <c r="B25" s="228" t="s">
        <v>434</v>
      </c>
      <c r="C25" s="241">
        <v>0.4</v>
      </c>
      <c r="D25" s="230">
        <v>25</v>
      </c>
      <c r="E25" s="231">
        <f>10310/1000</f>
        <v>10.31</v>
      </c>
      <c r="F25" s="470">
        <v>1</v>
      </c>
      <c r="G25" s="231">
        <v>0</v>
      </c>
      <c r="H25" s="430">
        <f t="shared" si="0"/>
        <v>0.41240000000000004</v>
      </c>
      <c r="I25" s="524">
        <f t="shared" si="1"/>
        <v>1</v>
      </c>
      <c r="J25" s="437">
        <f t="shared" si="2"/>
        <v>1.0310000000000001</v>
      </c>
      <c r="K25" s="524">
        <f t="shared" si="3"/>
        <v>2.5</v>
      </c>
      <c r="L25" s="437">
        <f t="shared" si="4"/>
        <v>0.11769406392694066</v>
      </c>
      <c r="M25" s="524">
        <f t="shared" si="4"/>
        <v>0.28538812785388123</v>
      </c>
      <c r="N25" s="432">
        <f t="shared" si="5"/>
        <v>0.40308219178082189</v>
      </c>
      <c r="O25" s="553">
        <f>AVERAGE(N25:N26,N27)</f>
        <v>0.23028919330289191</v>
      </c>
    </row>
    <row r="26" spans="1:15">
      <c r="A26" s="215" t="s">
        <v>431</v>
      </c>
      <c r="B26" s="215" t="s">
        <v>433</v>
      </c>
      <c r="C26" s="221">
        <v>0.4</v>
      </c>
      <c r="D26" s="216">
        <v>25</v>
      </c>
      <c r="E26" s="217">
        <v>4.5</v>
      </c>
      <c r="F26" s="520">
        <v>0.38</v>
      </c>
      <c r="G26" s="523">
        <v>0</v>
      </c>
      <c r="H26" s="421">
        <f t="shared" si="0"/>
        <v>0.18</v>
      </c>
      <c r="I26" s="523">
        <f t="shared" si="1"/>
        <v>0.38</v>
      </c>
      <c r="J26" s="435">
        <f t="shared" si="2"/>
        <v>0.44999999999999996</v>
      </c>
      <c r="K26" s="523">
        <f t="shared" si="3"/>
        <v>0.95</v>
      </c>
      <c r="L26" s="435">
        <f t="shared" si="4"/>
        <v>5.1369863013698627E-2</v>
      </c>
      <c r="M26" s="523">
        <f t="shared" si="4"/>
        <v>0.10844748858447488</v>
      </c>
      <c r="N26" s="426">
        <f t="shared" si="5"/>
        <v>0.15981735159817351</v>
      </c>
      <c r="O26" s="554"/>
    </row>
    <row r="27" spans="1:15" ht="13" thickBot="1">
      <c r="A27" s="442" t="s">
        <v>432</v>
      </c>
      <c r="B27" s="442" t="s">
        <v>559</v>
      </c>
      <c r="C27" s="469">
        <v>0.4</v>
      </c>
      <c r="D27" s="442">
        <v>25</v>
      </c>
      <c r="E27" s="445">
        <v>5.71</v>
      </c>
      <c r="F27" s="447">
        <v>0.22</v>
      </c>
      <c r="G27" s="471">
        <v>0</v>
      </c>
      <c r="H27" s="446">
        <f t="shared" si="0"/>
        <v>0.22839999999999999</v>
      </c>
      <c r="I27" s="445">
        <f t="shared" si="1"/>
        <v>0.22</v>
      </c>
      <c r="J27" s="447">
        <f t="shared" si="2"/>
        <v>0.57099999999999995</v>
      </c>
      <c r="K27" s="445">
        <f t="shared" si="3"/>
        <v>0.54999999999999993</v>
      </c>
      <c r="L27" s="447">
        <f t="shared" si="4"/>
        <v>6.5182648401826485E-2</v>
      </c>
      <c r="M27" s="445">
        <f t="shared" si="4"/>
        <v>6.2785388127853878E-2</v>
      </c>
      <c r="N27" s="448">
        <f t="shared" si="5"/>
        <v>0.12796803652968036</v>
      </c>
      <c r="O27" s="552"/>
    </row>
    <row r="28" spans="1:15">
      <c r="A28" s="242" t="s">
        <v>570</v>
      </c>
      <c r="B28" s="242" t="s">
        <v>358</v>
      </c>
      <c r="C28" s="241">
        <v>0.35</v>
      </c>
      <c r="D28" s="230">
        <v>25</v>
      </c>
      <c r="E28" s="231">
        <v>10.1</v>
      </c>
      <c r="F28" s="470">
        <v>0.4</v>
      </c>
      <c r="G28" s="522">
        <v>0</v>
      </c>
      <c r="H28" s="431">
        <f t="shared" si="0"/>
        <v>0.40399999999999997</v>
      </c>
      <c r="I28" s="522">
        <f t="shared" si="1"/>
        <v>0.4</v>
      </c>
      <c r="J28" s="434">
        <f t="shared" si="2"/>
        <v>1.1542857142857144</v>
      </c>
      <c r="K28" s="522">
        <f t="shared" si="3"/>
        <v>1.142857142857143</v>
      </c>
      <c r="L28" s="434">
        <f t="shared" si="4"/>
        <v>0.13176777560339206</v>
      </c>
      <c r="M28" s="522">
        <f t="shared" si="4"/>
        <v>0.13046314416177432</v>
      </c>
      <c r="N28" s="427">
        <f t="shared" si="5"/>
        <v>0.26223091976516638</v>
      </c>
      <c r="O28" s="553">
        <f>AVERAGE(N28,N29,N30:N32)</f>
        <v>0.16974559686888452</v>
      </c>
    </row>
    <row r="29" spans="1:15">
      <c r="A29" s="215" t="s">
        <v>219</v>
      </c>
      <c r="B29" s="215" t="s">
        <v>220</v>
      </c>
      <c r="C29" s="221">
        <v>0.35</v>
      </c>
      <c r="D29" s="220">
        <v>25</v>
      </c>
      <c r="E29" s="217">
        <v>3.8</v>
      </c>
      <c r="F29" s="520">
        <v>0.14399999999999999</v>
      </c>
      <c r="G29" s="523">
        <v>0</v>
      </c>
      <c r="H29" s="421">
        <f t="shared" si="0"/>
        <v>0.152</v>
      </c>
      <c r="I29" s="523">
        <f t="shared" si="1"/>
        <v>0.14399999999999999</v>
      </c>
      <c r="J29" s="435">
        <f t="shared" si="2"/>
        <v>0.43428571428571427</v>
      </c>
      <c r="K29" s="523">
        <f t="shared" si="3"/>
        <v>0.41142857142857142</v>
      </c>
      <c r="L29" s="435">
        <f t="shared" si="4"/>
        <v>4.9575994781474238E-2</v>
      </c>
      <c r="M29" s="523">
        <f t="shared" si="4"/>
        <v>4.6966731898238752E-2</v>
      </c>
      <c r="N29" s="426">
        <f t="shared" si="5"/>
        <v>9.654272667971299E-2</v>
      </c>
      <c r="O29" s="554"/>
    </row>
    <row r="30" spans="1:15">
      <c r="A30" s="215" t="s">
        <v>357</v>
      </c>
      <c r="B30" s="215" t="s">
        <v>571</v>
      </c>
      <c r="C30" s="221">
        <v>0.35</v>
      </c>
      <c r="D30" s="216">
        <v>25</v>
      </c>
      <c r="E30" s="523">
        <v>10.96</v>
      </c>
      <c r="F30" s="435">
        <v>0.17499999999999999</v>
      </c>
      <c r="G30" s="523">
        <v>0</v>
      </c>
      <c r="H30" s="421">
        <f t="shared" si="0"/>
        <v>0.43840000000000001</v>
      </c>
      <c r="I30" s="523">
        <f t="shared" si="1"/>
        <v>0.17499999999999999</v>
      </c>
      <c r="J30" s="435">
        <f t="shared" si="2"/>
        <v>1.2525714285714287</v>
      </c>
      <c r="K30" s="523">
        <f t="shared" si="3"/>
        <v>0.5</v>
      </c>
      <c r="L30" s="435">
        <f t="shared" si="4"/>
        <v>0.14298760600130464</v>
      </c>
      <c r="M30" s="523">
        <f t="shared" si="4"/>
        <v>5.7077625570776253E-2</v>
      </c>
      <c r="N30" s="426">
        <f t="shared" si="5"/>
        <v>0.20006523157208089</v>
      </c>
      <c r="O30" s="554"/>
    </row>
    <row r="31" spans="1:15">
      <c r="A31" s="215" t="s">
        <v>572</v>
      </c>
      <c r="B31" s="215" t="s">
        <v>310</v>
      </c>
      <c r="C31" s="221">
        <v>0.35</v>
      </c>
      <c r="D31" s="216">
        <v>25</v>
      </c>
      <c r="E31" s="523">
        <v>7.4</v>
      </c>
      <c r="F31" s="435">
        <v>0.2</v>
      </c>
      <c r="G31" s="523">
        <v>0</v>
      </c>
      <c r="H31" s="421">
        <f t="shared" si="0"/>
        <v>0.29600000000000004</v>
      </c>
      <c r="I31" s="523">
        <f t="shared" si="1"/>
        <v>0.2</v>
      </c>
      <c r="J31" s="435">
        <f t="shared" si="2"/>
        <v>0.84571428571428586</v>
      </c>
      <c r="K31" s="523">
        <f t="shared" si="3"/>
        <v>0.57142857142857151</v>
      </c>
      <c r="L31" s="435">
        <f t="shared" si="4"/>
        <v>9.6542726679713003E-2</v>
      </c>
      <c r="M31" s="523">
        <f t="shared" si="4"/>
        <v>6.523157208088716E-2</v>
      </c>
      <c r="N31" s="426">
        <f t="shared" si="5"/>
        <v>0.16177429876060018</v>
      </c>
      <c r="O31" s="554"/>
    </row>
    <row r="32" spans="1:15" ht="13" thickBot="1">
      <c r="A32" s="442" t="s">
        <v>573</v>
      </c>
      <c r="B32" s="442" t="s">
        <v>559</v>
      </c>
      <c r="C32" s="469">
        <v>0.35</v>
      </c>
      <c r="D32" s="443">
        <v>25</v>
      </c>
      <c r="E32" s="445">
        <v>2.57</v>
      </c>
      <c r="F32" s="447">
        <v>0.28999999999999998</v>
      </c>
      <c r="G32" s="445">
        <v>0</v>
      </c>
      <c r="H32" s="446">
        <f t="shared" si="0"/>
        <v>0.10279999999999999</v>
      </c>
      <c r="I32" s="445">
        <f t="shared" si="1"/>
        <v>0.28999999999999998</v>
      </c>
      <c r="J32" s="447">
        <f t="shared" si="2"/>
        <v>0.29371428571428571</v>
      </c>
      <c r="K32" s="445">
        <f t="shared" si="3"/>
        <v>0.82857142857142851</v>
      </c>
      <c r="L32" s="447">
        <f>J32/8760*1000</f>
        <v>3.3529028049575992E-2</v>
      </c>
      <c r="M32" s="445">
        <f>K32/8760*1000</f>
        <v>9.4585779517286361E-2</v>
      </c>
      <c r="N32" s="448">
        <f t="shared" si="5"/>
        <v>0.12811480756686236</v>
      </c>
      <c r="O32" s="552"/>
    </row>
    <row r="33" spans="1:15" ht="23" thickBot="1">
      <c r="A33" s="232" t="s">
        <v>427</v>
      </c>
      <c r="B33" s="232" t="s">
        <v>428</v>
      </c>
      <c r="C33" s="233">
        <v>0.8</v>
      </c>
      <c r="D33" s="234">
        <v>40</v>
      </c>
      <c r="E33" s="235">
        <v>20.48</v>
      </c>
      <c r="F33" s="468">
        <v>0.31</v>
      </c>
      <c r="G33" s="235">
        <v>0.06</v>
      </c>
      <c r="H33" s="419">
        <v>0.51200000000000001</v>
      </c>
      <c r="I33" s="236">
        <v>0.73048000000000002</v>
      </c>
      <c r="J33" s="436">
        <v>0.64</v>
      </c>
      <c r="K33" s="236">
        <v>0.91310000000000002</v>
      </c>
      <c r="L33" s="436">
        <v>7.3059360730593603E-2</v>
      </c>
      <c r="M33" s="236">
        <v>0.10423515981735161</v>
      </c>
      <c r="N33" s="428">
        <v>0.1772945205479452</v>
      </c>
      <c r="O33" s="236">
        <f>N33</f>
        <v>0.1772945205479452</v>
      </c>
    </row>
    <row r="34" spans="1:15" ht="13" thickBot="1">
      <c r="A34" s="232" t="s">
        <v>224</v>
      </c>
      <c r="B34" s="232" t="s">
        <v>429</v>
      </c>
      <c r="C34" s="233">
        <v>0.9</v>
      </c>
      <c r="D34" s="234">
        <v>40</v>
      </c>
      <c r="E34" s="235">
        <v>15.2</v>
      </c>
      <c r="F34" s="468">
        <v>0.7</v>
      </c>
      <c r="G34" s="235">
        <v>0</v>
      </c>
      <c r="H34" s="422">
        <f>E34/D34</f>
        <v>0.38</v>
      </c>
      <c r="I34" s="236">
        <f>F34+G34*8760/1000*C34</f>
        <v>0.7</v>
      </c>
      <c r="J34" s="436">
        <f>H34/C34</f>
        <v>0.42222222222222222</v>
      </c>
      <c r="K34" s="236">
        <f>I34/C34</f>
        <v>0.77777777777777768</v>
      </c>
      <c r="L34" s="436">
        <f t="shared" ref="L34:M36" si="6">J34/8760*1000</f>
        <v>4.8198883815322169E-2</v>
      </c>
      <c r="M34" s="236">
        <f t="shared" si="6"/>
        <v>8.8787417554540837E-2</v>
      </c>
      <c r="N34" s="428">
        <f>SUM(L34:M34)</f>
        <v>0.13698630136986301</v>
      </c>
      <c r="O34" s="236">
        <f>N34</f>
        <v>0.13698630136986301</v>
      </c>
    </row>
    <row r="35" spans="1:15" ht="13" thickBot="1">
      <c r="A35" s="243" t="s">
        <v>141</v>
      </c>
      <c r="B35" s="243" t="s">
        <v>222</v>
      </c>
      <c r="C35" s="244">
        <v>0.8</v>
      </c>
      <c r="D35" s="245">
        <v>40</v>
      </c>
      <c r="E35" s="236">
        <v>8.5</v>
      </c>
      <c r="F35" s="436">
        <v>0.18</v>
      </c>
      <c r="G35" s="236">
        <v>5.8999999999999997E-2</v>
      </c>
      <c r="H35" s="422">
        <f>E35/D35</f>
        <v>0.21249999999999999</v>
      </c>
      <c r="I35" s="236">
        <v>0.59</v>
      </c>
      <c r="J35" s="436">
        <f>H35/C35</f>
        <v>0.265625</v>
      </c>
      <c r="K35" s="236">
        <f>I35/C35</f>
        <v>0.73749999999999993</v>
      </c>
      <c r="L35" s="436">
        <f t="shared" si="6"/>
        <v>3.0322488584474887E-2</v>
      </c>
      <c r="M35" s="236">
        <f t="shared" si="6"/>
        <v>8.4189497716894962E-2</v>
      </c>
      <c r="N35" s="428">
        <f>SUM(L35:M35)</f>
        <v>0.11451198630136986</v>
      </c>
      <c r="O35" s="236">
        <f>N35</f>
        <v>0.11451198630136986</v>
      </c>
    </row>
    <row r="36" spans="1:15" ht="13" thickBot="1">
      <c r="A36" s="243" t="s">
        <v>221</v>
      </c>
      <c r="B36" s="243" t="s">
        <v>310</v>
      </c>
      <c r="C36" s="244">
        <v>0.85</v>
      </c>
      <c r="D36" s="245">
        <v>40</v>
      </c>
      <c r="E36" s="236">
        <v>1.02</v>
      </c>
      <c r="F36" s="436">
        <v>0.1</v>
      </c>
      <c r="G36" s="236">
        <v>0.09</v>
      </c>
      <c r="H36" s="422">
        <f>E36/D36</f>
        <v>2.5500000000000002E-2</v>
      </c>
      <c r="I36" s="236">
        <f>F36+G36*8760/1000*C36</f>
        <v>0.77013999999999994</v>
      </c>
      <c r="J36" s="436">
        <f>H36/C36</f>
        <v>3.0000000000000002E-2</v>
      </c>
      <c r="K36" s="236">
        <f>I36/C36</f>
        <v>0.90604705882352932</v>
      </c>
      <c r="L36" s="436">
        <f t="shared" si="6"/>
        <v>3.4246575342465756E-3</v>
      </c>
      <c r="M36" s="236">
        <f t="shared" si="6"/>
        <v>0.10343002954606499</v>
      </c>
      <c r="N36" s="428">
        <f>SUM(L36:M36)</f>
        <v>0.10685468708031157</v>
      </c>
      <c r="O36" s="236">
        <f>N36</f>
        <v>0.10685468708031157</v>
      </c>
    </row>
    <row r="37" spans="1:15">
      <c r="A37" s="214" t="s">
        <v>423</v>
      </c>
      <c r="B37" s="214" t="s">
        <v>425</v>
      </c>
      <c r="C37" s="246">
        <v>1</v>
      </c>
      <c r="D37" s="223">
        <v>20</v>
      </c>
      <c r="E37" s="543" t="s">
        <v>0</v>
      </c>
      <c r="F37" s="544"/>
      <c r="G37" s="544"/>
      <c r="H37" s="544"/>
      <c r="I37" s="544"/>
      <c r="J37" s="544"/>
      <c r="K37" s="544"/>
      <c r="L37" s="544"/>
      <c r="M37" s="545"/>
      <c r="N37" s="424">
        <v>0.17</v>
      </c>
      <c r="O37" s="546">
        <f>AVERAGE(N37,N38)</f>
        <v>0.38</v>
      </c>
    </row>
    <row r="38" spans="1:15">
      <c r="A38" s="215" t="s">
        <v>424</v>
      </c>
      <c r="B38" s="215" t="s">
        <v>426</v>
      </c>
      <c r="C38" s="222">
        <v>1</v>
      </c>
      <c r="D38" s="216">
        <v>20</v>
      </c>
      <c r="E38" s="548" t="s">
        <v>0</v>
      </c>
      <c r="F38" s="549"/>
      <c r="G38" s="549"/>
      <c r="H38" s="549"/>
      <c r="I38" s="549"/>
      <c r="J38" s="549"/>
      <c r="K38" s="549"/>
      <c r="L38" s="549"/>
      <c r="M38" s="550"/>
      <c r="N38" s="426">
        <v>0.59</v>
      </c>
      <c r="O38" s="547"/>
    </row>
    <row r="39" spans="1:15">
      <c r="A39" s="81" t="s">
        <v>739</v>
      </c>
      <c r="B39" s="81" t="s">
        <v>740</v>
      </c>
      <c r="C39" s="525">
        <v>0.2</v>
      </c>
      <c r="D39" s="81">
        <v>25</v>
      </c>
      <c r="E39" s="423">
        <f>(97031+32490+15112+20185)/B40</f>
        <v>14.698366579021558</v>
      </c>
      <c r="F39" s="423">
        <f>(8989)/B40</f>
        <v>0.80163342097844159</v>
      </c>
      <c r="G39" s="81">
        <v>0</v>
      </c>
      <c r="H39" s="423">
        <f>E39/D39</f>
        <v>0.58793466316086229</v>
      </c>
      <c r="I39" s="423">
        <f>F39</f>
        <v>0.80163342097844159</v>
      </c>
      <c r="J39" s="423">
        <f>H39/C39</f>
        <v>2.9396733158043111</v>
      </c>
      <c r="K39" s="423">
        <f>I39/C39</f>
        <v>4.0081671048922081</v>
      </c>
      <c r="L39" s="423">
        <f>J39/8760*1000</f>
        <v>0.33557914563976154</v>
      </c>
      <c r="M39" s="423">
        <f>K39/8760*1000</f>
        <v>0.4575533224762795</v>
      </c>
      <c r="N39" s="81">
        <f>L39+M39</f>
        <v>0.79313246811604099</v>
      </c>
    </row>
    <row r="40" spans="1:15">
      <c r="B40" s="81">
        <f>173807/15.5</f>
        <v>11213.354838709678</v>
      </c>
    </row>
    <row r="41" spans="1:15">
      <c r="N41" s="526"/>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5" activePane="bottomRight" state="frozen"/>
      <selection activeCell="B1" sqref="B1"/>
      <selection pane="topRight" activeCell="H1" sqref="H1"/>
      <selection pane="bottomLeft" activeCell="B11" sqref="B11"/>
      <selection pane="bottomRight" activeCell="J28" sqref="J28"/>
    </sheetView>
  </sheetViews>
  <sheetFormatPr baseColWidth="10" defaultColWidth="8.83203125" defaultRowHeight="14" x14ac:dyDescent="0"/>
  <cols>
    <col min="1" max="1" width="10.5" style="157" hidden="1" customWidth="1"/>
    <col min="2" max="2" width="6.83203125" style="158" customWidth="1"/>
    <col min="3" max="3" width="5.1640625" style="155" bestFit="1" customWidth="1"/>
    <col min="4" max="5" width="21.5" style="155" hidden="1" customWidth="1"/>
    <col min="6" max="6" width="28.83203125" style="155" customWidth="1"/>
    <col min="7" max="7" width="31.6640625" style="155" customWidth="1"/>
    <col min="8" max="8" width="40.83203125" style="157" customWidth="1"/>
    <col min="9" max="9" width="60.83203125" style="155" customWidth="1"/>
    <col min="10" max="10" width="86" style="155" customWidth="1"/>
    <col min="11" max="16384" width="8.83203125" style="155"/>
  </cols>
  <sheetData>
    <row r="1" spans="1:12">
      <c r="B1" s="558"/>
      <c r="C1" s="558"/>
      <c r="D1" s="558"/>
      <c r="E1" s="558"/>
      <c r="F1" s="558"/>
      <c r="G1" s="558"/>
      <c r="H1" s="558"/>
      <c r="I1" s="558"/>
      <c r="J1" s="558"/>
      <c r="K1" s="558"/>
      <c r="L1" s="558"/>
    </row>
    <row r="2" spans="1:12">
      <c r="B2" s="558"/>
      <c r="C2" s="558"/>
      <c r="D2" s="558"/>
      <c r="E2" s="558"/>
      <c r="F2" s="558"/>
      <c r="G2" s="558"/>
      <c r="H2" s="558"/>
      <c r="I2" s="558"/>
      <c r="J2" s="558"/>
      <c r="K2" s="558"/>
      <c r="L2" s="558"/>
    </row>
    <row r="3" spans="1:12">
      <c r="B3" s="558"/>
      <c r="C3" s="558"/>
      <c r="D3" s="558"/>
      <c r="E3" s="558"/>
      <c r="F3" s="558"/>
      <c r="G3" s="558"/>
      <c r="H3" s="558"/>
      <c r="I3" s="558"/>
      <c r="J3" s="558"/>
      <c r="K3" s="558"/>
      <c r="L3" s="558"/>
    </row>
    <row r="4" spans="1:12">
      <c r="B4" s="558"/>
      <c r="C4" s="558"/>
      <c r="D4" s="558"/>
      <c r="E4" s="558"/>
      <c r="F4" s="558"/>
      <c r="G4" s="558"/>
      <c r="H4" s="558"/>
      <c r="I4" s="558"/>
      <c r="J4" s="558"/>
      <c r="K4" s="558"/>
      <c r="L4" s="558"/>
    </row>
    <row r="5" spans="1:12">
      <c r="B5" s="558"/>
      <c r="C5" s="558"/>
      <c r="D5" s="558"/>
      <c r="E5" s="558"/>
      <c r="F5" s="558"/>
      <c r="G5" s="558"/>
      <c r="H5" s="558"/>
      <c r="I5" s="558"/>
      <c r="J5" s="558"/>
      <c r="K5" s="558"/>
      <c r="L5" s="558"/>
    </row>
    <row r="6" spans="1:12">
      <c r="B6" s="558"/>
      <c r="C6" s="558"/>
      <c r="D6" s="558"/>
      <c r="E6" s="558"/>
      <c r="F6" s="558"/>
      <c r="G6" s="558"/>
      <c r="H6" s="558"/>
      <c r="I6" s="558"/>
      <c r="J6" s="558"/>
      <c r="K6" s="558"/>
      <c r="L6" s="558"/>
    </row>
    <row r="7" spans="1:12">
      <c r="B7" s="558"/>
      <c r="C7" s="558"/>
      <c r="D7" s="558"/>
      <c r="E7" s="558"/>
      <c r="F7" s="558"/>
      <c r="G7" s="558"/>
      <c r="H7" s="558"/>
      <c r="I7" s="558"/>
      <c r="J7" s="558"/>
      <c r="K7" s="558"/>
      <c r="L7" s="558"/>
    </row>
    <row r="8" spans="1:12">
      <c r="B8" s="558"/>
      <c r="C8" s="558"/>
      <c r="D8" s="558"/>
      <c r="E8" s="558"/>
      <c r="F8" s="558"/>
      <c r="G8" s="558"/>
      <c r="H8" s="558"/>
      <c r="I8" s="558"/>
      <c r="J8" s="558"/>
      <c r="K8" s="558"/>
      <c r="L8" s="558"/>
    </row>
    <row r="9" spans="1:12" ht="48" customHeight="1">
      <c r="B9" s="558"/>
      <c r="C9" s="558"/>
      <c r="D9" s="558"/>
      <c r="E9" s="558"/>
      <c r="F9" s="558"/>
      <c r="G9" s="558"/>
      <c r="H9" s="558"/>
      <c r="I9" s="558"/>
      <c r="J9" s="558"/>
      <c r="K9" s="558"/>
      <c r="L9" s="558"/>
    </row>
    <row r="10" spans="1:12" s="145" customFormat="1" ht="15" thickBot="1">
      <c r="A10" s="140" t="s">
        <v>148</v>
      </c>
      <c r="B10" s="141" t="s">
        <v>456</v>
      </c>
      <c r="C10" s="142" t="s">
        <v>143</v>
      </c>
      <c r="D10" s="142" t="s">
        <v>457</v>
      </c>
      <c r="E10" s="142" t="s">
        <v>264</v>
      </c>
      <c r="F10" s="142" t="s">
        <v>457</v>
      </c>
      <c r="G10" s="142" t="s">
        <v>144</v>
      </c>
      <c r="H10" s="143" t="s">
        <v>145</v>
      </c>
      <c r="I10" s="142" t="s">
        <v>146</v>
      </c>
      <c r="J10" s="144" t="s">
        <v>262</v>
      </c>
    </row>
    <row r="11" spans="1:12" s="146" customFormat="1" ht="84">
      <c r="A11" s="146" t="s">
        <v>142</v>
      </c>
      <c r="B11" s="147">
        <v>1</v>
      </c>
      <c r="C11" s="148">
        <v>2009</v>
      </c>
      <c r="D11" s="148" t="s">
        <v>276</v>
      </c>
      <c r="E11" s="148" t="s">
        <v>274</v>
      </c>
      <c r="F11" s="148" t="str">
        <f>D11 &amp; " - " &amp; E11</f>
        <v>Isabel Blanco and Christian Kjaer - European Wind Energy Association</v>
      </c>
      <c r="G11" s="148" t="s">
        <v>275</v>
      </c>
      <c r="H11" s="148" t="s">
        <v>549</v>
      </c>
      <c r="I11" s="148" t="s">
        <v>458</v>
      </c>
      <c r="J11" s="146" t="s">
        <v>459</v>
      </c>
    </row>
    <row r="12" spans="1:12" s="146" customFormat="1" ht="28">
      <c r="B12" s="149">
        <f>B11+1</f>
        <v>2</v>
      </c>
      <c r="C12" s="150">
        <v>2009</v>
      </c>
      <c r="D12" s="150" t="s">
        <v>460</v>
      </c>
      <c r="E12" s="150" t="s">
        <v>461</v>
      </c>
      <c r="F12" s="148" t="str">
        <f t="shared" ref="F12:F26" si="0">D12 &amp; " - " &amp; E12</f>
        <v>Julio Friedmann - Lawrence Livermore National Laboratory</v>
      </c>
      <c r="G12" s="150" t="s">
        <v>462</v>
      </c>
      <c r="H12" s="150" t="s">
        <v>463</v>
      </c>
      <c r="I12" s="150" t="s">
        <v>464</v>
      </c>
    </row>
    <row r="13" spans="1:12" s="146" customFormat="1" ht="28">
      <c r="B13" s="149">
        <f>B12+1</f>
        <v>3</v>
      </c>
      <c r="C13" s="150">
        <v>2009</v>
      </c>
      <c r="D13" s="150" t="s">
        <v>465</v>
      </c>
      <c r="E13" s="150" t="s">
        <v>466</v>
      </c>
      <c r="F13" s="148" t="str">
        <f t="shared" si="0"/>
        <v>José Goldemberg  - State of São Paulo, Brazil</v>
      </c>
      <c r="G13" s="150" t="s">
        <v>467</v>
      </c>
      <c r="H13" s="150"/>
      <c r="I13" s="150"/>
    </row>
    <row r="14" spans="1:12" s="146" customFormat="1" ht="42">
      <c r="B14" s="151">
        <f>B13+1</f>
        <v>4</v>
      </c>
      <c r="C14" s="152">
        <v>2009</v>
      </c>
      <c r="D14" s="152" t="s">
        <v>468</v>
      </c>
      <c r="E14" s="152" t="s">
        <v>469</v>
      </c>
      <c r="F14" s="148" t="str">
        <f t="shared" si="0"/>
        <v xml:space="preserve">SkyFuels - National Renewable Energy Laboratory </v>
      </c>
      <c r="G14" s="152" t="s">
        <v>470</v>
      </c>
      <c r="H14" s="152" t="s">
        <v>471</v>
      </c>
      <c r="I14" s="152" t="s">
        <v>472</v>
      </c>
    </row>
    <row r="15" spans="1:12" s="153" customFormat="1" ht="93.75" customHeight="1">
      <c r="A15" s="150" t="s">
        <v>223</v>
      </c>
      <c r="B15" s="149">
        <f>B14+1</f>
        <v>5</v>
      </c>
      <c r="C15" s="150">
        <v>2008</v>
      </c>
      <c r="D15" s="150" t="s">
        <v>273</v>
      </c>
      <c r="E15" s="150" t="s">
        <v>271</v>
      </c>
      <c r="F15" s="148" t="str">
        <f t="shared" si="0"/>
        <v>John A. "Skip" Laitner and Vanessa McKinney - American Council for an Energy Efficient Economy</v>
      </c>
      <c r="G15" s="150" t="s">
        <v>272</v>
      </c>
      <c r="H15" s="150" t="s">
        <v>147</v>
      </c>
      <c r="I15" s="150" t="s">
        <v>473</v>
      </c>
      <c r="J15" s="146" t="s">
        <v>474</v>
      </c>
    </row>
    <row r="16" spans="1:12" s="153" customFormat="1" ht="42">
      <c r="A16" s="150"/>
      <c r="B16" s="149">
        <f>B15+1</f>
        <v>6</v>
      </c>
      <c r="C16" s="150">
        <v>2008</v>
      </c>
      <c r="D16" s="150" t="s">
        <v>475</v>
      </c>
      <c r="E16" s="150" t="s">
        <v>476</v>
      </c>
      <c r="F16" s="148" t="str">
        <f t="shared" si="0"/>
        <v>David Roland-Holst - University of California, Berkeley</v>
      </c>
      <c r="G16" s="150" t="s">
        <v>477</v>
      </c>
      <c r="H16" s="150" t="s">
        <v>478</v>
      </c>
      <c r="I16" s="150" t="s">
        <v>479</v>
      </c>
      <c r="J16" s="146"/>
    </row>
    <row r="17" spans="1:10" s="153" customFormat="1" ht="28">
      <c r="A17" s="150"/>
      <c r="B17" s="149">
        <v>7</v>
      </c>
      <c r="C17" s="150">
        <v>2007</v>
      </c>
      <c r="D17" s="150" t="s">
        <v>493</v>
      </c>
      <c r="E17" s="150" t="s">
        <v>0</v>
      </c>
      <c r="F17" s="148" t="str">
        <f>D17</f>
        <v>Vestas</v>
      </c>
      <c r="G17" s="150" t="s">
        <v>494</v>
      </c>
      <c r="H17" s="150" t="s">
        <v>495</v>
      </c>
      <c r="I17" s="150" t="s">
        <v>496</v>
      </c>
      <c r="J17" s="146"/>
    </row>
    <row r="18" spans="1:10" s="153" customFormat="1" ht="42">
      <c r="A18" s="150"/>
      <c r="B18" s="149">
        <v>8</v>
      </c>
      <c r="C18" s="150">
        <v>2006</v>
      </c>
      <c r="D18" s="150" t="s">
        <v>480</v>
      </c>
      <c r="E18" s="150" t="s">
        <v>481</v>
      </c>
      <c r="F18" s="148" t="str">
        <f t="shared" si="0"/>
        <v>Winfried Hoffman, Sven Teske - European Photovoltaic Industry Association (EPIA) and Greenpeace</v>
      </c>
      <c r="G18" s="150" t="s">
        <v>482</v>
      </c>
      <c r="H18" s="150" t="s">
        <v>483</v>
      </c>
      <c r="I18" s="150" t="s">
        <v>484</v>
      </c>
      <c r="J18" s="146"/>
    </row>
    <row r="19" spans="1:10" s="153" customFormat="1" ht="84" customHeight="1">
      <c r="A19" s="150" t="s">
        <v>261</v>
      </c>
      <c r="B19" s="149">
        <v>9</v>
      </c>
      <c r="C19" s="150">
        <v>2006</v>
      </c>
      <c r="D19" s="150" t="s">
        <v>277</v>
      </c>
      <c r="E19" s="150" t="s">
        <v>278</v>
      </c>
      <c r="F19" s="148" t="str">
        <f t="shared" si="0"/>
        <v>Frithjof Staiss, et al. - Forschungsvorhaben im Auftrag des Bundesministeriums für Umwelt, Naturschutz und Reaktorsicherheit, Federal Republic of Germany.</v>
      </c>
      <c r="G19" s="150" t="s">
        <v>529</v>
      </c>
      <c r="H19" s="150" t="s">
        <v>530</v>
      </c>
      <c r="I19" s="150"/>
      <c r="J19" s="146" t="s">
        <v>485</v>
      </c>
    </row>
    <row r="20" spans="1:10" s="153" customFormat="1" ht="42">
      <c r="A20" s="150" t="s">
        <v>312</v>
      </c>
      <c r="B20" s="149">
        <v>10</v>
      </c>
      <c r="C20" s="150">
        <v>2006</v>
      </c>
      <c r="D20" s="150" t="s">
        <v>321</v>
      </c>
      <c r="E20" s="150" t="s">
        <v>318</v>
      </c>
      <c r="F20" s="148" t="str">
        <f t="shared" si="0"/>
        <v>George Sterzinger - Renewable Energy Policy Project (REPP)</v>
      </c>
      <c r="G20" s="150" t="s">
        <v>322</v>
      </c>
      <c r="H20" s="150" t="s">
        <v>486</v>
      </c>
      <c r="I20" s="150" t="s">
        <v>0</v>
      </c>
      <c r="J20" s="146" t="s">
        <v>323</v>
      </c>
    </row>
    <row r="21" spans="1:10" s="153" customFormat="1" ht="70">
      <c r="A21" s="150" t="s">
        <v>487</v>
      </c>
      <c r="B21" s="149">
        <v>11</v>
      </c>
      <c r="C21" s="150">
        <v>2006</v>
      </c>
      <c r="D21" s="150" t="s">
        <v>488</v>
      </c>
      <c r="E21" s="150" t="s">
        <v>489</v>
      </c>
      <c r="F21" s="148" t="str">
        <f t="shared" si="0"/>
        <v>L. Stoddard, J. Abiecunas, R. O'Connell - National Renewable Energy Laboratory</v>
      </c>
      <c r="G21" s="150" t="s">
        <v>490</v>
      </c>
      <c r="H21" s="150" t="s">
        <v>550</v>
      </c>
      <c r="I21" s="150" t="s">
        <v>491</v>
      </c>
      <c r="J21" s="146" t="s">
        <v>492</v>
      </c>
    </row>
    <row r="22" spans="1:10" s="153" customFormat="1" ht="42">
      <c r="A22" s="150" t="s">
        <v>497</v>
      </c>
      <c r="B22" s="149">
        <v>12</v>
      </c>
      <c r="C22" s="150">
        <v>2005</v>
      </c>
      <c r="D22" s="150" t="s">
        <v>498</v>
      </c>
      <c r="E22" s="150" t="s">
        <v>499</v>
      </c>
      <c r="F22" s="148" t="str">
        <f t="shared" si="0"/>
        <v>Doug Arent, John Tschirhart, Dick Watsson - Western Governors' Association: Geothermal Task Force</v>
      </c>
      <c r="G22" s="150" t="s">
        <v>500</v>
      </c>
      <c r="H22" s="150" t="s">
        <v>501</v>
      </c>
      <c r="I22" s="150"/>
      <c r="J22" s="146" t="s">
        <v>502</v>
      </c>
    </row>
    <row r="23" spans="1:10" s="153" customFormat="1" ht="70">
      <c r="A23" s="154"/>
      <c r="B23" s="149">
        <v>13</v>
      </c>
      <c r="C23" s="150">
        <v>2005</v>
      </c>
      <c r="D23" s="150" t="s">
        <v>503</v>
      </c>
      <c r="E23" s="150" t="s">
        <v>504</v>
      </c>
      <c r="F23" s="148" t="str">
        <f t="shared" si="0"/>
        <v>Jose Gil and Hugo Lucas - Institute for Diversification and Saving of Energy (Instituto para la Diversificacion y Ahorro de la Energia, IDAE)</v>
      </c>
      <c r="G23" s="150" t="s">
        <v>505</v>
      </c>
      <c r="H23" s="150" t="s">
        <v>528</v>
      </c>
      <c r="I23" s="150" t="s">
        <v>526</v>
      </c>
      <c r="J23" s="146" t="s">
        <v>527</v>
      </c>
    </row>
    <row r="24" spans="1:10" s="153" customFormat="1" ht="56">
      <c r="A24" s="150" t="s">
        <v>268</v>
      </c>
      <c r="B24" s="149">
        <v>14</v>
      </c>
      <c r="C24" s="150">
        <v>2004</v>
      </c>
      <c r="D24" s="150" t="s">
        <v>265</v>
      </c>
      <c r="E24" s="150" t="s">
        <v>266</v>
      </c>
      <c r="F24" s="148" t="str">
        <f t="shared" si="0"/>
        <v xml:space="preserve">Daniel M. Kammen, Kamal Kapadia, and Matthias Fripp - Energy and Resources Group, Universtiy of California, Berkeley.  </v>
      </c>
      <c r="G24" s="150" t="s">
        <v>263</v>
      </c>
      <c r="H24" s="150" t="s">
        <v>269</v>
      </c>
      <c r="I24" s="150" t="s">
        <v>270</v>
      </c>
      <c r="J24" s="146" t="s">
        <v>506</v>
      </c>
    </row>
    <row r="25" spans="1:10" s="153" customFormat="1" ht="70.5" customHeight="1">
      <c r="A25" s="150" t="s">
        <v>224</v>
      </c>
      <c r="B25" s="149">
        <v>15</v>
      </c>
      <c r="C25" s="150">
        <v>2004</v>
      </c>
      <c r="D25" s="150" t="s">
        <v>267</v>
      </c>
      <c r="E25" s="150" t="s">
        <v>311</v>
      </c>
      <c r="F25" s="148" t="str">
        <f t="shared" si="0"/>
        <v>C.R. Kenley, et al.  - Idaho National Engineering and Environmental Laboratory (INEEL) and Bechtel BWXT Idaho, LLC</v>
      </c>
      <c r="G25" s="150" t="s">
        <v>507</v>
      </c>
      <c r="H25" s="150" t="s">
        <v>508</v>
      </c>
      <c r="I25" s="150" t="s">
        <v>509</v>
      </c>
      <c r="J25" s="146" t="s">
        <v>510</v>
      </c>
    </row>
    <row r="26" spans="1:10" s="153" customFormat="1" ht="70">
      <c r="A26" s="150" t="s">
        <v>312</v>
      </c>
      <c r="B26" s="149">
        <v>16</v>
      </c>
      <c r="C26" s="150">
        <v>2002</v>
      </c>
      <c r="D26" s="150" t="s">
        <v>313</v>
      </c>
      <c r="E26" s="150" t="s">
        <v>314</v>
      </c>
      <c r="F26" s="148" t="str">
        <f t="shared" si="0"/>
        <v>Heavner and Churchill - CALPIRG (California Public Interest Research Group) Charitable Trust</v>
      </c>
      <c r="G26" s="150" t="s">
        <v>315</v>
      </c>
      <c r="H26" s="150" t="s">
        <v>511</v>
      </c>
      <c r="I26" s="150" t="s">
        <v>512</v>
      </c>
      <c r="J26" s="146" t="s">
        <v>316</v>
      </c>
    </row>
    <row r="27" spans="1:10" s="153" customFormat="1" ht="112">
      <c r="A27" s="150" t="s">
        <v>312</v>
      </c>
      <c r="B27" s="149">
        <f>B26+1</f>
        <v>17</v>
      </c>
      <c r="C27" s="150">
        <v>2001</v>
      </c>
      <c r="D27" s="150" t="s">
        <v>317</v>
      </c>
      <c r="E27" s="150" t="s">
        <v>318</v>
      </c>
      <c r="F27" s="150" t="s">
        <v>532</v>
      </c>
      <c r="G27" s="150" t="s">
        <v>319</v>
      </c>
      <c r="H27" s="150" t="s">
        <v>513</v>
      </c>
      <c r="I27" s="150" t="s">
        <v>514</v>
      </c>
      <c r="J27" s="146" t="s">
        <v>320</v>
      </c>
    </row>
    <row r="28" spans="1:10" ht="71" customHeight="1">
      <c r="A28" s="150"/>
      <c r="B28" s="149">
        <v>18</v>
      </c>
      <c r="C28" s="150">
        <v>2008</v>
      </c>
      <c r="D28" s="150"/>
      <c r="E28" s="150"/>
      <c r="F28" s="150"/>
      <c r="G28" s="516" t="s">
        <v>680</v>
      </c>
      <c r="H28" s="517" t="s">
        <v>681</v>
      </c>
      <c r="I28" s="517" t="s">
        <v>682</v>
      </c>
      <c r="J28" s="146" t="s">
        <v>683</v>
      </c>
    </row>
    <row r="29" spans="1:10">
      <c r="A29" s="150"/>
      <c r="B29" s="149"/>
      <c r="C29" s="150"/>
      <c r="D29" s="150"/>
      <c r="E29" s="150"/>
      <c r="F29" s="150"/>
      <c r="G29" s="516" t="s">
        <v>0</v>
      </c>
      <c r="H29" s="517"/>
      <c r="I29" s="517"/>
      <c r="J29" s="146"/>
    </row>
    <row r="30" spans="1:10">
      <c r="A30" s="150"/>
      <c r="B30" s="149"/>
      <c r="C30" s="150"/>
      <c r="D30" s="150"/>
      <c r="E30" s="150"/>
      <c r="F30" s="150"/>
      <c r="G30" s="150"/>
      <c r="H30" s="150"/>
      <c r="I30" s="150"/>
      <c r="J30" s="146"/>
    </row>
    <row r="31" spans="1:10" s="153" customFormat="1">
      <c r="A31" s="146"/>
      <c r="B31" s="156"/>
      <c r="C31" s="146"/>
      <c r="D31" s="146"/>
      <c r="E31" s="146"/>
      <c r="F31" s="146"/>
      <c r="G31" s="146"/>
      <c r="H31" s="146"/>
      <c r="I31" s="146"/>
      <c r="J31" s="146"/>
    </row>
    <row r="32" spans="1:10">
      <c r="A32" s="155"/>
      <c r="B32" s="156"/>
      <c r="C32" s="146"/>
      <c r="D32" s="146"/>
      <c r="E32" s="146"/>
      <c r="F32" s="146"/>
      <c r="G32" s="146"/>
      <c r="H32" s="146"/>
      <c r="I32" s="146"/>
      <c r="J32" s="146"/>
    </row>
    <row r="33" spans="1:10">
      <c r="A33" s="155"/>
      <c r="B33" s="156"/>
      <c r="C33" s="146"/>
      <c r="D33" s="146"/>
      <c r="E33" s="146"/>
      <c r="F33" s="146"/>
      <c r="G33" s="146"/>
      <c r="H33" s="146"/>
      <c r="I33" s="146"/>
      <c r="J33" s="146"/>
    </row>
    <row r="34" spans="1:10">
      <c r="A34" s="155"/>
      <c r="B34" s="156"/>
      <c r="C34" s="146"/>
      <c r="D34" s="146"/>
      <c r="E34" s="146"/>
      <c r="F34" s="146"/>
      <c r="G34" s="146"/>
      <c r="H34" s="146"/>
      <c r="I34" s="146"/>
      <c r="J34" s="146"/>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37"/>
  <sheetViews>
    <sheetView topLeftCell="A38" zoomScale="120" zoomScaleNormal="120" zoomScalePageLayoutView="120" workbookViewId="0">
      <selection activeCell="B54" sqref="B54:F56"/>
    </sheetView>
  </sheetViews>
  <sheetFormatPr baseColWidth="10" defaultColWidth="12.5" defaultRowHeight="16" x14ac:dyDescent="0"/>
  <cols>
    <col min="1" max="1" width="47.33203125" style="5" customWidth="1"/>
    <col min="2" max="2" width="13.6640625" style="349" bestFit="1" customWidth="1"/>
    <col min="3" max="6" width="13.1640625" style="349" bestFit="1" customWidth="1"/>
    <col min="7" max="7" width="13.1640625" style="304" bestFit="1" customWidth="1"/>
    <col min="8" max="19" width="14.5" style="304" bestFit="1" customWidth="1"/>
    <col min="20" max="21" width="16.5" style="304" bestFit="1" customWidth="1"/>
    <col min="22" max="37" width="12.5" style="304"/>
    <col min="38" max="16384" width="12.5" style="5"/>
  </cols>
  <sheetData>
    <row r="1" spans="1:37">
      <c r="A1" s="269" t="s">
        <v>684</v>
      </c>
    </row>
    <row r="2" spans="1:37">
      <c r="A2" s="273" t="s">
        <v>665</v>
      </c>
    </row>
    <row r="3" spans="1:37">
      <c r="A3" s="273" t="s">
        <v>638</v>
      </c>
    </row>
    <row r="4" spans="1:37">
      <c r="A4" s="273" t="s">
        <v>588</v>
      </c>
    </row>
    <row r="6" spans="1:37">
      <c r="A6" s="6" t="s">
        <v>685</v>
      </c>
    </row>
    <row r="7" spans="1:37">
      <c r="A7" s="6" t="s">
        <v>63</v>
      </c>
    </row>
    <row r="8" spans="1:37">
      <c r="A8" s="78" t="s">
        <v>686</v>
      </c>
    </row>
    <row r="10" spans="1:37">
      <c r="AK10" s="305"/>
    </row>
    <row r="11" spans="1:37">
      <c r="B11" s="369" t="s">
        <v>5</v>
      </c>
      <c r="C11" s="369" t="s">
        <v>6</v>
      </c>
      <c r="D11" s="369" t="s">
        <v>7</v>
      </c>
      <c r="E11" s="369" t="s">
        <v>8</v>
      </c>
      <c r="F11" s="369" t="s">
        <v>9</v>
      </c>
      <c r="G11" s="324" t="s">
        <v>10</v>
      </c>
      <c r="H11" s="324" t="s">
        <v>11</v>
      </c>
      <c r="I11" s="324" t="s">
        <v>12</v>
      </c>
      <c r="J11" s="324" t="s">
        <v>13</v>
      </c>
      <c r="K11" s="324" t="s">
        <v>14</v>
      </c>
      <c r="L11" s="324" t="s">
        <v>15</v>
      </c>
      <c r="M11" s="324" t="s">
        <v>16</v>
      </c>
      <c r="N11" s="324" t="s">
        <v>17</v>
      </c>
      <c r="O11" s="324" t="s">
        <v>18</v>
      </c>
      <c r="P11" s="324" t="s">
        <v>19</v>
      </c>
      <c r="Q11" s="324" t="s">
        <v>20</v>
      </c>
      <c r="R11" s="324" t="s">
        <v>21</v>
      </c>
      <c r="S11" s="324" t="s">
        <v>22</v>
      </c>
      <c r="T11" s="324" t="s">
        <v>23</v>
      </c>
      <c r="U11" s="324" t="s">
        <v>24</v>
      </c>
      <c r="V11" s="324" t="s">
        <v>25</v>
      </c>
      <c r="W11" s="324" t="s">
        <v>26</v>
      </c>
      <c r="X11" s="324" t="s">
        <v>27</v>
      </c>
      <c r="Y11" s="324" t="s">
        <v>28</v>
      </c>
      <c r="Z11" s="324" t="s">
        <v>29</v>
      </c>
      <c r="AA11" s="324" t="s">
        <v>578</v>
      </c>
      <c r="AB11" s="324" t="s">
        <v>579</v>
      </c>
      <c r="AC11" s="324" t="s">
        <v>580</v>
      </c>
      <c r="AD11" s="324" t="s">
        <v>581</v>
      </c>
      <c r="AE11" s="324" t="s">
        <v>582</v>
      </c>
      <c r="AF11" s="324" t="s">
        <v>583</v>
      </c>
      <c r="AG11" s="324" t="s">
        <v>584</v>
      </c>
      <c r="AH11" s="324" t="s">
        <v>585</v>
      </c>
      <c r="AI11" s="324" t="s">
        <v>586</v>
      </c>
      <c r="AJ11" s="324" t="s">
        <v>587</v>
      </c>
      <c r="AK11" s="324" t="s">
        <v>590</v>
      </c>
    </row>
    <row r="14" spans="1:37">
      <c r="A14" s="6" t="s">
        <v>64</v>
      </c>
    </row>
    <row r="16" spans="1:37">
      <c r="A16" s="6" t="s">
        <v>30</v>
      </c>
    </row>
    <row r="17" spans="1:38" s="252" customFormat="1">
      <c r="A17" s="251" t="s">
        <v>65</v>
      </c>
      <c r="B17" s="349"/>
      <c r="C17" s="349"/>
      <c r="D17" s="349"/>
      <c r="E17" s="349"/>
      <c r="F17" s="349"/>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row>
    <row r="18" spans="1:38" s="252" customFormat="1">
      <c r="A18" s="251" t="s">
        <v>66</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2" customFormat="1">
      <c r="A19" s="251" t="s">
        <v>67</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2" customFormat="1">
      <c r="A20" s="251" t="s">
        <v>68</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2" customFormat="1">
      <c r="A21" s="251" t="s">
        <v>69</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2" customFormat="1">
      <c r="A22" s="251" t="s">
        <v>70</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2" customFormat="1">
      <c r="A23" s="251" t="s">
        <v>71</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2" customFormat="1">
      <c r="A24" s="251" t="s">
        <v>72</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2" customFormat="1">
      <c r="A25" s="251"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2" customFormat="1">
      <c r="A26" s="251" t="s">
        <v>73</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2" customFormat="1">
      <c r="A27" s="251" t="s">
        <v>66</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2" customFormat="1">
      <c r="A28" s="251" t="s">
        <v>67</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2" customFormat="1">
      <c r="A29" s="251" t="s">
        <v>74</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2" customFormat="1">
      <c r="A30" s="251" t="s">
        <v>75</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2" customFormat="1">
      <c r="A31" s="251"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2" customFormat="1">
      <c r="A32" s="251" t="s">
        <v>76</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s="252" customFormat="1">
      <c r="A33" s="251" t="s">
        <v>77</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s="252"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s="252" customFormat="1">
      <c r="A35" s="251" t="s">
        <v>78</v>
      </c>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s="252" customFormat="1">
      <c r="B36"/>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s="252" customFormat="1">
      <c r="A37" s="251" t="s">
        <v>625</v>
      </c>
      <c r="B3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s="252" customFormat="1">
      <c r="A38" s="251" t="s">
        <v>66</v>
      </c>
      <c r="B38"/>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s="252" customFormat="1">
      <c r="A39" s="251" t="s">
        <v>67</v>
      </c>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s="252" customFormat="1">
      <c r="A40" s="251" t="s">
        <v>74</v>
      </c>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s="252" customFormat="1">
      <c r="A41" s="251" t="s">
        <v>79</v>
      </c>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s="252" customFormat="1">
      <c r="A42" s="251" t="s">
        <v>624</v>
      </c>
      <c r="B42"/>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1:38" s="252" customFormat="1">
      <c r="A43" s="251" t="s">
        <v>83</v>
      </c>
      <c r="B43"/>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1:38" s="252" customFormat="1">
      <c r="A44" s="251"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s="252" customFormat="1">
      <c r="A45" s="251"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s="252" customFormat="1">
      <c r="A46" s="251"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38" s="254" customFormat="1">
      <c r="B47" s="369" t="s">
        <v>5</v>
      </c>
      <c r="C47" s="369" t="s">
        <v>6</v>
      </c>
      <c r="D47" s="369" t="s">
        <v>7</v>
      </c>
      <c r="E47" s="369" t="s">
        <v>8</v>
      </c>
      <c r="F47" s="369" t="s">
        <v>9</v>
      </c>
      <c r="G47" s="328" t="s">
        <v>10</v>
      </c>
      <c r="H47" s="328" t="s">
        <v>11</v>
      </c>
      <c r="I47" s="328" t="s">
        <v>12</v>
      </c>
      <c r="J47" s="328" t="s">
        <v>13</v>
      </c>
      <c r="K47" s="328" t="s">
        <v>14</v>
      </c>
      <c r="L47" s="328" t="s">
        <v>15</v>
      </c>
      <c r="M47" s="328" t="s">
        <v>16</v>
      </c>
      <c r="N47" s="328" t="s">
        <v>17</v>
      </c>
      <c r="O47" s="328" t="s">
        <v>18</v>
      </c>
      <c r="P47" s="328" t="s">
        <v>19</v>
      </c>
      <c r="Q47" s="328" t="s">
        <v>20</v>
      </c>
      <c r="R47" s="328" t="s">
        <v>21</v>
      </c>
      <c r="S47" s="328" t="s">
        <v>22</v>
      </c>
      <c r="T47" s="328" t="s">
        <v>23</v>
      </c>
      <c r="U47" s="328" t="s">
        <v>24</v>
      </c>
      <c r="V47" s="328" t="s">
        <v>25</v>
      </c>
      <c r="W47" s="328" t="s">
        <v>26</v>
      </c>
      <c r="X47" s="328" t="s">
        <v>27</v>
      </c>
      <c r="Y47" s="328" t="s">
        <v>28</v>
      </c>
      <c r="Z47" s="328" t="s">
        <v>29</v>
      </c>
      <c r="AA47" s="328" t="s">
        <v>578</v>
      </c>
      <c r="AB47" s="328" t="s">
        <v>579</v>
      </c>
      <c r="AC47" s="328" t="s">
        <v>580</v>
      </c>
      <c r="AD47" s="328" t="s">
        <v>581</v>
      </c>
      <c r="AE47" s="328" t="s">
        <v>582</v>
      </c>
      <c r="AF47" s="328" t="s">
        <v>583</v>
      </c>
      <c r="AG47" s="328" t="s">
        <v>584</v>
      </c>
      <c r="AH47" s="328" t="s">
        <v>585</v>
      </c>
      <c r="AI47" s="328" t="s">
        <v>586</v>
      </c>
      <c r="AJ47" s="328" t="s">
        <v>587</v>
      </c>
      <c r="AK47" s="328" t="s">
        <v>590</v>
      </c>
    </row>
    <row r="48" spans="1:38" s="256" customFormat="1">
      <c r="A48" s="255" t="s">
        <v>82</v>
      </c>
      <c r="B48" s="370"/>
      <c r="C48" s="370"/>
      <c r="D48" s="370"/>
      <c r="E48" s="370"/>
      <c r="F48" s="370"/>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row>
    <row r="49" spans="1:38" s="256" customFormat="1">
      <c r="A49" s="255" t="s">
        <v>66</v>
      </c>
      <c r="B49" s="489">
        <v>67.78</v>
      </c>
      <c r="C49" s="489">
        <v>70.811000000000007</v>
      </c>
      <c r="D49" s="489">
        <v>69.855000000000004</v>
      </c>
      <c r="E49" s="489">
        <v>66.847999999999999</v>
      </c>
      <c r="F49" s="489">
        <v>65.603999999999999</v>
      </c>
      <c r="G49" s="511">
        <v>55.900894000000001</v>
      </c>
      <c r="H49" s="511">
        <v>50.602634000000002</v>
      </c>
      <c r="I49" s="511">
        <v>57.210963999999997</v>
      </c>
      <c r="J49" s="511">
        <v>57.972178999999997</v>
      </c>
      <c r="K49" s="511">
        <v>59.441710999999998</v>
      </c>
      <c r="L49" s="511">
        <v>41.381863000000003</v>
      </c>
      <c r="M49" s="511">
        <v>37.921813999999998</v>
      </c>
      <c r="N49" s="511">
        <v>38.652907999999996</v>
      </c>
      <c r="O49" s="511">
        <v>38.823214999999998</v>
      </c>
      <c r="P49" s="511">
        <v>39.091769999999997</v>
      </c>
      <c r="Q49" s="511">
        <v>38.181247999999997</v>
      </c>
      <c r="R49" s="511">
        <v>38.397326999999997</v>
      </c>
      <c r="S49" s="511">
        <v>38.618659999999998</v>
      </c>
      <c r="T49" s="511">
        <v>39.688980000000001</v>
      </c>
      <c r="U49" s="511">
        <v>40.972782000000002</v>
      </c>
      <c r="V49" s="511">
        <v>41.276051000000002</v>
      </c>
      <c r="W49" s="511">
        <v>41.587173</v>
      </c>
      <c r="X49" s="511">
        <v>41.571472</v>
      </c>
      <c r="Y49" s="511">
        <v>41.516818999999998</v>
      </c>
      <c r="Z49" s="511">
        <v>41.197361000000001</v>
      </c>
      <c r="AA49" s="511">
        <v>40.981236000000003</v>
      </c>
      <c r="AB49" s="511">
        <v>40.887118999999998</v>
      </c>
      <c r="AC49" s="511">
        <v>40.850276999999998</v>
      </c>
      <c r="AD49" s="511">
        <v>40.815266000000001</v>
      </c>
      <c r="AE49" s="511">
        <v>40.780712000000001</v>
      </c>
      <c r="AF49" s="511">
        <v>40.746628000000001</v>
      </c>
      <c r="AG49" s="511">
        <v>40.732559000000002</v>
      </c>
      <c r="AH49" s="511">
        <v>40.702126</v>
      </c>
      <c r="AI49" s="511">
        <v>40.668292999999998</v>
      </c>
      <c r="AJ49" s="511">
        <v>40.636077999999998</v>
      </c>
      <c r="AK49" s="513">
        <v>-8.0000000000000002E-3</v>
      </c>
    </row>
    <row r="50" spans="1:38" s="256" customFormat="1">
      <c r="A50" s="255" t="s">
        <v>67</v>
      </c>
      <c r="B50" s="490">
        <v>0.40200000000000002</v>
      </c>
      <c r="C50" s="490">
        <v>0.69899999999999995</v>
      </c>
      <c r="D50" s="490">
        <v>0.45800000000000002</v>
      </c>
      <c r="E50" s="490">
        <v>0.39900000000000002</v>
      </c>
      <c r="F50" s="490">
        <v>0.38200000000000001</v>
      </c>
      <c r="G50" s="511">
        <v>0.22878699999999999</v>
      </c>
      <c r="H50" s="511">
        <v>0.19717799999999999</v>
      </c>
      <c r="I50" s="511">
        <v>0.229827</v>
      </c>
      <c r="J50" s="511">
        <v>0.232881</v>
      </c>
      <c r="K50" s="511">
        <v>0.23872699999999999</v>
      </c>
      <c r="L50" s="511">
        <v>0.16711599999999999</v>
      </c>
      <c r="M50" s="511">
        <v>0.153197</v>
      </c>
      <c r="N50" s="511">
        <v>0.156166</v>
      </c>
      <c r="O50" s="511">
        <v>0.15734100000000001</v>
      </c>
      <c r="P50" s="511">
        <v>0.15845100000000001</v>
      </c>
      <c r="Q50" s="511">
        <v>0.15504200000000001</v>
      </c>
      <c r="R50" s="511">
        <v>0.155918</v>
      </c>
      <c r="S50" s="511">
        <v>0.15681300000000001</v>
      </c>
      <c r="T50" s="511">
        <v>0.16111600000000001</v>
      </c>
      <c r="U50" s="511">
        <v>0.16630700000000001</v>
      </c>
      <c r="V50" s="511">
        <v>0.16750000000000001</v>
      </c>
      <c r="W50" s="511">
        <v>0.16874700000000001</v>
      </c>
      <c r="X50" s="511">
        <v>0.168683</v>
      </c>
      <c r="Y50" s="511">
        <v>0.16858000000000001</v>
      </c>
      <c r="Z50" s="511">
        <v>0.16845599999999999</v>
      </c>
      <c r="AA50" s="511">
        <v>0.16834499999999999</v>
      </c>
      <c r="AB50" s="511">
        <v>0.16824900000000001</v>
      </c>
      <c r="AC50" s="511">
        <v>0.16811599999999999</v>
      </c>
      <c r="AD50" s="511">
        <v>0.16799600000000001</v>
      </c>
      <c r="AE50" s="511">
        <v>0.167876</v>
      </c>
      <c r="AF50" s="511">
        <v>0.16770499999999999</v>
      </c>
      <c r="AG50" s="511">
        <v>0.16764799999999999</v>
      </c>
      <c r="AH50" s="511">
        <v>0.167517</v>
      </c>
      <c r="AI50" s="511">
        <v>0.167354</v>
      </c>
      <c r="AJ50" s="511">
        <v>0.16723499999999999</v>
      </c>
      <c r="AK50" s="513">
        <v>-6.0000000000000001E-3</v>
      </c>
    </row>
    <row r="51" spans="1:38" s="256" customFormat="1">
      <c r="A51" s="255" t="s">
        <v>74</v>
      </c>
      <c r="B51" s="490">
        <v>11.41</v>
      </c>
      <c r="C51" s="490">
        <v>13.141</v>
      </c>
      <c r="D51" s="490">
        <v>9.6020000000000003</v>
      </c>
      <c r="E51" s="490">
        <v>8.42</v>
      </c>
      <c r="F51" s="490">
        <v>12.249000000000001</v>
      </c>
      <c r="G51" s="511">
        <v>12.554155</v>
      </c>
      <c r="H51" s="511">
        <v>21.097325999999999</v>
      </c>
      <c r="I51" s="511">
        <v>16.455677000000001</v>
      </c>
      <c r="J51" s="511">
        <v>20.670611999999998</v>
      </c>
      <c r="K51" s="511">
        <v>19.890544999999999</v>
      </c>
      <c r="L51" s="511">
        <v>34.457352</v>
      </c>
      <c r="M51" s="511">
        <v>35.254142999999999</v>
      </c>
      <c r="N51" s="511">
        <v>35.005383000000002</v>
      </c>
      <c r="O51" s="511">
        <v>35.061123000000002</v>
      </c>
      <c r="P51" s="511">
        <v>35.341576000000003</v>
      </c>
      <c r="Q51" s="511">
        <v>35.108947999999998</v>
      </c>
      <c r="R51" s="511">
        <v>36.472136999999996</v>
      </c>
      <c r="S51" s="511">
        <v>36.432254999999998</v>
      </c>
      <c r="T51" s="511">
        <v>36.237946000000001</v>
      </c>
      <c r="U51" s="511">
        <v>35.888382</v>
      </c>
      <c r="V51" s="511">
        <v>37.328071999999999</v>
      </c>
      <c r="W51" s="511">
        <v>37.990231000000001</v>
      </c>
      <c r="X51" s="511">
        <v>39.762512000000001</v>
      </c>
      <c r="Y51" s="511">
        <v>40.352592000000001</v>
      </c>
      <c r="Z51" s="511">
        <v>40.806373999999998</v>
      </c>
      <c r="AA51" s="511">
        <v>41.141384000000002</v>
      </c>
      <c r="AB51" s="511">
        <v>39.289627000000003</v>
      </c>
      <c r="AC51" s="511">
        <v>39.571930000000002</v>
      </c>
      <c r="AD51" s="511">
        <v>39.314117000000003</v>
      </c>
      <c r="AE51" s="511">
        <v>39.679256000000002</v>
      </c>
      <c r="AF51" s="511">
        <v>39.953777000000002</v>
      </c>
      <c r="AG51" s="511">
        <v>39.555458000000002</v>
      </c>
      <c r="AH51" s="511">
        <v>41.092606000000004</v>
      </c>
      <c r="AI51" s="511">
        <v>41.256332</v>
      </c>
      <c r="AJ51" s="511">
        <v>42.087429</v>
      </c>
      <c r="AK51" s="513">
        <v>2.5000000000000001E-2</v>
      </c>
    </row>
    <row r="52" spans="1:38" s="256" customFormat="1">
      <c r="A52" s="255" t="s">
        <v>69</v>
      </c>
      <c r="B52" s="491">
        <v>29.065999999999999</v>
      </c>
      <c r="C52" s="491">
        <v>31.516999999999999</v>
      </c>
      <c r="D52" s="491">
        <v>31.484000000000002</v>
      </c>
      <c r="E52" s="491">
        <v>21.850999999999999</v>
      </c>
      <c r="F52" s="491">
        <v>29.625</v>
      </c>
      <c r="G52" s="511">
        <v>15.531000000000001</v>
      </c>
      <c r="H52" s="511">
        <v>10.3</v>
      </c>
      <c r="I52" s="511">
        <v>13.514122</v>
      </c>
      <c r="J52" s="511">
        <v>13.581747</v>
      </c>
      <c r="K52" s="511">
        <v>14.069691000000001</v>
      </c>
      <c r="L52" s="511">
        <v>14.260835999999999</v>
      </c>
      <c r="M52" s="511">
        <v>14.328453</v>
      </c>
      <c r="N52" s="511">
        <v>14.396049</v>
      </c>
      <c r="O52" s="511">
        <v>14.396049</v>
      </c>
      <c r="P52" s="511">
        <v>14.396049</v>
      </c>
      <c r="Q52" s="511">
        <v>14.396049</v>
      </c>
      <c r="R52" s="511">
        <v>14.396049</v>
      </c>
      <c r="S52" s="511">
        <v>14.396048</v>
      </c>
      <c r="T52" s="511">
        <v>14.396049</v>
      </c>
      <c r="U52" s="511">
        <v>14.396049</v>
      </c>
      <c r="V52" s="511">
        <v>14.396049</v>
      </c>
      <c r="W52" s="511">
        <v>14.396049</v>
      </c>
      <c r="X52" s="511">
        <v>14.396048</v>
      </c>
      <c r="Y52" s="511">
        <v>14.396048</v>
      </c>
      <c r="Z52" s="511">
        <v>14.396049</v>
      </c>
      <c r="AA52" s="511">
        <v>14.396048</v>
      </c>
      <c r="AB52" s="511">
        <v>14.396049</v>
      </c>
      <c r="AC52" s="511">
        <v>14.396049</v>
      </c>
      <c r="AD52" s="511">
        <v>14.396049</v>
      </c>
      <c r="AE52" s="511">
        <v>14.396049</v>
      </c>
      <c r="AF52" s="511">
        <v>14.396049</v>
      </c>
      <c r="AG52" s="511">
        <v>14.396049</v>
      </c>
      <c r="AH52" s="511">
        <v>14.396049</v>
      </c>
      <c r="AI52" s="511">
        <v>14.396049</v>
      </c>
      <c r="AJ52" s="511">
        <v>14.396049</v>
      </c>
      <c r="AK52" s="513">
        <v>1.2E-2</v>
      </c>
    </row>
    <row r="53" spans="1:38" s="256" customFormat="1">
      <c r="A53" s="255" t="s">
        <v>687</v>
      </c>
      <c r="B53" s="493"/>
      <c r="C53" s="493"/>
      <c r="D53" s="493"/>
      <c r="E53" s="493"/>
      <c r="F53" s="493"/>
      <c r="G53" s="511">
        <v>1.3368</v>
      </c>
      <c r="H53" s="511">
        <v>1.3368</v>
      </c>
      <c r="I53" s="511">
        <v>1.3368</v>
      </c>
      <c r="J53" s="511">
        <v>1.3368</v>
      </c>
      <c r="K53" s="511">
        <v>1.3368</v>
      </c>
      <c r="L53" s="511">
        <v>1.3368</v>
      </c>
      <c r="M53" s="511">
        <v>1.3368</v>
      </c>
      <c r="N53" s="511">
        <v>1.3368</v>
      </c>
      <c r="O53" s="511">
        <v>1.3368</v>
      </c>
      <c r="P53" s="511">
        <v>1.3368</v>
      </c>
      <c r="Q53" s="511">
        <v>1.3368</v>
      </c>
      <c r="R53" s="511">
        <v>1.3368</v>
      </c>
      <c r="S53" s="511">
        <v>1.3368</v>
      </c>
      <c r="T53" s="511">
        <v>1.3368</v>
      </c>
      <c r="U53" s="511">
        <v>1.3397190000000001</v>
      </c>
      <c r="V53" s="511">
        <v>1.341018</v>
      </c>
      <c r="W53" s="511">
        <v>1.341018</v>
      </c>
      <c r="X53" s="511">
        <v>1.3414269999999999</v>
      </c>
      <c r="Y53" s="511">
        <v>1.3415699999999999</v>
      </c>
      <c r="Z53" s="511">
        <v>1.341663</v>
      </c>
      <c r="AA53" s="511">
        <v>1.341717</v>
      </c>
      <c r="AB53" s="511">
        <v>1.341982</v>
      </c>
      <c r="AC53" s="511">
        <v>1.3420240000000001</v>
      </c>
      <c r="AD53" s="511">
        <v>1.3420730000000001</v>
      </c>
      <c r="AE53" s="511">
        <v>1.342217</v>
      </c>
      <c r="AF53" s="511">
        <v>1.342336</v>
      </c>
      <c r="AG53" s="511">
        <v>1.342468</v>
      </c>
      <c r="AH53" s="511">
        <v>1.342716</v>
      </c>
      <c r="AI53" s="511">
        <v>1.342824</v>
      </c>
      <c r="AJ53" s="511">
        <v>1.342905</v>
      </c>
      <c r="AK53" s="513">
        <v>0</v>
      </c>
    </row>
    <row r="54" spans="1:38" s="256" customFormat="1">
      <c r="A54" s="255" t="s">
        <v>626</v>
      </c>
      <c r="B54" s="491">
        <v>3.9630000000000001</v>
      </c>
      <c r="C54" s="491">
        <v>3.6869999999999998</v>
      </c>
      <c r="D54" s="491">
        <v>3.956</v>
      </c>
      <c r="E54" s="491">
        <v>3.9950000000000001</v>
      </c>
      <c r="F54" s="491">
        <v>4.0830000000000002</v>
      </c>
      <c r="G54" s="511">
        <v>2.530751</v>
      </c>
      <c r="H54" s="511">
        <v>3.1176520000000001</v>
      </c>
      <c r="I54" s="511">
        <v>4.4229859999999999</v>
      </c>
      <c r="J54" s="511">
        <v>4.6741349999999997</v>
      </c>
      <c r="K54" s="511">
        <v>7.5807419999999999</v>
      </c>
      <c r="L54" s="511">
        <v>9.5343440000000008</v>
      </c>
      <c r="M54" s="511">
        <v>9.5580079999999992</v>
      </c>
      <c r="N54" s="511">
        <v>9.5325900000000008</v>
      </c>
      <c r="O54" s="511">
        <v>9.6557340000000007</v>
      </c>
      <c r="P54" s="511">
        <v>9.6634259999999994</v>
      </c>
      <c r="Q54" s="511">
        <v>9.7410560000000004</v>
      </c>
      <c r="R54" s="511">
        <v>9.7456910000000008</v>
      </c>
      <c r="S54" s="511">
        <v>9.7208330000000007</v>
      </c>
      <c r="T54" s="511">
        <v>9.7657589999999992</v>
      </c>
      <c r="U54" s="511">
        <v>9.7674020000000006</v>
      </c>
      <c r="V54" s="511">
        <v>9.7475629999999995</v>
      </c>
      <c r="W54" s="511">
        <v>9.7208279999999991</v>
      </c>
      <c r="X54" s="511">
        <v>9.7359770000000001</v>
      </c>
      <c r="Y54" s="511">
        <v>9.7610449999999993</v>
      </c>
      <c r="Z54" s="511">
        <v>10.069252000000001</v>
      </c>
      <c r="AA54" s="511">
        <v>10.257095</v>
      </c>
      <c r="AB54" s="511">
        <v>10.320019</v>
      </c>
      <c r="AC54" s="511">
        <v>10.341502</v>
      </c>
      <c r="AD54" s="511">
        <v>10.356407000000001</v>
      </c>
      <c r="AE54" s="511">
        <v>10.354006</v>
      </c>
      <c r="AF54" s="511">
        <v>10.354176000000001</v>
      </c>
      <c r="AG54" s="511">
        <v>10.374677999999999</v>
      </c>
      <c r="AH54" s="511">
        <v>10.383587</v>
      </c>
      <c r="AI54" s="511">
        <v>10.413254999999999</v>
      </c>
      <c r="AJ54" s="511">
        <v>10.455489</v>
      </c>
      <c r="AK54" s="513">
        <v>4.3999999999999997E-2</v>
      </c>
    </row>
    <row r="55" spans="1:38" s="256" customFormat="1">
      <c r="A55" s="255" t="s">
        <v>627</v>
      </c>
      <c r="B55" s="491">
        <v>0.56299999999999994</v>
      </c>
      <c r="C55" s="491">
        <v>0.30299999999999999</v>
      </c>
      <c r="D55" s="491">
        <v>0.28599999999999998</v>
      </c>
      <c r="E55" s="491">
        <v>0.34399999999999997</v>
      </c>
      <c r="F55" s="491">
        <v>0.33200000000000002</v>
      </c>
      <c r="G55" s="511">
        <v>-0.498525</v>
      </c>
      <c r="H55" s="511">
        <v>-0.280945</v>
      </c>
      <c r="I55" s="511">
        <v>-0.261689</v>
      </c>
      <c r="J55" s="511">
        <v>-0.261689</v>
      </c>
      <c r="K55" s="511">
        <v>-0.26168799999999998</v>
      </c>
      <c r="L55" s="511">
        <v>-0.261689</v>
      </c>
      <c r="M55" s="511">
        <v>-0.261689</v>
      </c>
      <c r="N55" s="511">
        <v>-0.261689</v>
      </c>
      <c r="O55" s="511">
        <v>-0.261689</v>
      </c>
      <c r="P55" s="511">
        <v>-0.26141999999999999</v>
      </c>
      <c r="Q55" s="511">
        <v>-0.260934</v>
      </c>
      <c r="R55" s="511">
        <v>-0.26052500000000001</v>
      </c>
      <c r="S55" s="511">
        <v>-0.26052500000000001</v>
      </c>
      <c r="T55" s="511">
        <v>-0.26052500000000001</v>
      </c>
      <c r="U55" s="511">
        <v>-0.25995699999999999</v>
      </c>
      <c r="V55" s="511">
        <v>-0.25961200000000001</v>
      </c>
      <c r="W55" s="511">
        <v>-0.25950899999999999</v>
      </c>
      <c r="X55" s="511">
        <v>-0.25910100000000003</v>
      </c>
      <c r="Y55" s="511">
        <v>-0.25910100000000003</v>
      </c>
      <c r="Z55" s="511">
        <v>-0.25910100000000003</v>
      </c>
      <c r="AA55" s="511">
        <v>-0.25910100000000003</v>
      </c>
      <c r="AB55" s="511">
        <v>-0.25910100000000003</v>
      </c>
      <c r="AC55" s="511">
        <v>-0.25910100000000003</v>
      </c>
      <c r="AD55" s="511">
        <v>-0.25910100000000003</v>
      </c>
      <c r="AE55" s="511">
        <v>-0.25910100000000003</v>
      </c>
      <c r="AF55" s="511">
        <v>-0.25910100000000003</v>
      </c>
      <c r="AG55" s="511">
        <v>-0.259071</v>
      </c>
      <c r="AH55" s="511">
        <v>-0.25905299999999998</v>
      </c>
      <c r="AI55" s="511">
        <v>-0.25903500000000002</v>
      </c>
      <c r="AJ55" s="511">
        <v>-0.25894499999999998</v>
      </c>
      <c r="AK55" s="513">
        <v>-3.0000000000000001E-3</v>
      </c>
    </row>
    <row r="56" spans="1:38" s="256" customFormat="1">
      <c r="A56" s="255" t="s">
        <v>84</v>
      </c>
      <c r="B56" s="492">
        <v>112.557</v>
      </c>
      <c r="C56" s="492">
        <v>119.31</v>
      </c>
      <c r="D56" s="492">
        <v>114.99</v>
      </c>
      <c r="E56" s="492">
        <v>101.203</v>
      </c>
      <c r="F56" s="492">
        <v>111.551</v>
      </c>
      <c r="G56" s="512">
        <v>86.247062999999997</v>
      </c>
      <c r="H56" s="512">
        <v>85.033851999999996</v>
      </c>
      <c r="I56" s="512">
        <v>91.571892000000005</v>
      </c>
      <c r="J56" s="512">
        <v>96.869865000000004</v>
      </c>
      <c r="K56" s="512">
        <v>100.97511299999999</v>
      </c>
      <c r="L56" s="512">
        <v>99.557158999999999</v>
      </c>
      <c r="M56" s="512">
        <v>96.973747000000003</v>
      </c>
      <c r="N56" s="512">
        <v>97.503119999999996</v>
      </c>
      <c r="O56" s="512">
        <v>97.853981000000005</v>
      </c>
      <c r="P56" s="512">
        <v>98.413596999999996</v>
      </c>
      <c r="Q56" s="512">
        <v>97.352126999999996</v>
      </c>
      <c r="R56" s="512">
        <v>98.940605000000005</v>
      </c>
      <c r="S56" s="512">
        <v>99.108292000000006</v>
      </c>
      <c r="T56" s="512">
        <v>100.036339</v>
      </c>
      <c r="U56" s="512">
        <v>100.980469</v>
      </c>
      <c r="V56" s="512">
        <v>102.707848</v>
      </c>
      <c r="W56" s="512">
        <v>103.658012</v>
      </c>
      <c r="X56" s="512">
        <v>105.430992</v>
      </c>
      <c r="Y56" s="512">
        <v>105.99337</v>
      </c>
      <c r="Z56" s="512">
        <v>106.437935</v>
      </c>
      <c r="AA56" s="512">
        <v>106.74646799999999</v>
      </c>
      <c r="AB56" s="512">
        <v>104.86546300000001</v>
      </c>
      <c r="AC56" s="512">
        <v>105.13473500000001</v>
      </c>
      <c r="AD56" s="512">
        <v>104.859467</v>
      </c>
      <c r="AE56" s="512">
        <v>105.190369</v>
      </c>
      <c r="AF56" s="512">
        <v>105.43364</v>
      </c>
      <c r="AG56" s="512">
        <v>105.05085</v>
      </c>
      <c r="AH56" s="512">
        <v>106.576897</v>
      </c>
      <c r="AI56" s="512">
        <v>106.746529</v>
      </c>
      <c r="AJ56" s="512">
        <v>107.596054</v>
      </c>
      <c r="AK56" s="514">
        <v>8.0000000000000002E-3</v>
      </c>
    </row>
    <row r="57" spans="1:38" s="256" customFormat="1">
      <c r="B57" s="496"/>
      <c r="C57" s="496"/>
      <c r="D57" s="496"/>
      <c r="E57" s="496"/>
      <c r="F57" s="496"/>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row>
    <row r="58" spans="1:38" s="256" customFormat="1">
      <c r="A58" s="255" t="s">
        <v>85</v>
      </c>
      <c r="B58" s="493">
        <f>SUM(B49:B52,B54,B55)</f>
        <v>113.184</v>
      </c>
      <c r="C58" s="493">
        <f t="shared" ref="C58:AJ58" si="0">SUM(C49:C52,C54,C55)</f>
        <v>120.158</v>
      </c>
      <c r="D58" s="493">
        <f t="shared" si="0"/>
        <v>115.64100000000001</v>
      </c>
      <c r="E58" s="493">
        <f t="shared" si="0"/>
        <v>101.857</v>
      </c>
      <c r="F58" s="493">
        <f t="shared" si="0"/>
        <v>112.27499999999999</v>
      </c>
      <c r="G58" s="493">
        <f t="shared" si="0"/>
        <v>86.247062</v>
      </c>
      <c r="H58" s="493">
        <f t="shared" si="0"/>
        <v>85.033844999999999</v>
      </c>
      <c r="I58" s="493">
        <f t="shared" si="0"/>
        <v>91.57188699999999</v>
      </c>
      <c r="J58" s="493">
        <f t="shared" si="0"/>
        <v>96.86986499999999</v>
      </c>
      <c r="K58" s="493">
        <f t="shared" si="0"/>
        <v>100.959728</v>
      </c>
      <c r="L58" s="493">
        <f t="shared" si="0"/>
        <v>99.539822000000001</v>
      </c>
      <c r="M58" s="493">
        <f t="shared" si="0"/>
        <v>96.953925999999981</v>
      </c>
      <c r="N58" s="493">
        <f t="shared" si="0"/>
        <v>97.481407000000004</v>
      </c>
      <c r="O58" s="493">
        <f t="shared" si="0"/>
        <v>97.831772999999998</v>
      </c>
      <c r="P58" s="493">
        <f t="shared" si="0"/>
        <v>98.389852000000005</v>
      </c>
      <c r="Q58" s="493">
        <f t="shared" si="0"/>
        <v>97.321408999999989</v>
      </c>
      <c r="R58" s="493">
        <f t="shared" si="0"/>
        <v>98.906597000000005</v>
      </c>
      <c r="S58" s="493">
        <f t="shared" si="0"/>
        <v>99.064084000000008</v>
      </c>
      <c r="T58" s="493">
        <f t="shared" si="0"/>
        <v>99.989325000000008</v>
      </c>
      <c r="U58" s="493">
        <f t="shared" si="0"/>
        <v>100.93096500000001</v>
      </c>
      <c r="V58" s="493">
        <f t="shared" si="0"/>
        <v>102.65562300000001</v>
      </c>
      <c r="W58" s="493">
        <f t="shared" si="0"/>
        <v>103.60351900000001</v>
      </c>
      <c r="X58" s="493">
        <f t="shared" si="0"/>
        <v>105.37559100000001</v>
      </c>
      <c r="Y58" s="493">
        <f t="shared" si="0"/>
        <v>105.93598300000001</v>
      </c>
      <c r="Z58" s="493">
        <f t="shared" si="0"/>
        <v>106.37839100000001</v>
      </c>
      <c r="AA58" s="493">
        <f t="shared" si="0"/>
        <v>106.685007</v>
      </c>
      <c r="AB58" s="493">
        <f t="shared" si="0"/>
        <v>104.80196200000002</v>
      </c>
      <c r="AC58" s="493">
        <f t="shared" si="0"/>
        <v>105.06877300000001</v>
      </c>
      <c r="AD58" s="493">
        <f t="shared" si="0"/>
        <v>104.79073400000001</v>
      </c>
      <c r="AE58" s="493">
        <f t="shared" si="0"/>
        <v>105.11879800000001</v>
      </c>
      <c r="AF58" s="493">
        <f t="shared" si="0"/>
        <v>105.359234</v>
      </c>
      <c r="AG58" s="493">
        <f t="shared" si="0"/>
        <v>104.96732100000001</v>
      </c>
      <c r="AH58" s="493">
        <f t="shared" si="0"/>
        <v>106.48283200000002</v>
      </c>
      <c r="AI58" s="493">
        <f t="shared" si="0"/>
        <v>106.64224800000001</v>
      </c>
      <c r="AJ58" s="493">
        <f t="shared" si="0"/>
        <v>107.483335</v>
      </c>
      <c r="AK58" s="498">
        <v>8.9999999999999993E-3</v>
      </c>
    </row>
    <row r="59" spans="1:38">
      <c r="A59" s="6" t="s">
        <v>86</v>
      </c>
      <c r="B59" s="371">
        <v>3906.17822265625</v>
      </c>
      <c r="C59" s="371">
        <v>4003.6083984375</v>
      </c>
      <c r="D59" s="371">
        <v>4006.09130859375</v>
      </c>
      <c r="E59" s="371">
        <v>3992.21752929688</v>
      </c>
      <c r="F59" s="371">
        <v>4046.56079101563</v>
      </c>
      <c r="G59" s="249">
        <v>3975.9853520000001</v>
      </c>
      <c r="H59" s="249">
        <v>3914.8715820000002</v>
      </c>
      <c r="I59" s="249">
        <v>3921.3237300000001</v>
      </c>
      <c r="J59" s="249">
        <v>3939.0678710000002</v>
      </c>
      <c r="K59" s="249">
        <v>4009.0505370000001</v>
      </c>
      <c r="L59" s="249">
        <v>4063.0170899999998</v>
      </c>
      <c r="M59" s="249">
        <v>4119.9077150000003</v>
      </c>
      <c r="N59" s="249">
        <v>4166.5869140000004</v>
      </c>
      <c r="O59" s="249">
        <v>4198.9038090000004</v>
      </c>
      <c r="P59" s="249">
        <v>4219.6909180000002</v>
      </c>
      <c r="Q59" s="249">
        <v>4252.6411129999997</v>
      </c>
      <c r="R59" s="249">
        <v>4292.3344729999999</v>
      </c>
      <c r="S59" s="249">
        <v>4339.8535160000001</v>
      </c>
      <c r="T59" s="249">
        <v>4382.0117190000001</v>
      </c>
      <c r="U59" s="249">
        <v>4415.9643550000001</v>
      </c>
      <c r="V59" s="249">
        <v>4450.7382809999999</v>
      </c>
      <c r="W59" s="249">
        <v>4486.6025390000004</v>
      </c>
      <c r="X59" s="249">
        <v>4519.0146480000003</v>
      </c>
      <c r="Y59" s="249">
        <v>4546.845703</v>
      </c>
      <c r="Z59" s="249">
        <v>4573.2431640000004</v>
      </c>
      <c r="AA59" s="249">
        <v>4595.8320309999999</v>
      </c>
      <c r="AB59" s="249">
        <v>4620.3847660000001</v>
      </c>
      <c r="AC59" s="249">
        <v>4650.2163090000004</v>
      </c>
      <c r="AD59" s="249">
        <v>4684.017578</v>
      </c>
      <c r="AE59" s="249">
        <v>4715.7373049999997</v>
      </c>
      <c r="AF59" s="249">
        <v>4746.6293949999999</v>
      </c>
      <c r="AG59" s="249">
        <v>4780.0688479999999</v>
      </c>
      <c r="AH59" s="249">
        <v>4817.2851559999999</v>
      </c>
      <c r="AI59" s="249">
        <v>4853.5073240000002</v>
      </c>
      <c r="AJ59" s="249">
        <v>4888.0634769999997</v>
      </c>
      <c r="AK59" s="250">
        <v>8.0000000000000002E-3</v>
      </c>
    </row>
    <row r="60" spans="1:38" s="275" customFormat="1">
      <c r="A60" s="274" t="s">
        <v>328</v>
      </c>
      <c r="B60" s="372"/>
      <c r="C60" s="372"/>
      <c r="D60" s="372"/>
      <c r="E60" s="372">
        <f>E49/SUM(E49,E51)</f>
        <v>0.88813307115905826</v>
      </c>
      <c r="F60" s="372">
        <f t="shared" ref="F60:AJ60" si="1">F49/SUM(F49,F51)</f>
        <v>0.84266502254248399</v>
      </c>
      <c r="G60" s="329">
        <f t="shared" si="1"/>
        <v>0.81660731847551515</v>
      </c>
      <c r="H60" s="329">
        <f t="shared" si="1"/>
        <v>0.70575540070036302</v>
      </c>
      <c r="I60" s="329">
        <f t="shared" si="1"/>
        <v>0.77661969140143094</v>
      </c>
      <c r="J60" s="329">
        <f t="shared" si="1"/>
        <v>0.73715820945368027</v>
      </c>
      <c r="K60" s="329">
        <f t="shared" si="1"/>
        <v>0.74927543974042532</v>
      </c>
      <c r="L60" s="329">
        <f t="shared" si="1"/>
        <v>0.54565257564968206</v>
      </c>
      <c r="M60" s="329">
        <f t="shared" si="1"/>
        <v>0.51822778347811704</v>
      </c>
      <c r="N60" s="329">
        <f t="shared" si="1"/>
        <v>0.52475977212124025</v>
      </c>
      <c r="O60" s="329">
        <f t="shared" si="1"/>
        <v>0.52545933347876783</v>
      </c>
      <c r="P60" s="329">
        <f t="shared" si="1"/>
        <v>0.52519162580706769</v>
      </c>
      <c r="Q60" s="329">
        <f t="shared" si="1"/>
        <v>0.5209598293337897</v>
      </c>
      <c r="R60" s="329">
        <f t="shared" si="1"/>
        <v>0.51285697731187174</v>
      </c>
      <c r="S60" s="329">
        <f t="shared" si="1"/>
        <v>0.51456614486312391</v>
      </c>
      <c r="T60" s="329">
        <f t="shared" si="1"/>
        <v>0.52272602212290264</v>
      </c>
      <c r="U60" s="329">
        <f t="shared" si="1"/>
        <v>0.53307522118712647</v>
      </c>
      <c r="V60" s="329">
        <f t="shared" si="1"/>
        <v>0.5251130529119955</v>
      </c>
      <c r="W60" s="329">
        <f t="shared" si="1"/>
        <v>0.52260027230845574</v>
      </c>
      <c r="X60" s="329">
        <f t="shared" si="1"/>
        <v>0.51112056677317075</v>
      </c>
      <c r="Y60" s="329">
        <f t="shared" si="1"/>
        <v>0.50711026857149366</v>
      </c>
      <c r="Z60" s="329">
        <f t="shared" si="1"/>
        <v>0.50238395848676887</v>
      </c>
      <c r="AA60" s="329">
        <f t="shared" si="1"/>
        <v>0.49902494586753315</v>
      </c>
      <c r="AB60" s="329">
        <f t="shared" si="1"/>
        <v>0.50996231500839395</v>
      </c>
      <c r="AC60" s="329">
        <f t="shared" si="1"/>
        <v>0.50794772394147303</v>
      </c>
      <c r="AD60" s="329">
        <f t="shared" si="1"/>
        <v>0.50936703206612732</v>
      </c>
      <c r="AE60" s="329">
        <f t="shared" si="1"/>
        <v>0.50684474545155178</v>
      </c>
      <c r="AF60" s="329">
        <f t="shared" si="1"/>
        <v>0.50491231115878543</v>
      </c>
      <c r="AG60" s="329">
        <f t="shared" si="1"/>
        <v>0.50733048992852825</v>
      </c>
      <c r="AH60" s="329">
        <f t="shared" si="1"/>
        <v>0.4976130492120201</v>
      </c>
      <c r="AI60" s="329">
        <f t="shared" si="1"/>
        <v>0.49641109739592953</v>
      </c>
      <c r="AJ60" s="329">
        <f t="shared" si="1"/>
        <v>0.49122769903843655</v>
      </c>
      <c r="AK60" s="329"/>
      <c r="AL60" s="275" t="s">
        <v>0</v>
      </c>
    </row>
    <row r="61" spans="1:38" s="266" customFormat="1">
      <c r="A61" s="263" t="s">
        <v>688</v>
      </c>
      <c r="B61" s="363">
        <f>B54/B58</f>
        <v>3.5013782866836304E-2</v>
      </c>
      <c r="C61" s="363">
        <f t="shared" ref="C61:AJ61" si="2">C54/C58</f>
        <v>3.0684598611827759E-2</v>
      </c>
      <c r="D61" s="363">
        <f t="shared" si="2"/>
        <v>3.4209320223796059E-2</v>
      </c>
      <c r="E61" s="363">
        <f t="shared" si="2"/>
        <v>3.9221653887312607E-2</v>
      </c>
      <c r="F61" s="363">
        <f t="shared" si="2"/>
        <v>3.6366065464261861E-2</v>
      </c>
      <c r="G61" s="314">
        <f t="shared" si="2"/>
        <v>2.9343040114224412E-2</v>
      </c>
      <c r="H61" s="314">
        <f t="shared" si="2"/>
        <v>3.6663660216705481E-2</v>
      </c>
      <c r="I61" s="314">
        <f t="shared" si="2"/>
        <v>4.8300697352671139E-2</v>
      </c>
      <c r="J61" s="314">
        <f t="shared" si="2"/>
        <v>4.8251693134908367E-2</v>
      </c>
      <c r="K61" s="314">
        <f t="shared" si="2"/>
        <v>7.508679104206778E-2</v>
      </c>
      <c r="L61" s="314">
        <f t="shared" si="2"/>
        <v>9.5784217898239765E-2</v>
      </c>
      <c r="M61" s="314">
        <f t="shared" si="2"/>
        <v>9.8582990852789196E-2</v>
      </c>
      <c r="N61" s="314">
        <f t="shared" si="2"/>
        <v>9.7788801919939466E-2</v>
      </c>
      <c r="O61" s="314">
        <f t="shared" si="2"/>
        <v>9.8697321983523711E-2</v>
      </c>
      <c r="P61" s="314">
        <f t="shared" si="2"/>
        <v>9.8215677771321369E-2</v>
      </c>
      <c r="Q61" s="314">
        <f t="shared" si="2"/>
        <v>0.10009160471566951</v>
      </c>
      <c r="R61" s="314">
        <f t="shared" si="2"/>
        <v>9.8534286848429339E-2</v>
      </c>
      <c r="S61" s="314">
        <f t="shared" si="2"/>
        <v>9.8126713612978034E-2</v>
      </c>
      <c r="T61" s="314">
        <f t="shared" si="2"/>
        <v>9.7668016060714472E-2</v>
      </c>
      <c r="U61" s="314">
        <f t="shared" si="2"/>
        <v>9.6773096343624562E-2</v>
      </c>
      <c r="V61" s="314">
        <f t="shared" si="2"/>
        <v>9.4954009484702062E-2</v>
      </c>
      <c r="W61" s="314">
        <f t="shared" si="2"/>
        <v>9.3827199054889232E-2</v>
      </c>
      <c r="X61" s="314">
        <f t="shared" si="2"/>
        <v>9.2393095095428687E-2</v>
      </c>
      <c r="Y61" s="314">
        <f t="shared" si="2"/>
        <v>9.2140977254159234E-2</v>
      </c>
      <c r="Z61" s="314">
        <f t="shared" si="2"/>
        <v>9.465505076120205E-2</v>
      </c>
      <c r="AA61" s="314">
        <f t="shared" si="2"/>
        <v>9.6143734611181114E-2</v>
      </c>
      <c r="AB61" s="314">
        <f t="shared" si="2"/>
        <v>9.8471620216423028E-2</v>
      </c>
      <c r="AC61" s="314">
        <f t="shared" si="2"/>
        <v>9.8426028064494478E-2</v>
      </c>
      <c r="AD61" s="314">
        <f t="shared" si="2"/>
        <v>9.8829415585542132E-2</v>
      </c>
      <c r="AE61" s="314">
        <f t="shared" si="2"/>
        <v>9.8498139219590386E-2</v>
      </c>
      <c r="AF61" s="314">
        <f t="shared" si="2"/>
        <v>9.8274974170749957E-2</v>
      </c>
      <c r="AG61" s="314">
        <f t="shared" si="2"/>
        <v>9.8837218109053174E-2</v>
      </c>
      <c r="AH61" s="314">
        <f t="shared" si="2"/>
        <v>9.7514188953952682E-2</v>
      </c>
      <c r="AI61" s="314">
        <f t="shared" si="2"/>
        <v>9.764661937734094E-2</v>
      </c>
      <c r="AJ61" s="314">
        <f t="shared" si="2"/>
        <v>9.7275442746542984E-2</v>
      </c>
      <c r="AK61" s="314"/>
    </row>
    <row r="62" spans="1:38" s="276" customFormat="1">
      <c r="A62" s="265" t="s">
        <v>689</v>
      </c>
      <c r="B62" s="373">
        <f>(B54-EIA_RE_aeo2014!B73)/B56</f>
        <v>2.1704558579208756E-2</v>
      </c>
      <c r="C62" s="373">
        <f>(C54-EIA_RE_aeo2014!C73)/C56</f>
        <v>2.0258151035118598E-2</v>
      </c>
      <c r="D62" s="373">
        <f>(D54-EIA_RE_aeo2014!D73)/D56</f>
        <v>2.2541090529611268E-2</v>
      </c>
      <c r="E62" s="373">
        <f>(E54-EIA_RE_aeo2014!E73)/E56</f>
        <v>2.5918204005810106E-2</v>
      </c>
      <c r="F62" s="373">
        <f>(F54-EIA_RE_aeo2014!F73)/F56</f>
        <v>2.5387490923434126E-2</v>
      </c>
      <c r="G62" s="330">
        <f>(G54-EIA_RE_aeo2014!G73)/G56</f>
        <v>2.3198018928482236E-2</v>
      </c>
      <c r="H62" s="330">
        <f>(H54-EIA_RE_aeo2014!H73)/H56</f>
        <v>3.0974617026640172E-2</v>
      </c>
      <c r="I62" s="330">
        <f>(I54-EIA_RE_aeo2014!I73)/I56</f>
        <v>4.2959994754722328E-2</v>
      </c>
      <c r="J62" s="330">
        <f>(J54-EIA_RE_aeo2014!J73)/J56</f>
        <v>4.309633341596996E-2</v>
      </c>
      <c r="K62" s="330">
        <f>(K54-EIA_RE_aeo2014!K73)/K56</f>
        <v>7.0026878801314155E-2</v>
      </c>
      <c r="L62" s="330">
        <f>(L54-EIA_RE_aeo2014!L73)/L56</f>
        <v>9.0543021622382786E-2</v>
      </c>
      <c r="M62" s="330">
        <f>(M54-EIA_RE_aeo2014!M73)/M56</f>
        <v>9.3137980942409077E-2</v>
      </c>
      <c r="N62" s="330">
        <f>(N54-EIA_RE_aeo2014!N73)/N56</f>
        <v>9.237161846718342E-2</v>
      </c>
      <c r="O62" s="330">
        <f>(O54-EIA_RE_aeo2014!O73)/O56</f>
        <v>9.3298840851451917E-2</v>
      </c>
      <c r="P62" s="330">
        <f>(P54-EIA_RE_aeo2014!P73)/P56</f>
        <v>9.2846489494739226E-2</v>
      </c>
      <c r="Q62" s="330">
        <f>(Q54-EIA_RE_aeo2014!Q73)/Q56</f>
        <v>9.4656247212759934E-2</v>
      </c>
      <c r="R62" s="330">
        <f>(R54-EIA_RE_aeo2014!R73)/R56</f>
        <v>9.318340028343268E-2</v>
      </c>
      <c r="S62" s="330">
        <f>(S54-EIA_RE_aeo2014!S73)/S56</f>
        <v>9.277492139608258E-2</v>
      </c>
      <c r="T62" s="330">
        <f>(T54-EIA_RE_aeo2014!T73)/T56</f>
        <v>9.2363336087299228E-2</v>
      </c>
      <c r="U62" s="330">
        <f>(U54-EIA_RE_aeo2014!U73)/U56</f>
        <v>9.1516043562839863E-2</v>
      </c>
      <c r="V62" s="330">
        <f>(V54-EIA_RE_aeo2014!V73)/V56</f>
        <v>8.9783732982118364E-2</v>
      </c>
      <c r="W62" s="330">
        <f>(W54-EIA_RE_aeo2014!W73)/W56</f>
        <v>8.8702829840109215E-2</v>
      </c>
      <c r="X62" s="330">
        <f>(X54-EIA_RE_aeo2014!X73)/X56</f>
        <v>8.7354845338076678E-2</v>
      </c>
      <c r="Y62" s="330">
        <f>(Y54-EIA_RE_aeo2014!Y73)/Y56</f>
        <v>8.7127864695688034E-2</v>
      </c>
      <c r="Z62" s="330">
        <f>(Z54-EIA_RE_aeo2014!Z73)/Z56</f>
        <v>8.9659603035327592E-2</v>
      </c>
      <c r="AA62" s="330">
        <f>(AA54-EIA_RE_aeo2014!AK73)/AA56</f>
        <v>9.6060274331512305E-2</v>
      </c>
      <c r="AB62" s="330">
        <f>(AB54-EIA_RE_aeo2014!AL73)/AB56</f>
        <v>9.8411990990780254E-2</v>
      </c>
      <c r="AC62" s="330">
        <f>(AC54-EIA_RE_aeo2014!AM73)/AC56</f>
        <v>9.8364275137042004E-2</v>
      </c>
      <c r="AD62" s="330">
        <f>(AD54-EIA_RE_aeo2014!AN73)/AD56</f>
        <v>9.8764635147344404E-2</v>
      </c>
      <c r="AE62" s="330">
        <f>(AE54-EIA_RE_aeo2014!AO73)/AE56</f>
        <v>9.843112157920085E-2</v>
      </c>
      <c r="AF62" s="330">
        <f>(AF54-EIA_RE_aeo2014!AP73)/AF56</f>
        <v>9.8205620141730871E-2</v>
      </c>
      <c r="AG62" s="330">
        <f>(AG54-EIA_RE_aeo2014!AQ73)/AG56</f>
        <v>9.8758629749307117E-2</v>
      </c>
      <c r="AH62" s="330">
        <f>(AH54-EIA_RE_aeo2014!AR73)/AH56</f>
        <v>9.7428122719692242E-2</v>
      </c>
      <c r="AI62" s="330">
        <f>(AI54-EIA_RE_aeo2014!AS73)/AI56</f>
        <v>9.7551228105974289E-2</v>
      </c>
      <c r="AJ62" s="330">
        <f>(AJ54-EIA_RE_aeo2014!AT73)/AJ56</f>
        <v>9.7173535750669823E-2</v>
      </c>
      <c r="AK62" s="330"/>
    </row>
    <row r="63" spans="1:38" s="481" customFormat="1">
      <c r="A63" s="481" t="s">
        <v>109</v>
      </c>
      <c r="C63" s="482"/>
      <c r="D63" s="482"/>
      <c r="E63" s="482"/>
      <c r="F63" s="482">
        <v>42094.619140625</v>
      </c>
      <c r="G63" s="483">
        <v>102605.04540000002</v>
      </c>
      <c r="H63" s="483">
        <v>163360.96875</v>
      </c>
      <c r="I63" s="483">
        <v>225974.68357199998</v>
      </c>
      <c r="J63" s="483">
        <v>289591.77345600002</v>
      </c>
      <c r="K63" s="483">
        <v>358569.27243000007</v>
      </c>
      <c r="L63" s="483">
        <v>428005.66654200002</v>
      </c>
      <c r="M63" s="483">
        <v>499509.19281199999</v>
      </c>
      <c r="N63" s="483">
        <v>571413.594774</v>
      </c>
      <c r="O63" s="483">
        <v>642582.21966400009</v>
      </c>
      <c r="P63" s="483">
        <v>712804.27253000019</v>
      </c>
      <c r="Q63" s="483">
        <v>785931.55672200024</v>
      </c>
      <c r="R63" s="483">
        <v>861455.63087200013</v>
      </c>
      <c r="S63" s="483">
        <v>939930.84375000035</v>
      </c>
      <c r="T63" s="483">
        <v>1018634.9062500005</v>
      </c>
      <c r="U63" s="483">
        <v>1096613.15925</v>
      </c>
      <c r="V63" s="484"/>
      <c r="W63" s="484"/>
      <c r="X63" s="484"/>
      <c r="Y63" s="484"/>
      <c r="Z63" s="484"/>
      <c r="AA63" s="484"/>
      <c r="AB63" s="484"/>
      <c r="AC63" s="484"/>
      <c r="AD63" s="484"/>
      <c r="AE63" s="484"/>
      <c r="AF63" s="484"/>
      <c r="AG63" s="484"/>
      <c r="AH63" s="484"/>
      <c r="AI63" s="484"/>
      <c r="AJ63" s="484"/>
      <c r="AK63" s="484"/>
    </row>
    <row r="64" spans="1:38" s="485" customFormat="1">
      <c r="A64" s="485" t="s">
        <v>690</v>
      </c>
      <c r="C64" s="486"/>
      <c r="D64" s="486"/>
      <c r="E64" s="486"/>
      <c r="F64" s="486"/>
      <c r="G64" s="487">
        <f>G63/1000/G58</f>
        <v>1.1896642392293899</v>
      </c>
      <c r="H64" s="487">
        <f t="shared" ref="H64:O64" si="3">H63/1000/H58</f>
        <v>1.9211288017141881</v>
      </c>
      <c r="I64" s="487">
        <f t="shared" si="3"/>
        <v>2.4677299002476603</v>
      </c>
      <c r="J64" s="487">
        <f t="shared" si="3"/>
        <v>2.9894928980854885</v>
      </c>
      <c r="K64" s="487">
        <f t="shared" si="3"/>
        <v>3.5516069578753231</v>
      </c>
      <c r="L64" s="487">
        <f t="shared" si="3"/>
        <v>4.2998435997002291</v>
      </c>
      <c r="M64" s="487">
        <f t="shared" si="3"/>
        <v>5.1520264667982616</v>
      </c>
      <c r="N64" s="487">
        <f t="shared" si="3"/>
        <v>5.8617700786161198</v>
      </c>
      <c r="O64" s="487">
        <f t="shared" si="3"/>
        <v>6.5682364732774499</v>
      </c>
      <c r="P64" s="487">
        <f t="shared" ref="P64" si="4">P63/1000/P58</f>
        <v>7.2446930048233034</v>
      </c>
      <c r="Q64" s="487">
        <f t="shared" ref="Q64" si="5">Q63/1000/Q58</f>
        <v>8.0756286288662373</v>
      </c>
      <c r="R64" s="487">
        <f t="shared" ref="R64" si="6">R63/1000/R58</f>
        <v>8.7097894073941298</v>
      </c>
      <c r="S64" s="487">
        <f t="shared" ref="S64" si="7">S63/1000/S58</f>
        <v>9.4881091693130717</v>
      </c>
      <c r="T64" s="487">
        <f t="shared" ref="T64" si="8">T63/1000/T58</f>
        <v>10.187436571353995</v>
      </c>
      <c r="U64" s="487">
        <f t="shared" ref="U64" si="9">U63/1000/U58</f>
        <v>10.864982409015905</v>
      </c>
      <c r="V64" s="487"/>
      <c r="W64" s="487"/>
      <c r="X64" s="487"/>
      <c r="Y64" s="487"/>
      <c r="Z64" s="487"/>
      <c r="AA64" s="487"/>
      <c r="AB64" s="487"/>
      <c r="AC64" s="487"/>
      <c r="AD64" s="487"/>
      <c r="AE64" s="487"/>
      <c r="AF64" s="487"/>
      <c r="AG64" s="487"/>
      <c r="AH64" s="487"/>
      <c r="AI64" s="487"/>
      <c r="AJ64" s="487"/>
      <c r="AK64" s="487"/>
    </row>
    <row r="65" spans="1:38" s="485" customFormat="1">
      <c r="A65" s="485" t="s">
        <v>112</v>
      </c>
      <c r="D65" s="486"/>
      <c r="E65" s="486"/>
      <c r="F65" s="486"/>
      <c r="G65" s="487"/>
      <c r="H65" s="487">
        <f t="shared" ref="H65:U65" si="10">(H64-G64)/G64</f>
        <v>0.6148495839116821</v>
      </c>
      <c r="I65" s="487">
        <f t="shared" si="10"/>
        <v>0.28452079738003511</v>
      </c>
      <c r="J65" s="487">
        <f t="shared" si="10"/>
        <v>0.21143440284346529</v>
      </c>
      <c r="K65" s="487">
        <f t="shared" si="10"/>
        <v>0.1880299030480454</v>
      </c>
      <c r="L65" s="487">
        <f t="shared" si="10"/>
        <v>0.21067551975754756</v>
      </c>
      <c r="M65" s="487">
        <f t="shared" si="10"/>
        <v>0.19818927068822778</v>
      </c>
      <c r="N65" s="487">
        <f t="shared" si="10"/>
        <v>0.13776008651968938</v>
      </c>
      <c r="O65" s="487">
        <f t="shared" si="10"/>
        <v>0.12052100051459486</v>
      </c>
      <c r="P65" s="487">
        <f t="shared" si="10"/>
        <v>0.10298906476616425</v>
      </c>
      <c r="Q65" s="487">
        <f t="shared" si="10"/>
        <v>0.11469576743827813</v>
      </c>
      <c r="R65" s="487">
        <f t="shared" si="10"/>
        <v>7.852772925454897E-2</v>
      </c>
      <c r="S65" s="487">
        <f t="shared" si="10"/>
        <v>8.9361490331579252E-2</v>
      </c>
      <c r="T65" s="487">
        <f t="shared" si="10"/>
        <v>7.3705665645450613E-2</v>
      </c>
      <c r="U65" s="487">
        <f t="shared" si="10"/>
        <v>6.6507980974045797E-2</v>
      </c>
      <c r="V65" s="487"/>
      <c r="W65" s="487"/>
      <c r="X65" s="487"/>
      <c r="Y65" s="487"/>
      <c r="Z65" s="487"/>
      <c r="AA65" s="487"/>
      <c r="AB65" s="487"/>
      <c r="AC65" s="487"/>
      <c r="AD65" s="487"/>
      <c r="AE65" s="487"/>
      <c r="AF65" s="487"/>
      <c r="AG65" s="487"/>
      <c r="AH65" s="487"/>
      <c r="AI65" s="487"/>
      <c r="AJ65" s="487"/>
      <c r="AK65" s="487"/>
    </row>
    <row r="66" spans="1:38" s="266" customFormat="1">
      <c r="A66" s="266" t="s">
        <v>128</v>
      </c>
      <c r="B66" s="374">
        <f>B52/B58</f>
        <v>0.25680308170766186</v>
      </c>
      <c r="C66" s="374">
        <f t="shared" ref="C66:AJ66" si="11">C52/C58</f>
        <v>0.26229630985868607</v>
      </c>
      <c r="D66" s="374">
        <f t="shared" si="11"/>
        <v>0.27225637965773386</v>
      </c>
      <c r="E66" s="374">
        <f t="shared" si="11"/>
        <v>0.21452624758239491</v>
      </c>
      <c r="F66" s="374">
        <f t="shared" si="11"/>
        <v>0.26386105544422178</v>
      </c>
      <c r="G66" s="331">
        <f t="shared" si="11"/>
        <v>0.18007569927425471</v>
      </c>
      <c r="H66" s="331">
        <f t="shared" si="11"/>
        <v>0.12112824017307462</v>
      </c>
      <c r="I66" s="331">
        <f t="shared" si="11"/>
        <v>0.14757937662680251</v>
      </c>
      <c r="J66" s="331">
        <f t="shared" si="11"/>
        <v>0.14020611053809151</v>
      </c>
      <c r="K66" s="331">
        <f t="shared" si="11"/>
        <v>0.13935943844856635</v>
      </c>
      <c r="L66" s="331">
        <f t="shared" si="11"/>
        <v>0.14326764618887905</v>
      </c>
      <c r="M66" s="331">
        <f t="shared" si="11"/>
        <v>0.14778620723414546</v>
      </c>
      <c r="N66" s="331">
        <f t="shared" si="11"/>
        <v>0.14767994680257332</v>
      </c>
      <c r="O66" s="331">
        <f t="shared" si="11"/>
        <v>0.14715105899184716</v>
      </c>
      <c r="P66" s="331">
        <f t="shared" si="11"/>
        <v>0.14631640059789905</v>
      </c>
      <c r="Q66" s="331">
        <f t="shared" si="11"/>
        <v>0.14792273506849865</v>
      </c>
      <c r="R66" s="331">
        <f t="shared" si="11"/>
        <v>0.14555195949164038</v>
      </c>
      <c r="S66" s="331">
        <f t="shared" si="11"/>
        <v>0.14532055835695204</v>
      </c>
      <c r="T66" s="331">
        <f t="shared" si="11"/>
        <v>0.1439758594229934</v>
      </c>
      <c r="U66" s="331">
        <f t="shared" si="11"/>
        <v>0.14263263013486494</v>
      </c>
      <c r="V66" s="331">
        <f t="shared" si="11"/>
        <v>0.14023634146178235</v>
      </c>
      <c r="W66" s="331">
        <f t="shared" si="11"/>
        <v>0.13895328207915408</v>
      </c>
      <c r="X66" s="331">
        <f t="shared" si="11"/>
        <v>0.1366165338992025</v>
      </c>
      <c r="Y66" s="331">
        <f t="shared" si="11"/>
        <v>0.13589384449285755</v>
      </c>
      <c r="Z66" s="331">
        <f t="shared" si="11"/>
        <v>0.13532869659590921</v>
      </c>
      <c r="AA66" s="331">
        <f t="shared" si="11"/>
        <v>0.13493974837532702</v>
      </c>
      <c r="AB66" s="331">
        <f t="shared" si="11"/>
        <v>0.13736430812239944</v>
      </c>
      <c r="AC66" s="331">
        <f t="shared" si="11"/>
        <v>0.13701548603789251</v>
      </c>
      <c r="AD66" s="331">
        <f t="shared" si="11"/>
        <v>0.13737902627917462</v>
      </c>
      <c r="AE66" s="331">
        <f t="shared" si="11"/>
        <v>0.13695028171840395</v>
      </c>
      <c r="AF66" s="331">
        <f t="shared" si="11"/>
        <v>0.13663775308009546</v>
      </c>
      <c r="AG66" s="331">
        <f t="shared" si="11"/>
        <v>0.13714791292044118</v>
      </c>
      <c r="AH66" s="331">
        <f t="shared" si="11"/>
        <v>0.13519596285718619</v>
      </c>
      <c r="AI66" s="331">
        <f t="shared" si="11"/>
        <v>0.1349938628450518</v>
      </c>
      <c r="AJ66" s="331">
        <f t="shared" si="11"/>
        <v>0.13393749831078464</v>
      </c>
      <c r="AK66" s="331"/>
    </row>
    <row r="67" spans="1:38">
      <c r="A67" s="6" t="s">
        <v>87</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88</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89</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90</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91</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92</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93</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94</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95</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96</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589</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97</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98</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99</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100</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101</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102</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97</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98</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99</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100</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101</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103</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589</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104</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105</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106</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102</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104</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105</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106</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107</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629</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108</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628</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0" t="s">
        <v>691</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row>
    <row r="110" spans="1:38">
      <c r="A110" s="559" t="s">
        <v>692</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row>
    <row r="111" spans="1:38">
      <c r="A111" s="559" t="s">
        <v>693</v>
      </c>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559"/>
      <c r="AA111" s="559"/>
      <c r="AB111" s="559"/>
      <c r="AC111" s="559"/>
      <c r="AD111" s="559"/>
      <c r="AE111" s="559"/>
      <c r="AF111" s="559"/>
    </row>
    <row r="112" spans="1:38">
      <c r="A112" s="559" t="s">
        <v>694</v>
      </c>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row>
    <row r="113" spans="1:32">
      <c r="A113" s="559" t="s">
        <v>630</v>
      </c>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row>
    <row r="114" spans="1:32">
      <c r="A114" s="559" t="s">
        <v>695</v>
      </c>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row>
    <row r="115" spans="1:32">
      <c r="A115" s="559" t="s">
        <v>696</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row>
    <row r="116" spans="1:32">
      <c r="A116" s="559" t="s">
        <v>631</v>
      </c>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row>
    <row r="117" spans="1:32">
      <c r="A117" s="559" t="s">
        <v>697</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row>
    <row r="118" spans="1:32">
      <c r="A118" s="559" t="s">
        <v>632</v>
      </c>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row>
    <row r="119" spans="1:32">
      <c r="A119" s="559" t="s">
        <v>698</v>
      </c>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row>
    <row r="120" spans="1:32">
      <c r="A120" s="559" t="s">
        <v>633</v>
      </c>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row>
    <row r="121" spans="1:32">
      <c r="A121" s="559" t="s">
        <v>634</v>
      </c>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row>
    <row r="122" spans="1:32">
      <c r="A122" s="559" t="s">
        <v>699</v>
      </c>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row>
    <row r="123" spans="1:32">
      <c r="A123" s="559" t="s">
        <v>700</v>
      </c>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row>
    <row r="124" spans="1:32">
      <c r="A124" s="559" t="s">
        <v>635</v>
      </c>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row>
    <row r="125" spans="1:32">
      <c r="A125" s="559" t="s">
        <v>697</v>
      </c>
      <c r="B125" s="559"/>
      <c r="C125" s="559"/>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59"/>
      <c r="AF125" s="559"/>
    </row>
    <row r="126" spans="1:32">
      <c r="A126" s="559" t="s">
        <v>701</v>
      </c>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row>
    <row r="127" spans="1:32">
      <c r="A127" s="559" t="s">
        <v>636</v>
      </c>
      <c r="B127" s="559"/>
      <c r="C127" s="559"/>
      <c r="D127" s="559"/>
      <c r="E127" s="559"/>
      <c r="F127" s="559"/>
      <c r="G127" s="55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row>
    <row r="128" spans="1:32">
      <c r="A128" s="559" t="s">
        <v>702</v>
      </c>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row>
    <row r="129" spans="1:32">
      <c r="A129" s="559" t="s">
        <v>703</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row>
    <row r="130" spans="1:32">
      <c r="A130" s="559" t="s">
        <v>704</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row>
    <row r="131" spans="1:32">
      <c r="A131" s="559" t="s">
        <v>705</v>
      </c>
      <c r="B131" s="559"/>
      <c r="C131" s="559"/>
      <c r="D131" s="559"/>
      <c r="E131" s="559"/>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row>
    <row r="132" spans="1:32">
      <c r="A132" s="559" t="s">
        <v>637</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row>
    <row r="133" spans="1:32">
      <c r="A133" s="559" t="s">
        <v>706</v>
      </c>
      <c r="B133" s="559"/>
      <c r="C133" s="559"/>
      <c r="D133" s="559"/>
      <c r="E133" s="559"/>
      <c r="F133" s="559"/>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row>
    <row r="134" spans="1:32">
      <c r="A134" s="559" t="s">
        <v>707</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row>
    <row r="135" spans="1:32">
      <c r="A135" s="559" t="s">
        <v>708</v>
      </c>
      <c r="B135" s="559"/>
      <c r="C135" s="559"/>
      <c r="D135" s="559"/>
      <c r="E135" s="559"/>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row>
    <row r="136" spans="1:32">
      <c r="A136" s="559" t="s">
        <v>709</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row>
    <row r="137" spans="1:32">
      <c r="A137" s="559" t="s">
        <v>710</v>
      </c>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59"/>
      <c r="AF137" s="559"/>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M122"/>
  <sheetViews>
    <sheetView tabSelected="1" topLeftCell="A48" zoomScale="120" zoomScaleNormal="120" zoomScalePageLayoutView="120" workbookViewId="0">
      <selection activeCell="G78" sqref="G78"/>
    </sheetView>
  </sheetViews>
  <sheetFormatPr baseColWidth="10" defaultColWidth="12.5" defaultRowHeight="16" x14ac:dyDescent="0"/>
  <cols>
    <col min="1" max="1" width="47.33203125" style="5" customWidth="1"/>
    <col min="2" max="2" width="23" style="252" bestFit="1" customWidth="1"/>
    <col min="3" max="6" width="12.5" style="252"/>
    <col min="7" max="37" width="12.5" style="304"/>
    <col min="38" max="16384" width="12.5" style="5"/>
  </cols>
  <sheetData>
    <row r="1" spans="1:37">
      <c r="A1" s="269" t="s">
        <v>711</v>
      </c>
    </row>
    <row r="2" spans="1:37">
      <c r="A2" s="273" t="s">
        <v>665</v>
      </c>
    </row>
    <row r="3" spans="1:37">
      <c r="A3" s="273" t="s">
        <v>638</v>
      </c>
    </row>
    <row r="4" spans="1:37">
      <c r="A4" s="273" t="s">
        <v>639</v>
      </c>
    </row>
    <row r="6" spans="1:37">
      <c r="A6" s="6" t="s">
        <v>712</v>
      </c>
    </row>
    <row r="7" spans="1:37">
      <c r="A7" s="6" t="s">
        <v>4</v>
      </c>
    </row>
    <row r="8" spans="1:37">
      <c r="A8" s="78" t="s">
        <v>279</v>
      </c>
    </row>
    <row r="10" spans="1:37">
      <c r="AK10" s="305" t="s">
        <v>675</v>
      </c>
    </row>
    <row r="11" spans="1:37">
      <c r="B11" s="475" t="s">
        <v>5</v>
      </c>
      <c r="C11" s="475" t="s">
        <v>6</v>
      </c>
      <c r="D11" s="475" t="s">
        <v>7</v>
      </c>
      <c r="E11" s="475" t="s">
        <v>8</v>
      </c>
      <c r="F11" s="475" t="s">
        <v>9</v>
      </c>
      <c r="G11" s="305" t="s">
        <v>10</v>
      </c>
      <c r="H11" s="305" t="s">
        <v>11</v>
      </c>
      <c r="I11" s="305" t="s">
        <v>12</v>
      </c>
      <c r="J11" s="305" t="s">
        <v>13</v>
      </c>
      <c r="K11" s="305" t="s">
        <v>14</v>
      </c>
      <c r="L11" s="305" t="s">
        <v>15</v>
      </c>
      <c r="M11" s="305" t="s">
        <v>16</v>
      </c>
      <c r="N11" s="305" t="s">
        <v>17</v>
      </c>
      <c r="O11" s="305" t="s">
        <v>18</v>
      </c>
      <c r="P11" s="305" t="s">
        <v>19</v>
      </c>
      <c r="Q11" s="305" t="s">
        <v>20</v>
      </c>
      <c r="R11" s="305" t="s">
        <v>21</v>
      </c>
      <c r="S11" s="305" t="s">
        <v>22</v>
      </c>
      <c r="T11" s="305" t="s">
        <v>23</v>
      </c>
      <c r="U11" s="305" t="s">
        <v>24</v>
      </c>
      <c r="V11" s="305" t="s">
        <v>25</v>
      </c>
      <c r="W11" s="305" t="s">
        <v>26</v>
      </c>
      <c r="X11" s="305" t="s">
        <v>27</v>
      </c>
      <c r="Y11" s="305" t="s">
        <v>28</v>
      </c>
      <c r="Z11" s="305" t="s">
        <v>29</v>
      </c>
      <c r="AA11" s="305" t="s">
        <v>578</v>
      </c>
      <c r="AB11" s="305" t="s">
        <v>579</v>
      </c>
      <c r="AC11" s="305" t="s">
        <v>580</v>
      </c>
      <c r="AD11" s="305" t="s">
        <v>581</v>
      </c>
      <c r="AE11" s="305" t="s">
        <v>582</v>
      </c>
      <c r="AF11" s="305" t="s">
        <v>583</v>
      </c>
      <c r="AG11" s="305" t="s">
        <v>584</v>
      </c>
      <c r="AH11" s="305" t="s">
        <v>585</v>
      </c>
      <c r="AI11" s="305" t="s">
        <v>586</v>
      </c>
      <c r="AJ11" s="305" t="s">
        <v>587</v>
      </c>
      <c r="AK11" s="305">
        <v>2040</v>
      </c>
    </row>
    <row r="12" spans="1:37">
      <c r="B12" s="476"/>
      <c r="C12" s="476"/>
      <c r="D12" s="476"/>
      <c r="E12" s="476"/>
      <c r="F12" s="476"/>
    </row>
    <row r="13" spans="1:37">
      <c r="B13" s="476"/>
      <c r="C13" s="476"/>
      <c r="D13" s="476"/>
      <c r="E13" s="476"/>
      <c r="F13" s="476"/>
    </row>
    <row r="14" spans="1:37">
      <c r="A14" s="6" t="s">
        <v>30</v>
      </c>
      <c r="B14" s="476"/>
      <c r="C14" s="476"/>
      <c r="D14" s="476"/>
      <c r="E14" s="476"/>
      <c r="F14" s="476"/>
    </row>
    <row r="15" spans="1:37">
      <c r="A15" s="6" t="s">
        <v>31</v>
      </c>
      <c r="B15" s="476"/>
      <c r="C15" s="476"/>
      <c r="D15" s="476"/>
      <c r="E15" s="476"/>
      <c r="F15" s="476"/>
    </row>
    <row r="16" spans="1:37">
      <c r="A16" s="6" t="s">
        <v>32</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33</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34</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640</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35</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36</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37</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38</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40</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41</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32</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33</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641</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642</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42</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43</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35</v>
      </c>
      <c r="B33" s="499"/>
      <c r="C33" s="499"/>
      <c r="D33" s="499"/>
      <c r="E33" s="499"/>
      <c r="F33" s="499"/>
      <c r="G33" s="511">
        <v>1E-4</v>
      </c>
      <c r="H33" s="511">
        <v>1E-4</v>
      </c>
      <c r="I33" s="511">
        <v>1E-4</v>
      </c>
      <c r="J33" s="511">
        <v>1E-4</v>
      </c>
      <c r="K33" s="511">
        <v>1E-4</v>
      </c>
      <c r="L33" s="511">
        <v>1E-4</v>
      </c>
      <c r="M33" s="511">
        <v>1E-4</v>
      </c>
      <c r="N33" s="511">
        <v>1E-4</v>
      </c>
      <c r="O33" s="511">
        <v>1E-4</v>
      </c>
      <c r="P33" s="511">
        <v>1E-4</v>
      </c>
      <c r="Q33" s="511">
        <v>1E-4</v>
      </c>
      <c r="R33" s="511">
        <v>1E-4</v>
      </c>
      <c r="S33" s="511">
        <v>1E-4</v>
      </c>
      <c r="T33" s="511">
        <v>1E-4</v>
      </c>
      <c r="U33" s="511">
        <v>1E-4</v>
      </c>
      <c r="V33" s="511">
        <v>1E-4</v>
      </c>
      <c r="W33" s="511">
        <v>1E-4</v>
      </c>
      <c r="X33" s="511">
        <v>1E-4</v>
      </c>
      <c r="Y33" s="511">
        <v>1E-4</v>
      </c>
      <c r="Z33" s="511">
        <v>1E-4</v>
      </c>
      <c r="AA33" s="511">
        <v>1E-4</v>
      </c>
      <c r="AB33" s="511">
        <v>1E-4</v>
      </c>
      <c r="AC33" s="511">
        <v>1E-4</v>
      </c>
      <c r="AD33" s="511">
        <v>1E-4</v>
      </c>
      <c r="AE33" s="511">
        <v>1E-4</v>
      </c>
      <c r="AF33" s="511">
        <v>1E-4</v>
      </c>
      <c r="AG33" s="511">
        <v>1E-4</v>
      </c>
      <c r="AH33" s="511">
        <v>1E-4</v>
      </c>
      <c r="AI33" s="511">
        <v>1E-4</v>
      </c>
      <c r="AJ33" s="511">
        <v>1E-4</v>
      </c>
      <c r="AK33" s="511">
        <v>1E-4</v>
      </c>
    </row>
    <row r="34" spans="1:39" s="18" customFormat="1">
      <c r="A34" s="17" t="s">
        <v>643</v>
      </c>
      <c r="B34" s="499"/>
      <c r="C34" s="499"/>
      <c r="D34" s="499"/>
      <c r="E34" s="499"/>
      <c r="F34" s="499"/>
      <c r="G34" s="511">
        <v>1E-4</v>
      </c>
      <c r="H34" s="511">
        <v>1E-4</v>
      </c>
      <c r="I34" s="511">
        <v>1E-4</v>
      </c>
      <c r="J34" s="511">
        <v>1E-4</v>
      </c>
      <c r="K34" s="511">
        <v>1E-4</v>
      </c>
      <c r="L34" s="511">
        <v>1E-4</v>
      </c>
      <c r="M34" s="511">
        <v>1E-4</v>
      </c>
      <c r="N34" s="511">
        <v>1E-4</v>
      </c>
      <c r="O34" s="511">
        <v>1E-4</v>
      </c>
      <c r="P34" s="511">
        <v>1E-4</v>
      </c>
      <c r="Q34" s="511">
        <v>1E-4</v>
      </c>
      <c r="R34" s="511">
        <v>1E-4</v>
      </c>
      <c r="S34" s="511">
        <v>1E-4</v>
      </c>
      <c r="T34" s="511">
        <v>1E-4</v>
      </c>
      <c r="U34" s="511">
        <v>1E-4</v>
      </c>
      <c r="V34" s="511">
        <v>1E-4</v>
      </c>
      <c r="W34" s="511">
        <v>1E-4</v>
      </c>
      <c r="X34" s="511">
        <v>1E-4</v>
      </c>
      <c r="Y34" s="511">
        <v>1E-4</v>
      </c>
      <c r="Z34" s="511">
        <v>1E-4</v>
      </c>
      <c r="AA34" s="511">
        <v>1E-4</v>
      </c>
      <c r="AB34" s="511">
        <v>1E-4</v>
      </c>
      <c r="AC34" s="511">
        <v>1E-4</v>
      </c>
      <c r="AD34" s="511">
        <v>1E-4</v>
      </c>
      <c r="AE34" s="511">
        <v>1E-4</v>
      </c>
      <c r="AF34" s="511">
        <v>1E-4</v>
      </c>
      <c r="AG34" s="511">
        <v>1E-4</v>
      </c>
      <c r="AH34" s="511">
        <v>1E-4</v>
      </c>
      <c r="AI34" s="511">
        <v>1E-4</v>
      </c>
      <c r="AJ34" s="511">
        <v>1E-4</v>
      </c>
      <c r="AK34" s="511">
        <v>1E-4</v>
      </c>
    </row>
    <row r="35" spans="1:39">
      <c r="A35" s="6" t="s">
        <v>37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38</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40</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644</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31</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44</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45</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645</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46</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643</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37</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40</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41</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44</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45</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645</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46</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643</v>
      </c>
      <c r="B54"/>
      <c r="C54"/>
      <c r="D54"/>
      <c r="E54"/>
      <c r="F54"/>
      <c r="G54" s="511">
        <v>5.8999999999999998E-5</v>
      </c>
      <c r="H54" s="511">
        <v>1.5899999999999999E-4</v>
      </c>
      <c r="I54" s="511">
        <v>3.39E-4</v>
      </c>
      <c r="J54" s="511">
        <v>5.8E-4</v>
      </c>
      <c r="K54" s="511">
        <v>9.5500000000000001E-4</v>
      </c>
      <c r="L54" s="511">
        <v>1.3910000000000001E-3</v>
      </c>
      <c r="M54" s="511">
        <v>1.3940000000000001E-3</v>
      </c>
      <c r="N54" s="511">
        <v>1.397E-3</v>
      </c>
      <c r="O54" s="511">
        <v>1.4040000000000001E-3</v>
      </c>
      <c r="P54" s="511">
        <v>1.423E-3</v>
      </c>
      <c r="Q54" s="511">
        <v>1.454E-3</v>
      </c>
      <c r="R54" s="511">
        <v>1.4909999999999999E-3</v>
      </c>
      <c r="S54" s="511">
        <v>1.5349999999999999E-3</v>
      </c>
      <c r="T54" s="511">
        <v>1.586E-3</v>
      </c>
      <c r="U54" s="511">
        <v>1.6559999999999999E-3</v>
      </c>
      <c r="V54" s="511">
        <v>1.73E-3</v>
      </c>
      <c r="W54" s="511">
        <v>1.8079999999999999E-3</v>
      </c>
      <c r="X54" s="511">
        <v>1.8879999999999999E-3</v>
      </c>
      <c r="Y54" s="511">
        <v>1.97E-3</v>
      </c>
      <c r="Z54" s="511">
        <v>2.055E-3</v>
      </c>
      <c r="AA54" s="511">
        <v>2.1429999999999999E-3</v>
      </c>
      <c r="AB54" s="511">
        <v>2.2360000000000001E-3</v>
      </c>
      <c r="AC54" s="511">
        <v>2.3340000000000001E-3</v>
      </c>
      <c r="AD54" s="511">
        <v>2.441E-3</v>
      </c>
      <c r="AE54" s="511">
        <v>2.5590000000000001E-3</v>
      </c>
      <c r="AF54" s="511">
        <v>2.6870000000000002E-3</v>
      </c>
      <c r="AG54" s="511">
        <v>2.8210000000000002E-3</v>
      </c>
      <c r="AH54" s="511">
        <v>2.96E-3</v>
      </c>
      <c r="AI54" s="511">
        <v>3.1050000000000001E-3</v>
      </c>
      <c r="AJ54" s="511">
        <v>3.2690000000000002E-3</v>
      </c>
      <c r="AK54" s="513">
        <v>0.114</v>
      </c>
    </row>
    <row r="55" spans="1:39">
      <c r="A55" s="6" t="s">
        <v>37</v>
      </c>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c r="A56" s="6" t="s">
        <v>40</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s="252" customFormat="1">
      <c r="A57" s="252" t="s">
        <v>346</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row>
    <row r="58" spans="1:39" s="252" customFormat="1">
      <c r="A58" s="251" t="s">
        <v>345</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c r="A59" s="6"/>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c r="A60" s="6" t="s">
        <v>47</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c r="A61" s="6" t="s">
        <v>48</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c r="A62" s="6" t="s">
        <v>49</v>
      </c>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c r="A63" s="6" t="s">
        <v>50</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c r="A64" s="6" t="s">
        <v>51</v>
      </c>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c r="A65" s="6" t="s">
        <v>646</v>
      </c>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row>
    <row r="66" spans="1:39">
      <c r="A66" s="6" t="s">
        <v>647</v>
      </c>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c r="A67" s="6" t="s">
        <v>53</v>
      </c>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c r="A69" s="6"/>
      <c r="B69" s="477"/>
      <c r="C69" s="477"/>
      <c r="D69" s="477"/>
      <c r="E69" s="477"/>
      <c r="F69" s="477"/>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3"/>
    </row>
    <row r="70" spans="1:39" s="90" customFormat="1">
      <c r="B70" s="478" t="s">
        <v>5</v>
      </c>
      <c r="C70" s="478" t="s">
        <v>6</v>
      </c>
      <c r="D70" s="478" t="s">
        <v>7</v>
      </c>
      <c r="E70" s="478" t="s">
        <v>8</v>
      </c>
      <c r="F70" s="478" t="s">
        <v>9</v>
      </c>
      <c r="G70" s="324" t="s">
        <v>10</v>
      </c>
      <c r="H70" s="324" t="s">
        <v>11</v>
      </c>
      <c r="I70" s="324" t="s">
        <v>12</v>
      </c>
      <c r="J70" s="324" t="s">
        <v>13</v>
      </c>
      <c r="K70" s="324" t="s">
        <v>14</v>
      </c>
      <c r="L70" s="324" t="s">
        <v>15</v>
      </c>
      <c r="M70" s="324" t="s">
        <v>16</v>
      </c>
      <c r="N70" s="324" t="s">
        <v>17</v>
      </c>
      <c r="O70" s="324" t="s">
        <v>18</v>
      </c>
      <c r="P70" s="324" t="s">
        <v>19</v>
      </c>
      <c r="Q70" s="324" t="s">
        <v>20</v>
      </c>
      <c r="R70" s="324" t="s">
        <v>21</v>
      </c>
      <c r="S70" s="324" t="s">
        <v>22</v>
      </c>
      <c r="T70" s="324" t="s">
        <v>23</v>
      </c>
      <c r="U70" s="324" t="s">
        <v>24</v>
      </c>
      <c r="V70" s="324" t="s">
        <v>25</v>
      </c>
      <c r="W70" s="324" t="s">
        <v>26</v>
      </c>
      <c r="X70" s="324" t="s">
        <v>27</v>
      </c>
      <c r="Y70" s="324" t="s">
        <v>28</v>
      </c>
      <c r="Z70" s="324" t="s">
        <v>29</v>
      </c>
      <c r="AA70" s="324" t="s">
        <v>578</v>
      </c>
      <c r="AB70" s="324" t="s">
        <v>579</v>
      </c>
      <c r="AC70" s="324" t="s">
        <v>580</v>
      </c>
      <c r="AD70" s="324" t="s">
        <v>581</v>
      </c>
      <c r="AE70" s="324" t="s">
        <v>582</v>
      </c>
      <c r="AF70" s="324" t="s">
        <v>583</v>
      </c>
      <c r="AG70" s="324" t="s">
        <v>584</v>
      </c>
      <c r="AH70" s="324" t="s">
        <v>585</v>
      </c>
      <c r="AI70" s="324" t="s">
        <v>586</v>
      </c>
      <c r="AJ70" s="324" t="s">
        <v>587</v>
      </c>
      <c r="AK70" s="324" t="s">
        <v>590</v>
      </c>
    </row>
    <row r="71" spans="1:39">
      <c r="B71" s="476"/>
      <c r="C71" s="476"/>
      <c r="D71" s="476"/>
      <c r="E71" s="476"/>
      <c r="F71" s="476"/>
    </row>
    <row r="72" spans="1:39" s="18" customFormat="1">
      <c r="A72" s="17" t="s">
        <v>55</v>
      </c>
      <c r="B72" s="479"/>
      <c r="C72" s="479"/>
      <c r="D72" s="479"/>
      <c r="E72" s="479"/>
      <c r="F72" s="479"/>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row>
    <row r="73" spans="1:39" s="18" customFormat="1">
      <c r="A73" s="17" t="s">
        <v>49</v>
      </c>
      <c r="B73" s="500">
        <v>1.52</v>
      </c>
      <c r="C73" s="500">
        <v>1.27</v>
      </c>
      <c r="D73" s="500">
        <v>1.3640000000000001</v>
      </c>
      <c r="E73" s="500">
        <v>1.3720000000000001</v>
      </c>
      <c r="F73" s="500">
        <v>1.2509999999999999</v>
      </c>
      <c r="G73" s="511">
        <v>0.52998999999999996</v>
      </c>
      <c r="H73" s="511">
        <v>0.483761</v>
      </c>
      <c r="I73" s="511">
        <v>0.48905799999999999</v>
      </c>
      <c r="J73" s="511">
        <v>0.49939899999999998</v>
      </c>
      <c r="K73" s="511">
        <v>0.50976999999999995</v>
      </c>
      <c r="L73" s="511">
        <v>0.52013799999999999</v>
      </c>
      <c r="M73" s="511">
        <v>0.52606900000000001</v>
      </c>
      <c r="N73" s="511">
        <v>0.52606900000000001</v>
      </c>
      <c r="O73" s="511">
        <v>0.52607099999999996</v>
      </c>
      <c r="P73" s="511">
        <v>0.52606900000000001</v>
      </c>
      <c r="Q73" s="511">
        <v>0.52606900000000001</v>
      </c>
      <c r="R73" s="511">
        <v>0.52606900000000001</v>
      </c>
      <c r="S73" s="511">
        <v>0.52606900000000001</v>
      </c>
      <c r="T73" s="511">
        <v>0.52606900000000001</v>
      </c>
      <c r="U73" s="511">
        <v>0.52606900000000001</v>
      </c>
      <c r="V73" s="511">
        <v>0.52606900000000001</v>
      </c>
      <c r="W73" s="511">
        <v>0.52606900000000001</v>
      </c>
      <c r="X73" s="511">
        <v>0.52606900000000001</v>
      </c>
      <c r="Y73" s="511">
        <v>0.52606900000000001</v>
      </c>
      <c r="Z73" s="511">
        <v>0.52606900000000001</v>
      </c>
      <c r="AA73" s="511">
        <v>0.52606900000000001</v>
      </c>
      <c r="AB73" s="511">
        <v>0.52606900000000001</v>
      </c>
      <c r="AC73" s="511">
        <v>0.52606900000000001</v>
      </c>
      <c r="AD73" s="511">
        <v>0.52606900000000001</v>
      </c>
      <c r="AE73" s="511">
        <v>0.52606900000000001</v>
      </c>
      <c r="AF73" s="511">
        <v>0.52606900000000001</v>
      </c>
      <c r="AG73" s="511">
        <v>0.52606900000000001</v>
      </c>
      <c r="AH73" s="511">
        <v>0.52606900000000001</v>
      </c>
      <c r="AI73" s="511">
        <v>0.52606900000000001</v>
      </c>
      <c r="AJ73" s="511">
        <v>0.52606900000000001</v>
      </c>
      <c r="AK73" s="494">
        <v>3.0000000000000001E-3</v>
      </c>
    </row>
    <row r="74" spans="1:39" s="18" customFormat="1">
      <c r="A74" s="17" t="s">
        <v>50</v>
      </c>
      <c r="B74" s="500">
        <v>1E-4</v>
      </c>
      <c r="C74" s="500">
        <v>1E-4</v>
      </c>
      <c r="D74" s="500">
        <v>1E-4</v>
      </c>
      <c r="E74" s="500">
        <v>1E-4</v>
      </c>
      <c r="F74" s="500">
        <v>1E-4</v>
      </c>
      <c r="G74" s="511">
        <v>1E-4</v>
      </c>
      <c r="H74" s="511">
        <v>1E-4</v>
      </c>
      <c r="I74" s="511">
        <v>1E-4</v>
      </c>
      <c r="J74" s="511">
        <v>1E-4</v>
      </c>
      <c r="K74" s="511">
        <v>1E-4</v>
      </c>
      <c r="L74" s="511">
        <v>1E-4</v>
      </c>
      <c r="M74" s="511">
        <v>1E-4</v>
      </c>
      <c r="N74" s="511">
        <v>1E-4</v>
      </c>
      <c r="O74" s="511">
        <v>1E-4</v>
      </c>
      <c r="P74" s="511">
        <v>1E-4</v>
      </c>
      <c r="Q74" s="511">
        <v>1E-4</v>
      </c>
      <c r="R74" s="511">
        <v>1E-4</v>
      </c>
      <c r="S74" s="511">
        <v>1E-4</v>
      </c>
      <c r="T74" s="511">
        <v>1E-4</v>
      </c>
      <c r="U74" s="511">
        <v>1E-4</v>
      </c>
      <c r="V74" s="511">
        <v>1E-4</v>
      </c>
      <c r="W74" s="511">
        <v>1E-4</v>
      </c>
      <c r="X74" s="511">
        <v>1E-4</v>
      </c>
      <c r="Y74" s="511">
        <v>1E-4</v>
      </c>
      <c r="Z74" s="511">
        <v>1E-4</v>
      </c>
      <c r="AA74" s="511">
        <v>1E-4</v>
      </c>
      <c r="AB74" s="511">
        <v>1E-4</v>
      </c>
      <c r="AC74" s="511">
        <v>1E-4</v>
      </c>
      <c r="AD74" s="511">
        <v>1E-4</v>
      </c>
      <c r="AE74" s="511">
        <v>1E-4</v>
      </c>
      <c r="AF74" s="511">
        <v>1E-4</v>
      </c>
      <c r="AG74" s="511">
        <v>1E-4</v>
      </c>
      <c r="AH74" s="511">
        <v>1E-4</v>
      </c>
      <c r="AI74" s="511">
        <v>1E-4</v>
      </c>
      <c r="AJ74" s="511">
        <v>1E-4</v>
      </c>
      <c r="AK74" s="494">
        <v>5.2999999999999999E-2</v>
      </c>
    </row>
    <row r="75" spans="1:39" s="18" customFormat="1">
      <c r="A75" s="17" t="s">
        <v>51</v>
      </c>
      <c r="B75" s="500">
        <v>0.73499999999999999</v>
      </c>
      <c r="C75" s="500">
        <v>0.72099999999999997</v>
      </c>
      <c r="D75" s="500">
        <v>0.73799999999999999</v>
      </c>
      <c r="E75" s="500">
        <v>0.82899999999999996</v>
      </c>
      <c r="F75" s="500">
        <v>0.79500000000000004</v>
      </c>
      <c r="G75" s="511">
        <v>0.78614399999999995</v>
      </c>
      <c r="H75" s="511">
        <v>1.0251239999999999</v>
      </c>
      <c r="I75" s="511">
        <v>1.0078659999999999</v>
      </c>
      <c r="J75" s="511">
        <v>1.0089030000000001</v>
      </c>
      <c r="K75" s="511">
        <v>1.007951</v>
      </c>
      <c r="L75" s="511">
        <v>1.00831</v>
      </c>
      <c r="M75" s="511">
        <v>1.008545</v>
      </c>
      <c r="N75" s="511">
        <v>1.0087079999999999</v>
      </c>
      <c r="O75" s="511">
        <v>1.008818</v>
      </c>
      <c r="P75" s="511">
        <v>1.0092859999999999</v>
      </c>
      <c r="Q75" s="511">
        <v>1.0095460000000001</v>
      </c>
      <c r="R75" s="511">
        <v>1.0097210000000001</v>
      </c>
      <c r="S75" s="511">
        <v>1.0098309999999999</v>
      </c>
      <c r="T75" s="511">
        <v>1.0099039999999999</v>
      </c>
      <c r="U75" s="511">
        <v>1.0099940000000001</v>
      </c>
      <c r="V75" s="511">
        <v>1.01004</v>
      </c>
      <c r="W75" s="511">
        <v>1.0100519999999999</v>
      </c>
      <c r="X75" s="511">
        <v>1.0100439999999999</v>
      </c>
      <c r="Y75" s="511">
        <v>1.009954</v>
      </c>
      <c r="Z75" s="511">
        <v>1.009906</v>
      </c>
      <c r="AA75" s="511">
        <v>1.009865</v>
      </c>
      <c r="AB75" s="511">
        <v>1.009809</v>
      </c>
      <c r="AC75" s="511">
        <v>1.009552</v>
      </c>
      <c r="AD75" s="511">
        <v>1.009269</v>
      </c>
      <c r="AE75" s="511">
        <v>1.008977</v>
      </c>
      <c r="AF75" s="511">
        <v>1.008702</v>
      </c>
      <c r="AG75" s="511">
        <v>1.008294</v>
      </c>
      <c r="AH75" s="511">
        <v>1.0078940000000001</v>
      </c>
      <c r="AI75" s="511">
        <v>1.007528</v>
      </c>
      <c r="AJ75" s="511">
        <v>1.0071749999999999</v>
      </c>
      <c r="AK75" s="494">
        <v>-1E-3</v>
      </c>
    </row>
    <row r="76" spans="1:39" s="18" customFormat="1">
      <c r="A76" s="17" t="s">
        <v>56</v>
      </c>
      <c r="B76" s="501">
        <v>1.704</v>
      </c>
      <c r="C76" s="501">
        <v>1.6919999999999999</v>
      </c>
      <c r="D76" s="501">
        <v>1.71</v>
      </c>
      <c r="E76" s="501">
        <v>1.4890000000000001</v>
      </c>
      <c r="F76" s="501">
        <v>1.67</v>
      </c>
      <c r="G76" s="511">
        <v>0.90458099999999997</v>
      </c>
      <c r="H76" s="511">
        <v>0.79761899999999997</v>
      </c>
      <c r="I76" s="511">
        <v>0.92732700000000001</v>
      </c>
      <c r="J76" s="511">
        <v>0.92965399999999998</v>
      </c>
      <c r="K76" s="511">
        <v>0.91456899999999997</v>
      </c>
      <c r="L76" s="511">
        <v>0.91094699999999995</v>
      </c>
      <c r="M76" s="511">
        <v>0.92858499999999999</v>
      </c>
      <c r="N76" s="511">
        <v>0.903914</v>
      </c>
      <c r="O76" s="511">
        <v>1.0262309999999999</v>
      </c>
      <c r="P76" s="511">
        <v>1.0342359999999999</v>
      </c>
      <c r="Q76" s="511">
        <v>1.111102</v>
      </c>
      <c r="R76" s="511">
        <v>1.1132379999999999</v>
      </c>
      <c r="S76" s="511">
        <v>1.0885940000000001</v>
      </c>
      <c r="T76" s="511">
        <v>1.1335839999999999</v>
      </c>
      <c r="U76" s="511">
        <v>1.1351150000000001</v>
      </c>
      <c r="V76" s="511">
        <v>1.118798</v>
      </c>
      <c r="W76" s="511">
        <v>1.0923369999999999</v>
      </c>
      <c r="X76" s="511">
        <v>1.1040300000000001</v>
      </c>
      <c r="Y76" s="511">
        <v>1.132881</v>
      </c>
      <c r="Z76" s="511">
        <v>1.435846</v>
      </c>
      <c r="AA76" s="511">
        <v>1.6242019999999999</v>
      </c>
      <c r="AB76" s="511">
        <v>1.6900459999999999</v>
      </c>
      <c r="AC76" s="511">
        <v>1.689147</v>
      </c>
      <c r="AD76" s="511">
        <v>1.688609</v>
      </c>
      <c r="AE76" s="511">
        <v>1.6876869999999999</v>
      </c>
      <c r="AF76" s="511">
        <v>1.6881520000000001</v>
      </c>
      <c r="AG76" s="511">
        <v>1.687505</v>
      </c>
      <c r="AH76" s="511">
        <v>1.686868</v>
      </c>
      <c r="AI76" s="511">
        <v>1.6896800000000001</v>
      </c>
      <c r="AJ76" s="511">
        <v>1.6891689999999999</v>
      </c>
      <c r="AK76" s="494">
        <v>2.7E-2</v>
      </c>
    </row>
    <row r="77" spans="1:39" s="18" customFormat="1">
      <c r="A77" s="17" t="s">
        <v>52</v>
      </c>
      <c r="B77" s="500">
        <v>1E-4</v>
      </c>
      <c r="C77" s="500">
        <v>1E-4</v>
      </c>
      <c r="D77" s="500">
        <v>1E-4</v>
      </c>
      <c r="E77" s="500">
        <v>1E-4</v>
      </c>
      <c r="F77" s="500">
        <v>1E-4</v>
      </c>
      <c r="G77" s="511">
        <v>6.0239999999999998E-3</v>
      </c>
      <c r="H77" s="511">
        <v>1.6383999999999999E-2</v>
      </c>
      <c r="I77" s="511">
        <v>3.492E-2</v>
      </c>
      <c r="J77" s="511">
        <v>5.9716999999999999E-2</v>
      </c>
      <c r="K77" s="511">
        <v>9.8262000000000002E-2</v>
      </c>
      <c r="L77" s="511">
        <v>0.14321700000000001</v>
      </c>
      <c r="M77" s="511">
        <v>0.143451</v>
      </c>
      <c r="N77" s="511">
        <v>0.143789</v>
      </c>
      <c r="O77" s="511">
        <v>0.14455299999999999</v>
      </c>
      <c r="P77" s="511">
        <v>0.14646799999999999</v>
      </c>
      <c r="Q77" s="511">
        <v>0.14965700000000001</v>
      </c>
      <c r="R77" s="511">
        <v>0.15348000000000001</v>
      </c>
      <c r="S77" s="511">
        <v>0.15796499999999999</v>
      </c>
      <c r="T77" s="511">
        <v>0.163191</v>
      </c>
      <c r="U77" s="511">
        <v>0.17041200000000001</v>
      </c>
      <c r="V77" s="511">
        <v>0.17805099999999999</v>
      </c>
      <c r="W77" s="511">
        <v>0.18612500000000001</v>
      </c>
      <c r="X77" s="511">
        <v>0.194331</v>
      </c>
      <c r="Y77" s="511">
        <v>0.202732</v>
      </c>
      <c r="Z77" s="511">
        <v>0.21146000000000001</v>
      </c>
      <c r="AA77" s="511">
        <v>0.22058700000000001</v>
      </c>
      <c r="AB77" s="511">
        <v>0.23017899999999999</v>
      </c>
      <c r="AC77" s="511">
        <v>0.24026</v>
      </c>
      <c r="AD77" s="511">
        <v>0.251274</v>
      </c>
      <c r="AE77" s="511">
        <v>0.26338899999999998</v>
      </c>
      <c r="AF77" s="511">
        <v>0.27655000000000002</v>
      </c>
      <c r="AG77" s="511">
        <v>0.29039599999999999</v>
      </c>
      <c r="AH77" s="511">
        <v>0.30464799999999997</v>
      </c>
      <c r="AI77" s="511">
        <v>0.31959700000000002</v>
      </c>
      <c r="AJ77" s="511">
        <v>0.33643299999999998</v>
      </c>
      <c r="AK77" s="494">
        <v>0.114</v>
      </c>
    </row>
    <row r="78" spans="1:39" s="18" customFormat="1">
      <c r="A78" s="17" t="s">
        <v>53</v>
      </c>
      <c r="B78" s="500">
        <v>2E-3</v>
      </c>
      <c r="C78" s="500">
        <v>3.0000000000000001E-3</v>
      </c>
      <c r="D78" s="500">
        <v>0.14099999999999999</v>
      </c>
      <c r="E78" s="500">
        <v>0.3</v>
      </c>
      <c r="F78" s="500">
        <v>0.36</v>
      </c>
      <c r="G78" s="511">
        <v>0.45863799999999999</v>
      </c>
      <c r="H78" s="511">
        <v>1.106638</v>
      </c>
      <c r="I78" s="511">
        <v>2.2924419999999999</v>
      </c>
      <c r="J78" s="511">
        <v>2.533731</v>
      </c>
      <c r="K78" s="511">
        <v>5.4539939999999998</v>
      </c>
      <c r="L78" s="511">
        <v>7.4006850000000002</v>
      </c>
      <c r="M78" s="511">
        <v>7.4006970000000001</v>
      </c>
      <c r="N78" s="511">
        <v>7.399896</v>
      </c>
      <c r="O78" s="511">
        <v>7.4007509999999996</v>
      </c>
      <c r="P78" s="511">
        <v>7.4001390000000002</v>
      </c>
      <c r="Q78" s="511">
        <v>7.4008310000000002</v>
      </c>
      <c r="R78" s="511">
        <v>7.4033230000000003</v>
      </c>
      <c r="S78" s="511">
        <v>7.4031609999999999</v>
      </c>
      <c r="T78" s="511">
        <v>7.4031609999999999</v>
      </c>
      <c r="U78" s="511">
        <v>7.4033179999999996</v>
      </c>
      <c r="V78" s="511">
        <v>7.3999160000000002</v>
      </c>
      <c r="W78" s="511">
        <v>7.3997719999999996</v>
      </c>
      <c r="X78" s="511">
        <v>7.4033730000000002</v>
      </c>
      <c r="Y78" s="511">
        <v>7.3998169999999996</v>
      </c>
      <c r="Z78" s="511">
        <v>7.4052470000000001</v>
      </c>
      <c r="AA78" s="511">
        <v>7.4049319999999996</v>
      </c>
      <c r="AB78" s="511">
        <v>7.4022079999999999</v>
      </c>
      <c r="AC78" s="511">
        <v>7.4250360000000004</v>
      </c>
      <c r="AD78" s="511">
        <v>7.4410559999999997</v>
      </c>
      <c r="AE78" s="511">
        <v>7.4403819999999996</v>
      </c>
      <c r="AF78" s="511">
        <v>7.4412050000000001</v>
      </c>
      <c r="AG78" s="511">
        <v>7.4639860000000002</v>
      </c>
      <c r="AH78" s="511">
        <v>7.4753970000000001</v>
      </c>
      <c r="AI78" s="511">
        <v>7.5043059999999997</v>
      </c>
      <c r="AJ78" s="511">
        <v>7.5492800000000004</v>
      </c>
      <c r="AK78" s="494">
        <v>7.0999999999999994E-2</v>
      </c>
    </row>
    <row r="79" spans="1:39" s="18" customFormat="1">
      <c r="A79" s="17" t="s">
        <v>54</v>
      </c>
      <c r="B79" s="502">
        <v>3.9630000000000001</v>
      </c>
      <c r="C79" s="502">
        <v>3.6869999999999998</v>
      </c>
      <c r="D79" s="502">
        <v>3.956</v>
      </c>
      <c r="E79" s="502">
        <v>3.9950000000000001</v>
      </c>
      <c r="F79" s="502">
        <v>4.0830000000000002</v>
      </c>
      <c r="G79" s="512">
        <v>2.6853760000000002</v>
      </c>
      <c r="H79" s="512">
        <v>3.4295249999999999</v>
      </c>
      <c r="I79" s="512">
        <v>4.7516129999999999</v>
      </c>
      <c r="J79" s="512">
        <v>5.0314040000000002</v>
      </c>
      <c r="K79" s="512">
        <v>7.9845470000000001</v>
      </c>
      <c r="L79" s="512">
        <v>9.9832959999999993</v>
      </c>
      <c r="M79" s="512">
        <v>10.007346999999999</v>
      </c>
      <c r="N79" s="512">
        <v>9.9823760000000004</v>
      </c>
      <c r="O79" s="512">
        <v>10.106422999999999</v>
      </c>
      <c r="P79" s="512">
        <v>10.116198000000001</v>
      </c>
      <c r="Q79" s="512">
        <v>10.197206</v>
      </c>
      <c r="R79" s="512">
        <v>10.205830000000001</v>
      </c>
      <c r="S79" s="512">
        <v>10.18562</v>
      </c>
      <c r="T79" s="512">
        <v>10.235908999999999</v>
      </c>
      <c r="U79" s="512">
        <v>10.244909</v>
      </c>
      <c r="V79" s="512">
        <v>10.232874000000001</v>
      </c>
      <c r="W79" s="512">
        <v>10.214354999999999</v>
      </c>
      <c r="X79" s="512">
        <v>10.237847</v>
      </c>
      <c r="Y79" s="512">
        <v>10.271454</v>
      </c>
      <c r="Z79" s="512">
        <v>10.588528999999999</v>
      </c>
      <c r="AA79" s="512">
        <v>10.785655</v>
      </c>
      <c r="AB79" s="512">
        <v>10.858312</v>
      </c>
      <c r="AC79" s="512">
        <v>10.890064000000001</v>
      </c>
      <c r="AD79" s="512">
        <v>10.916276999999999</v>
      </c>
      <c r="AE79" s="512">
        <v>10.926504</v>
      </c>
      <c r="AF79" s="512">
        <v>10.940678</v>
      </c>
      <c r="AG79" s="512">
        <v>10.976251</v>
      </c>
      <c r="AH79" s="512">
        <v>11.000876</v>
      </c>
      <c r="AI79" s="512">
        <v>11.047180000000001</v>
      </c>
      <c r="AJ79" s="512">
        <v>11.108128000000001</v>
      </c>
      <c r="AK79" s="495">
        <v>4.2999999999999997E-2</v>
      </c>
    </row>
    <row r="80" spans="1:39" s="256" customFormat="1">
      <c r="A80" s="255" t="s">
        <v>57</v>
      </c>
      <c r="B80" s="480">
        <f>B79*1000</f>
        <v>3963</v>
      </c>
      <c r="C80" s="480">
        <f t="shared" ref="C80:AJ80" si="0">C79*1000</f>
        <v>3687</v>
      </c>
      <c r="D80" s="480">
        <f t="shared" si="0"/>
        <v>3956</v>
      </c>
      <c r="E80" s="480">
        <f t="shared" si="0"/>
        <v>3995</v>
      </c>
      <c r="F80" s="480">
        <f t="shared" si="0"/>
        <v>4083</v>
      </c>
      <c r="G80" s="277">
        <f t="shared" si="0"/>
        <v>2685.3760000000002</v>
      </c>
      <c r="H80" s="277">
        <f t="shared" si="0"/>
        <v>3429.5250000000001</v>
      </c>
      <c r="I80" s="277">
        <f t="shared" si="0"/>
        <v>4751.6130000000003</v>
      </c>
      <c r="J80" s="277">
        <f t="shared" si="0"/>
        <v>5031.4040000000005</v>
      </c>
      <c r="K80" s="277">
        <f t="shared" si="0"/>
        <v>7984.5470000000005</v>
      </c>
      <c r="L80" s="277">
        <f t="shared" si="0"/>
        <v>9983.2959999999985</v>
      </c>
      <c r="M80" s="277">
        <f t="shared" si="0"/>
        <v>10007.347</v>
      </c>
      <c r="N80" s="277">
        <f t="shared" si="0"/>
        <v>9982.3760000000002</v>
      </c>
      <c r="O80" s="277">
        <f t="shared" si="0"/>
        <v>10106.422999999999</v>
      </c>
      <c r="P80" s="277">
        <f t="shared" si="0"/>
        <v>10116.198</v>
      </c>
      <c r="Q80" s="277">
        <f t="shared" si="0"/>
        <v>10197.206</v>
      </c>
      <c r="R80" s="277">
        <f t="shared" si="0"/>
        <v>10205.83</v>
      </c>
      <c r="S80" s="277">
        <f t="shared" si="0"/>
        <v>10185.620000000001</v>
      </c>
      <c r="T80" s="277">
        <f t="shared" si="0"/>
        <v>10235.909</v>
      </c>
      <c r="U80" s="277">
        <f t="shared" si="0"/>
        <v>10244.909</v>
      </c>
      <c r="V80" s="277">
        <f t="shared" si="0"/>
        <v>10232.874</v>
      </c>
      <c r="W80" s="277">
        <f t="shared" si="0"/>
        <v>10214.355</v>
      </c>
      <c r="X80" s="277">
        <f t="shared" si="0"/>
        <v>10237.847</v>
      </c>
      <c r="Y80" s="277">
        <f t="shared" si="0"/>
        <v>10271.454</v>
      </c>
      <c r="Z80" s="277">
        <f t="shared" si="0"/>
        <v>10588.528999999999</v>
      </c>
      <c r="AA80" s="277">
        <f t="shared" si="0"/>
        <v>10785.655000000001</v>
      </c>
      <c r="AB80" s="277">
        <f t="shared" si="0"/>
        <v>10858.312</v>
      </c>
      <c r="AC80" s="277">
        <f t="shared" si="0"/>
        <v>10890.064</v>
      </c>
      <c r="AD80" s="277">
        <f t="shared" si="0"/>
        <v>10916.276999999998</v>
      </c>
      <c r="AE80" s="277">
        <f t="shared" si="0"/>
        <v>10926.503999999999</v>
      </c>
      <c r="AF80" s="277">
        <f t="shared" si="0"/>
        <v>10940.678</v>
      </c>
      <c r="AG80" s="277">
        <f t="shared" si="0"/>
        <v>10976.251</v>
      </c>
      <c r="AH80" s="277">
        <f t="shared" si="0"/>
        <v>11000.876</v>
      </c>
      <c r="AI80" s="277">
        <f t="shared" si="0"/>
        <v>11047.18</v>
      </c>
      <c r="AJ80" s="277">
        <f t="shared" si="0"/>
        <v>11108.128000000001</v>
      </c>
      <c r="AK80" s="326"/>
    </row>
    <row r="81" spans="1:37" s="257" customFormat="1">
      <c r="A81" s="258" t="s">
        <v>336</v>
      </c>
      <c r="B81" s="261">
        <f t="shared" ref="B81:Q82" si="1">B74/SUM(B$74:B$78)</f>
        <v>4.0963460593150914E-5</v>
      </c>
      <c r="C81" s="261">
        <f>C74/SUM(C$74:C$78)</f>
        <v>4.1387302375631155E-5</v>
      </c>
      <c r="D81" s="261">
        <f t="shared" si="1"/>
        <v>3.8621968175498216E-5</v>
      </c>
      <c r="E81" s="261">
        <f t="shared" si="1"/>
        <v>3.8194179207088839E-5</v>
      </c>
      <c r="F81" s="261">
        <f t="shared" si="1"/>
        <v>3.5395724196517061E-5</v>
      </c>
      <c r="G81" s="261">
        <f t="shared" si="1"/>
        <v>4.6393228073284604E-5</v>
      </c>
      <c r="H81" s="261">
        <f t="shared" si="1"/>
        <v>3.3945886861753687E-5</v>
      </c>
      <c r="I81" s="261">
        <f t="shared" si="1"/>
        <v>2.3459557482367212E-5</v>
      </c>
      <c r="J81" s="261">
        <f t="shared" si="1"/>
        <v>2.2064802117338415E-5</v>
      </c>
      <c r="K81" s="261">
        <f t="shared" si="1"/>
        <v>1.3378148346541134E-5</v>
      </c>
      <c r="L81" s="261">
        <f t="shared" si="1"/>
        <v>1.056718409588071E-5</v>
      </c>
      <c r="M81" s="261">
        <f t="shared" si="1"/>
        <v>1.0546990110509255E-5</v>
      </c>
      <c r="N81" s="261">
        <f t="shared" si="1"/>
        <v>1.0574840951748375E-5</v>
      </c>
      <c r="O81" s="261">
        <f t="shared" si="1"/>
        <v>1.0437919793562999E-5</v>
      </c>
      <c r="P81" s="261">
        <f t="shared" si="1"/>
        <v>1.0427279682268275E-5</v>
      </c>
      <c r="Q81" s="261">
        <f t="shared" si="1"/>
        <v>1.0339940003532124E-5</v>
      </c>
      <c r="R81" s="261">
        <f t="shared" ref="R81:AJ82" si="2">R74/SUM(R$74:R$78)</f>
        <v>1.0330725789272616E-5</v>
      </c>
      <c r="S81" s="261">
        <f t="shared" si="2"/>
        <v>1.0352340886849845E-5</v>
      </c>
      <c r="T81" s="261">
        <f t="shared" si="2"/>
        <v>1.0298724811893793E-5</v>
      </c>
      <c r="U81" s="261">
        <f t="shared" si="2"/>
        <v>1.0289188974228566E-5</v>
      </c>
      <c r="V81" s="261">
        <f t="shared" si="2"/>
        <v>1.030194485265901E-5</v>
      </c>
      <c r="W81" s="261">
        <f t="shared" si="2"/>
        <v>1.0321636648250804E-5</v>
      </c>
      <c r="X81" s="261">
        <f t="shared" si="2"/>
        <v>1.0296669706930009E-5</v>
      </c>
      <c r="Y81" s="261">
        <f t="shared" si="2"/>
        <v>1.0261163016634167E-5</v>
      </c>
      <c r="Z81" s="261">
        <f t="shared" si="2"/>
        <v>9.9378299297425239E-6</v>
      </c>
      <c r="AA81" s="261">
        <f t="shared" si="2"/>
        <v>9.746886990498541E-6</v>
      </c>
      <c r="AB81" s="261">
        <f t="shared" si="2"/>
        <v>9.6783478518229461E-6</v>
      </c>
      <c r="AC81" s="261">
        <f t="shared" si="2"/>
        <v>9.6486958099091137E-6</v>
      </c>
      <c r="AD81" s="261">
        <f t="shared" si="2"/>
        <v>9.6243537727659288E-6</v>
      </c>
      <c r="AE81" s="261">
        <f t="shared" si="2"/>
        <v>9.6148900032546404E-6</v>
      </c>
      <c r="AF81" s="261">
        <f t="shared" si="2"/>
        <v>9.6018045247351602E-6</v>
      </c>
      <c r="AG81" s="261">
        <f t="shared" si="2"/>
        <v>9.5691206772334642E-6</v>
      </c>
      <c r="AH81" s="261">
        <f t="shared" si="2"/>
        <v>9.5466241370925773E-6</v>
      </c>
      <c r="AI81" s="261">
        <f t="shared" si="2"/>
        <v>9.5046093078068688E-6</v>
      </c>
      <c r="AJ81" s="261">
        <f t="shared" si="2"/>
        <v>9.4498692468841656E-6</v>
      </c>
      <c r="AK81" s="327"/>
    </row>
    <row r="82" spans="1:37" s="257" customFormat="1">
      <c r="A82" s="258" t="s">
        <v>713</v>
      </c>
      <c r="B82" s="261">
        <f t="shared" si="1"/>
        <v>0.3010814353596592</v>
      </c>
      <c r="C82" s="261">
        <f t="shared" ref="C82:AA82" si="3">C75/SUM(C$74:C$78)</f>
        <v>0.29840245012830058</v>
      </c>
      <c r="D82" s="261">
        <f t="shared" si="3"/>
        <v>0.28503012513517684</v>
      </c>
      <c r="E82" s="261">
        <f t="shared" si="3"/>
        <v>0.31662974562676643</v>
      </c>
      <c r="F82" s="261">
        <f t="shared" si="3"/>
        <v>0.28139600736231063</v>
      </c>
      <c r="G82" s="261">
        <f t="shared" si="3"/>
        <v>0.36471757890444245</v>
      </c>
      <c r="H82" s="261">
        <f t="shared" si="3"/>
        <v>0.34798743323268383</v>
      </c>
      <c r="I82" s="261">
        <f t="shared" si="3"/>
        <v>0.23644090361523512</v>
      </c>
      <c r="J82" s="261">
        <f t="shared" si="3"/>
        <v>0.22261245050589079</v>
      </c>
      <c r="K82" s="261">
        <f t="shared" si="3"/>
        <v>0.13484518004044482</v>
      </c>
      <c r="L82" s="261">
        <f t="shared" si="3"/>
        <v>0.10654997395717479</v>
      </c>
      <c r="M82" s="261">
        <f t="shared" si="3"/>
        <v>0.10637114141003555</v>
      </c>
      <c r="N82" s="261">
        <f t="shared" si="3"/>
        <v>0.10666926666756199</v>
      </c>
      <c r="O82" s="261">
        <f t="shared" si="3"/>
        <v>0.10529961370302637</v>
      </c>
      <c r="P82" s="262">
        <f t="shared" si="3"/>
        <v>0.10524107401397817</v>
      </c>
      <c r="Q82" s="261">
        <f t="shared" si="3"/>
        <v>0.10438645070805841</v>
      </c>
      <c r="R82" s="261">
        <f t="shared" si="3"/>
        <v>0.10431150774670135</v>
      </c>
      <c r="S82" s="261">
        <f t="shared" si="3"/>
        <v>0.10454114750108466</v>
      </c>
      <c r="T82" s="261">
        <f t="shared" si="3"/>
        <v>0.10400723382430788</v>
      </c>
      <c r="U82" s="261">
        <f t="shared" si="3"/>
        <v>0.10392019128837007</v>
      </c>
      <c r="V82" s="261">
        <f t="shared" si="3"/>
        <v>0.10405376378979707</v>
      </c>
      <c r="W82" s="261">
        <f t="shared" si="3"/>
        <v>0.10425389739839019</v>
      </c>
      <c r="X82" s="261">
        <f t="shared" si="3"/>
        <v>0.10400089457466413</v>
      </c>
      <c r="Y82" s="261">
        <f t="shared" si="3"/>
        <v>0.10363302633301744</v>
      </c>
      <c r="Z82" s="261">
        <f t="shared" si="3"/>
        <v>0.10036274073026552</v>
      </c>
      <c r="AA82" s="261">
        <f t="shared" si="3"/>
        <v>9.8430400306598095E-2</v>
      </c>
      <c r="AB82" s="261">
        <f t="shared" si="2"/>
        <v>9.7732827659014768E-2</v>
      </c>
      <c r="AC82" s="261">
        <f t="shared" si="2"/>
        <v>9.7408601522853647E-2</v>
      </c>
      <c r="AD82" s="261">
        <f t="shared" si="2"/>
        <v>9.7135619078856955E-2</v>
      </c>
      <c r="AE82" s="261">
        <f t="shared" si="2"/>
        <v>9.7012028708138576E-2</v>
      </c>
      <c r="AF82" s="261">
        <f t="shared" si="2"/>
        <v>9.6853594277094057E-2</v>
      </c>
      <c r="AG82" s="261">
        <f t="shared" si="2"/>
        <v>9.6484869641304385E-2</v>
      </c>
      <c r="AH82" s="261">
        <f t="shared" si="2"/>
        <v>9.6219851880307863E-2</v>
      </c>
      <c r="AI82" s="261">
        <f t="shared" si="2"/>
        <v>9.5761600066760377E-2</v>
      </c>
      <c r="AJ82" s="261">
        <f t="shared" si="2"/>
        <v>9.5176720587305585E-2</v>
      </c>
      <c r="AK82" s="327"/>
    </row>
    <row r="83" spans="1:37" s="257" customFormat="1">
      <c r="A83" s="258" t="s">
        <v>333</v>
      </c>
      <c r="B83" s="261">
        <f>B76/SUM(B$74:B$78)</f>
        <v>0.69801736850729157</v>
      </c>
      <c r="C83" s="261">
        <f t="shared" ref="C83:AJ83" si="4">C76/SUM(C$74:C$78)</f>
        <v>0.70027315619567909</v>
      </c>
      <c r="D83" s="261">
        <f t="shared" si="4"/>
        <v>0.66043565580101948</v>
      </c>
      <c r="E83" s="261">
        <f t="shared" si="4"/>
        <v>0.56871132839355276</v>
      </c>
      <c r="F83" s="261">
        <f t="shared" si="4"/>
        <v>0.5911085940818348</v>
      </c>
      <c r="G83" s="261">
        <f t="shared" si="4"/>
        <v>0.41966432643759854</v>
      </c>
      <c r="H83" s="261">
        <f t="shared" si="4"/>
        <v>0.27075884332785111</v>
      </c>
      <c r="I83" s="261">
        <f t="shared" si="4"/>
        <v>0.21754681061451139</v>
      </c>
      <c r="J83" s="261">
        <f t="shared" si="4"/>
        <v>0.20512631547592125</v>
      </c>
      <c r="K83" s="261">
        <f t="shared" si="4"/>
        <v>0.12235239755147777</v>
      </c>
      <c r="L83" s="261">
        <f t="shared" si="4"/>
        <v>9.6261446505902445E-2</v>
      </c>
      <c r="M83" s="261">
        <f t="shared" si="4"/>
        <v>9.7937768117672352E-2</v>
      </c>
      <c r="N83" s="261">
        <f t="shared" si="4"/>
        <v>9.5587467840586804E-2</v>
      </c>
      <c r="O83" s="261">
        <f t="shared" si="4"/>
        <v>0.10711716867667949</v>
      </c>
      <c r="P83" s="262">
        <f t="shared" si="4"/>
        <v>0.1078426802947041</v>
      </c>
      <c r="Q83" s="261">
        <f t="shared" si="4"/>
        <v>0.11488728017804549</v>
      </c>
      <c r="R83" s="261">
        <f t="shared" si="4"/>
        <v>0.11500556516198268</v>
      </c>
      <c r="S83" s="261">
        <f t="shared" si="4"/>
        <v>0.11269496175379422</v>
      </c>
      <c r="T83" s="261">
        <f t="shared" si="4"/>
        <v>0.11674469667165811</v>
      </c>
      <c r="U83" s="261">
        <f t="shared" si="4"/>
        <v>0.1167941274248146</v>
      </c>
      <c r="V83" s="261">
        <f t="shared" si="4"/>
        <v>0.11525795297265196</v>
      </c>
      <c r="W83" s="261">
        <f t="shared" si="4"/>
        <v>0.11274705611440336</v>
      </c>
      <c r="X83" s="261">
        <f t="shared" si="4"/>
        <v>0.11367832256541938</v>
      </c>
      <c r="Y83" s="261">
        <f t="shared" si="4"/>
        <v>0.11624676619447531</v>
      </c>
      <c r="Z83" s="261">
        <f t="shared" si="4"/>
        <v>0.14269193353301082</v>
      </c>
      <c r="AA83" s="261">
        <f t="shared" si="4"/>
        <v>0.15830913343741709</v>
      </c>
      <c r="AB83" s="261">
        <f t="shared" si="4"/>
        <v>0.16356853073581962</v>
      </c>
      <c r="AC83" s="261">
        <f t="shared" si="4"/>
        <v>0.1629806558122055</v>
      </c>
      <c r="AD83" s="261">
        <f t="shared" si="4"/>
        <v>0.16251770399876503</v>
      </c>
      <c r="AE83" s="261">
        <f t="shared" si="4"/>
        <v>0.16226924864922815</v>
      </c>
      <c r="AF83" s="261">
        <f t="shared" si="4"/>
        <v>0.16209305512040711</v>
      </c>
      <c r="AG83" s="261">
        <f t="shared" si="4"/>
        <v>0.16147938988434857</v>
      </c>
      <c r="AH83" s="261">
        <f t="shared" si="4"/>
        <v>0.16103894764889082</v>
      </c>
      <c r="AI83" s="261">
        <f t="shared" si="4"/>
        <v>0.16059748255215109</v>
      </c>
      <c r="AJ83" s="261">
        <f t="shared" si="4"/>
        <v>0.15962426185890077</v>
      </c>
      <c r="AK83" s="327"/>
    </row>
    <row r="84" spans="1:37" s="257" customFormat="1">
      <c r="A84" s="258" t="s">
        <v>335</v>
      </c>
      <c r="B84" s="261">
        <f>B77/SUM(B$74:B$78)</f>
        <v>4.0963460593150914E-5</v>
      </c>
      <c r="C84" s="261">
        <f t="shared" ref="C84:AJ84" si="5">C77/SUM(C$74:C$78)</f>
        <v>4.1387302375631155E-5</v>
      </c>
      <c r="D84" s="261">
        <f t="shared" si="5"/>
        <v>3.8621968175498216E-5</v>
      </c>
      <c r="E84" s="261">
        <f t="shared" si="5"/>
        <v>3.8194179207088839E-5</v>
      </c>
      <c r="F84" s="261">
        <f t="shared" si="5"/>
        <v>3.5395724196517061E-5</v>
      </c>
      <c r="G84" s="261">
        <f t="shared" si="5"/>
        <v>2.7947280591346644E-3</v>
      </c>
      <c r="H84" s="261">
        <f t="shared" si="5"/>
        <v>5.561694103429723E-3</v>
      </c>
      <c r="I84" s="261">
        <f t="shared" si="5"/>
        <v>8.1920774728426304E-3</v>
      </c>
      <c r="J84" s="261">
        <f t="shared" si="5"/>
        <v>1.3176437880410979E-2</v>
      </c>
      <c r="K84" s="261">
        <f t="shared" si="5"/>
        <v>1.3145636128278248E-2</v>
      </c>
      <c r="L84" s="261">
        <f t="shared" si="5"/>
        <v>1.5134004046597477E-2</v>
      </c>
      <c r="M84" s="261">
        <f t="shared" si="5"/>
        <v>1.5129762783426629E-2</v>
      </c>
      <c r="N84" s="261">
        <f t="shared" si="5"/>
        <v>1.5205458056109471E-2</v>
      </c>
      <c r="O84" s="261">
        <f t="shared" si="5"/>
        <v>1.5088326199189121E-2</v>
      </c>
      <c r="P84" s="262">
        <f t="shared" si="5"/>
        <v>1.5272628005024694E-2</v>
      </c>
      <c r="Q84" s="261">
        <f t="shared" si="5"/>
        <v>1.547444401108607E-2</v>
      </c>
      <c r="R84" s="261">
        <f t="shared" si="5"/>
        <v>1.5855597941375612E-2</v>
      </c>
      <c r="S84" s="261">
        <f t="shared" si="5"/>
        <v>1.635307528191236E-2</v>
      </c>
      <c r="T84" s="261">
        <f t="shared" si="5"/>
        <v>1.6806592007777597E-2</v>
      </c>
      <c r="U84" s="261">
        <f t="shared" si="5"/>
        <v>1.7534012714762386E-2</v>
      </c>
      <c r="V84" s="261">
        <f t="shared" si="5"/>
        <v>1.8342715829607892E-2</v>
      </c>
      <c r="W84" s="261">
        <f t="shared" si="5"/>
        <v>1.9211146211556809E-2</v>
      </c>
      <c r="X84" s="261">
        <f t="shared" si="5"/>
        <v>2.0009621208174153E-2</v>
      </c>
      <c r="Y84" s="261">
        <f t="shared" si="5"/>
        <v>2.0802661006882779E-2</v>
      </c>
      <c r="Z84" s="261">
        <f t="shared" si="5"/>
        <v>2.1014535169433541E-2</v>
      </c>
      <c r="AA84" s="261">
        <f t="shared" si="5"/>
        <v>2.1500365605731018E-2</v>
      </c>
      <c r="AB84" s="261">
        <f t="shared" si="5"/>
        <v>2.2277524301847536E-2</v>
      </c>
      <c r="AC84" s="261">
        <f t="shared" si="5"/>
        <v>2.3181956552887635E-2</v>
      </c>
      <c r="AD84" s="261">
        <f t="shared" si="5"/>
        <v>2.4183498698979858E-2</v>
      </c>
      <c r="AE84" s="261">
        <f t="shared" si="5"/>
        <v>2.5324562630672363E-2</v>
      </c>
      <c r="AF84" s="261">
        <f t="shared" si="5"/>
        <v>2.6553790413155087E-2</v>
      </c>
      <c r="AG84" s="261">
        <f t="shared" si="5"/>
        <v>2.7788343681858889E-2</v>
      </c>
      <c r="AH84" s="261">
        <f t="shared" si="5"/>
        <v>2.9083599501169795E-2</v>
      </c>
      <c r="AI84" s="261">
        <f t="shared" si="5"/>
        <v>3.0376446209471518E-2</v>
      </c>
      <c r="AJ84" s="261">
        <f t="shared" si="5"/>
        <v>3.1792478603369805E-2</v>
      </c>
      <c r="AK84" s="327"/>
    </row>
    <row r="85" spans="1:37" s="257" customFormat="1">
      <c r="A85" s="258" t="s">
        <v>334</v>
      </c>
      <c r="B85" s="261">
        <f>B78/SUM(B$74:B$78)</f>
        <v>8.1926921186301831E-4</v>
      </c>
      <c r="C85" s="261">
        <f t="shared" ref="C85:AJ85" si="6">C78/SUM(C$74:C$78)</f>
        <v>1.2416190712689346E-3</v>
      </c>
      <c r="D85" s="261">
        <f t="shared" si="6"/>
        <v>5.4456975127452484E-2</v>
      </c>
      <c r="E85" s="261">
        <f t="shared" si="6"/>
        <v>0.11458253762126649</v>
      </c>
      <c r="F85" s="261">
        <f t="shared" si="6"/>
        <v>0.1274246071074614</v>
      </c>
      <c r="G85" s="261">
        <f t="shared" si="6"/>
        <v>0.21277697337075102</v>
      </c>
      <c r="H85" s="261">
        <f t="shared" si="6"/>
        <v>0.37565808344917373</v>
      </c>
      <c r="I85" s="261">
        <f t="shared" si="6"/>
        <v>0.53779674873992855</v>
      </c>
      <c r="J85" s="261">
        <f t="shared" si="6"/>
        <v>0.55906273133565976</v>
      </c>
      <c r="K85" s="261">
        <f t="shared" si="6"/>
        <v>0.72964340813145256</v>
      </c>
      <c r="L85" s="261">
        <f t="shared" si="6"/>
        <v>0.78204400830622933</v>
      </c>
      <c r="M85" s="261">
        <f t="shared" si="6"/>
        <v>0.78055078069875505</v>
      </c>
      <c r="N85" s="261">
        <f t="shared" si="6"/>
        <v>0.78252723259478996</v>
      </c>
      <c r="O85" s="261">
        <f t="shared" si="6"/>
        <v>0.77248445350131156</v>
      </c>
      <c r="P85" s="262">
        <f t="shared" si="6"/>
        <v>0.77163319040661071</v>
      </c>
      <c r="Q85" s="261">
        <f t="shared" si="6"/>
        <v>0.76524148516280643</v>
      </c>
      <c r="R85" s="261">
        <f t="shared" si="6"/>
        <v>0.76481699842415107</v>
      </c>
      <c r="S85" s="261">
        <f t="shared" si="6"/>
        <v>0.76640046312232191</v>
      </c>
      <c r="T85" s="261">
        <f t="shared" si="6"/>
        <v>0.76243117877144451</v>
      </c>
      <c r="U85" s="261">
        <f t="shared" si="6"/>
        <v>0.76174137938307884</v>
      </c>
      <c r="V85" s="261">
        <f t="shared" si="6"/>
        <v>0.76233526546309049</v>
      </c>
      <c r="W85" s="261">
        <f t="shared" si="6"/>
        <v>0.76377757863900142</v>
      </c>
      <c r="X85" s="261">
        <f t="shared" si="6"/>
        <v>0.76230086498203542</v>
      </c>
      <c r="Y85" s="261">
        <f t="shared" si="6"/>
        <v>0.75930728530260783</v>
      </c>
      <c r="Z85" s="261">
        <f t="shared" si="6"/>
        <v>0.7359208527373603</v>
      </c>
      <c r="AA85" s="261">
        <f t="shared" si="6"/>
        <v>0.72175035376326335</v>
      </c>
      <c r="AB85" s="261">
        <f t="shared" si="6"/>
        <v>0.71641143895546622</v>
      </c>
      <c r="AC85" s="261">
        <f t="shared" si="6"/>
        <v>0.7164191374162433</v>
      </c>
      <c r="AD85" s="261">
        <f t="shared" si="6"/>
        <v>0.71615355386962543</v>
      </c>
      <c r="AE85" s="261">
        <f t="shared" si="6"/>
        <v>0.7153845451219577</v>
      </c>
      <c r="AF85" s="261">
        <f t="shared" si="6"/>
        <v>0.71448995838481899</v>
      </c>
      <c r="AG85" s="261">
        <f t="shared" si="6"/>
        <v>0.71423782767181088</v>
      </c>
      <c r="AH85" s="261">
        <f t="shared" si="6"/>
        <v>0.71364805434549439</v>
      </c>
      <c r="AI85" s="261">
        <f t="shared" si="6"/>
        <v>0.71325496656230924</v>
      </c>
      <c r="AJ85" s="261">
        <f t="shared" si="6"/>
        <v>0.71339708908117694</v>
      </c>
      <c r="AK85" s="327"/>
    </row>
    <row r="86" spans="1:37" s="257" customFormat="1">
      <c r="A86" s="257" t="s">
        <v>337</v>
      </c>
      <c r="B86" s="261">
        <f>SUM(B81:B85)</f>
        <v>1</v>
      </c>
      <c r="C86" s="261">
        <f t="shared" ref="C86:AJ86" si="7">SUM(C81:C85)</f>
        <v>1</v>
      </c>
      <c r="D86" s="261">
        <f t="shared" si="7"/>
        <v>0.99999999999999978</v>
      </c>
      <c r="E86" s="261">
        <f t="shared" si="7"/>
        <v>0.99999999999999989</v>
      </c>
      <c r="F86" s="261">
        <f t="shared" si="7"/>
        <v>0.99999999999999989</v>
      </c>
      <c r="G86" s="261">
        <f t="shared" si="7"/>
        <v>1</v>
      </c>
      <c r="H86" s="261">
        <f t="shared" si="7"/>
        <v>1</v>
      </c>
      <c r="I86" s="261">
        <f t="shared" si="7"/>
        <v>1</v>
      </c>
      <c r="J86" s="261">
        <f t="shared" si="7"/>
        <v>1</v>
      </c>
      <c r="K86" s="261">
        <f t="shared" si="7"/>
        <v>1</v>
      </c>
      <c r="L86" s="261">
        <f t="shared" si="7"/>
        <v>1</v>
      </c>
      <c r="M86" s="261">
        <f t="shared" si="7"/>
        <v>1</v>
      </c>
      <c r="N86" s="261">
        <f t="shared" si="7"/>
        <v>1</v>
      </c>
      <c r="O86" s="261">
        <f t="shared" si="7"/>
        <v>1</v>
      </c>
      <c r="P86" s="261">
        <f t="shared" si="7"/>
        <v>1</v>
      </c>
      <c r="Q86" s="261">
        <f t="shared" si="7"/>
        <v>1</v>
      </c>
      <c r="R86" s="261">
        <f t="shared" si="7"/>
        <v>1</v>
      </c>
      <c r="S86" s="261">
        <f t="shared" si="7"/>
        <v>1</v>
      </c>
      <c r="T86" s="261">
        <f t="shared" si="7"/>
        <v>1</v>
      </c>
      <c r="U86" s="261">
        <f t="shared" si="7"/>
        <v>1</v>
      </c>
      <c r="V86" s="261">
        <f t="shared" si="7"/>
        <v>1</v>
      </c>
      <c r="W86" s="261">
        <f t="shared" si="7"/>
        <v>1</v>
      </c>
      <c r="X86" s="261">
        <f t="shared" si="7"/>
        <v>1</v>
      </c>
      <c r="Y86" s="261">
        <f t="shared" si="7"/>
        <v>1</v>
      </c>
      <c r="Z86" s="261">
        <f t="shared" si="7"/>
        <v>0.99999999999999989</v>
      </c>
      <c r="AA86" s="261">
        <f t="shared" si="7"/>
        <v>1</v>
      </c>
      <c r="AB86" s="261">
        <f t="shared" si="7"/>
        <v>1</v>
      </c>
      <c r="AC86" s="261">
        <f t="shared" si="7"/>
        <v>1</v>
      </c>
      <c r="AD86" s="261">
        <f t="shared" si="7"/>
        <v>1</v>
      </c>
      <c r="AE86" s="261">
        <f t="shared" si="7"/>
        <v>1</v>
      </c>
      <c r="AF86" s="261">
        <f t="shared" si="7"/>
        <v>1</v>
      </c>
      <c r="AG86" s="261">
        <f t="shared" si="7"/>
        <v>1</v>
      </c>
      <c r="AH86" s="261">
        <f t="shared" si="7"/>
        <v>1</v>
      </c>
      <c r="AI86" s="261">
        <f t="shared" si="7"/>
        <v>1</v>
      </c>
      <c r="AJ86" s="261">
        <f t="shared" si="7"/>
        <v>1</v>
      </c>
      <c r="AK86" s="327"/>
    </row>
    <row r="87" spans="1:37">
      <c r="A87" s="560" t="s">
        <v>691</v>
      </c>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row>
    <row r="88" spans="1:37">
      <c r="A88" s="559" t="s">
        <v>714</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row>
    <row r="89" spans="1:37">
      <c r="A89" s="559" t="s">
        <v>648</v>
      </c>
      <c r="B89" s="559"/>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row>
    <row r="90" spans="1:37">
      <c r="A90" s="559" t="s">
        <v>715</v>
      </c>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row>
    <row r="91" spans="1:37">
      <c r="A91" s="559" t="s">
        <v>716</v>
      </c>
      <c r="B91" s="559"/>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row>
    <row r="92" spans="1:37">
      <c r="A92" s="559" t="s">
        <v>717</v>
      </c>
      <c r="B92" s="559"/>
      <c r="C92" s="559"/>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row>
    <row r="93" spans="1:37">
      <c r="A93" s="559" t="s">
        <v>718</v>
      </c>
      <c r="B93" s="559"/>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row>
    <row r="94" spans="1:37">
      <c r="A94" s="559" t="s">
        <v>719</v>
      </c>
      <c r="B94" s="559"/>
      <c r="C94" s="559"/>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row>
    <row r="95" spans="1:37">
      <c r="A95" s="559" t="s">
        <v>720</v>
      </c>
      <c r="B95" s="559"/>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row>
    <row r="96" spans="1:37">
      <c r="A96" s="559" t="s">
        <v>721</v>
      </c>
      <c r="B96" s="559"/>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row>
    <row r="97" spans="1:32">
      <c r="A97" s="559" t="s">
        <v>649</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row>
    <row r="98" spans="1:32">
      <c r="A98" s="559" t="s">
        <v>722</v>
      </c>
      <c r="B98" s="559"/>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row>
    <row r="99" spans="1:32">
      <c r="A99" s="559" t="s">
        <v>723</v>
      </c>
      <c r="B99" s="559"/>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row>
    <row r="100" spans="1:32">
      <c r="A100" s="559" t="s">
        <v>724</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row>
    <row r="101" spans="1:32">
      <c r="A101" s="559" t="s">
        <v>725</v>
      </c>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row>
    <row r="102" spans="1:32">
      <c r="A102" s="559" t="s">
        <v>726</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row>
    <row r="103" spans="1:32">
      <c r="A103" s="559" t="s">
        <v>727</v>
      </c>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row>
    <row r="104" spans="1:32">
      <c r="A104" s="559" t="s">
        <v>650</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row>
    <row r="105" spans="1:32">
      <c r="A105" s="559" t="s">
        <v>728</v>
      </c>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c r="AF105" s="559"/>
    </row>
    <row r="106" spans="1:32">
      <c r="A106" s="559" t="s">
        <v>729</v>
      </c>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row>
    <row r="107" spans="1:32">
      <c r="A107" s="559" t="s">
        <v>730</v>
      </c>
      <c r="B107" s="559"/>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row>
    <row r="108" spans="1:32">
      <c r="A108" s="559" t="s">
        <v>630</v>
      </c>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row>
    <row r="109" spans="1:32">
      <c r="A109" s="559" t="s">
        <v>731</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row>
    <row r="110" spans="1:32">
      <c r="A110" s="559" t="s">
        <v>732</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row>
    <row r="111" spans="1:32">
      <c r="A111" s="559" t="s">
        <v>633</v>
      </c>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559"/>
      <c r="AA111" s="559"/>
      <c r="AB111" s="559"/>
      <c r="AC111" s="559"/>
      <c r="AD111" s="559"/>
      <c r="AE111" s="559"/>
      <c r="AF111" s="559"/>
    </row>
    <row r="112" spans="1:32">
      <c r="A112" s="559" t="s">
        <v>634</v>
      </c>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row>
    <row r="113" spans="1:32">
      <c r="A113" s="559" t="s">
        <v>699</v>
      </c>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row>
    <row r="114" spans="1:32">
      <c r="A114" s="559" t="s">
        <v>733</v>
      </c>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row>
    <row r="115" spans="1:32">
      <c r="A115" s="559" t="s">
        <v>734</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row>
    <row r="116" spans="1:32">
      <c r="A116" s="559" t="s">
        <v>703</v>
      </c>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row>
    <row r="117" spans="1:32">
      <c r="A117" s="559" t="s">
        <v>704</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row>
    <row r="118" spans="1:32">
      <c r="A118" s="559" t="s">
        <v>705</v>
      </c>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row>
    <row r="119" spans="1:32">
      <c r="A119" s="559" t="s">
        <v>735</v>
      </c>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row>
    <row r="120" spans="1:32">
      <c r="A120" s="559" t="s">
        <v>736</v>
      </c>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row>
    <row r="121" spans="1:32">
      <c r="A121" s="559" t="s">
        <v>737</v>
      </c>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row>
    <row r="122" spans="1:32">
      <c r="A122" s="559" t="s">
        <v>738</v>
      </c>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244</v>
      </c>
      <c r="AB12" s="53" t="s">
        <v>243</v>
      </c>
      <c r="AC12" s="72">
        <v>0.06</v>
      </c>
      <c r="AW12" s="53" t="s">
        <v>242</v>
      </c>
      <c r="BB12" s="54"/>
      <c r="BC12" s="55" t="s">
        <v>244</v>
      </c>
    </row>
    <row r="13" spans="1:55">
      <c r="A13" s="58"/>
      <c r="B13" s="73" t="s">
        <v>250</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248</v>
      </c>
    </row>
    <row r="14" spans="1:55">
      <c r="AX14" s="54" t="s">
        <v>241</v>
      </c>
      <c r="BB14" s="54"/>
    </row>
    <row r="15" spans="1:55" s="67" customFormat="1">
      <c r="A15" s="71" t="s">
        <v>143</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236</v>
      </c>
      <c r="AL15" s="67" t="s">
        <v>235</v>
      </c>
      <c r="AM15" s="67" t="s">
        <v>234</v>
      </c>
      <c r="AN15" s="67" t="s">
        <v>233</v>
      </c>
      <c r="AO15" s="67">
        <v>1995</v>
      </c>
      <c r="AP15" s="67">
        <v>1996</v>
      </c>
      <c r="AQ15" s="67">
        <v>1997</v>
      </c>
      <c r="AR15" s="67">
        <v>1998</v>
      </c>
      <c r="AS15" s="67">
        <v>1999</v>
      </c>
      <c r="AT15" s="67">
        <v>2000</v>
      </c>
      <c r="AU15" s="67">
        <v>2001</v>
      </c>
      <c r="AV15" s="67">
        <v>2002</v>
      </c>
      <c r="AW15" s="67">
        <v>2003</v>
      </c>
      <c r="AX15" s="68">
        <v>2004</v>
      </c>
      <c r="BB15" s="68"/>
    </row>
    <row r="16" spans="1:55">
      <c r="A16" s="55" t="s">
        <v>240</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238</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237</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239</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238</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237</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291</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236</v>
      </c>
      <c r="AL24" s="67" t="s">
        <v>235</v>
      </c>
      <c r="AM24" s="67" t="s">
        <v>234</v>
      </c>
      <c r="AN24" s="67" t="s">
        <v>233</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232</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249</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257</v>
      </c>
      <c r="B27" s="60"/>
      <c r="C27" s="60"/>
      <c r="D27" s="60"/>
      <c r="E27" s="60"/>
      <c r="F27" s="66">
        <v>0.2</v>
      </c>
      <c r="G27" s="61" t="s">
        <v>247</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289</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290</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281</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282</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229</v>
      </c>
      <c r="C39" s="60"/>
      <c r="D39" s="60"/>
      <c r="F39" s="60"/>
      <c r="G39" s="60"/>
      <c r="H39" s="60"/>
      <c r="I39" s="60"/>
      <c r="J39" s="61" t="s">
        <v>230</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228</v>
      </c>
    </row>
    <row r="52" spans="1:50">
      <c r="A52" s="55" t="s">
        <v>227</v>
      </c>
      <c r="B52" s="55"/>
    </row>
    <row r="53" spans="1:50">
      <c r="A53" s="55" t="s">
        <v>226</v>
      </c>
      <c r="B53" s="55"/>
    </row>
    <row r="54" spans="1:50">
      <c r="A54" s="55" t="s">
        <v>225</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2015-02-23T18:20:53Z</dcterms:modified>
</cp:coreProperties>
</file>