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G58" i="11"/>
  <c r="H108" i="15"/>
  <c r="H113" i="15"/>
  <c r="H118" i="15"/>
  <c r="H135" i="15"/>
  <c r="H140" i="15"/>
  <c r="H145" i="15"/>
  <c r="H179" i="15"/>
  <c r="H47" i="9"/>
  <c r="H52" i="9"/>
  <c r="H55" i="9"/>
  <c r="H65" i="9"/>
  <c r="H70" i="9"/>
  <c r="H73" i="9"/>
  <c r="H176" i="15"/>
  <c r="H182" i="15"/>
  <c r="H185" i="15"/>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AJ79" i="8"/>
  <c r="AJ54" i="11"/>
  <c r="AJ58" i="11"/>
  <c r="AH13" i="15"/>
  <c r="AH14" i="15"/>
  <c r="D30" i="5"/>
  <c r="C30" i="5"/>
  <c r="N10" i="9"/>
  <c r="P79" i="8"/>
  <c r="P54" i="11"/>
  <c r="P58" i="11"/>
  <c r="N13" i="15"/>
  <c r="N14" i="15"/>
  <c r="D17" i="5"/>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Z79" i="8"/>
  <c r="Z54" i="11"/>
  <c r="Z58" i="11"/>
  <c r="X13" i="15"/>
  <c r="X14" i="15"/>
  <c r="D29" i="5"/>
  <c r="C29" i="5"/>
  <c r="D28" i="5"/>
  <c r="C28" i="5"/>
  <c r="F35" i="5"/>
  <c r="H35" i="5"/>
  <c r="AH26" i="15"/>
  <c r="AH31" i="15"/>
  <c r="D36" i="5"/>
  <c r="C36" i="5"/>
  <c r="F36" i="5"/>
  <c r="H36" i="5"/>
  <c r="AH18" i="15"/>
  <c r="AH32" i="15"/>
  <c r="AH43" i="15"/>
  <c r="F34" i="5"/>
  <c r="H34" i="5"/>
  <c r="AH24" i="15"/>
  <c r="AH30" i="15"/>
  <c r="AH46" i="15"/>
  <c r="AH47" i="15"/>
  <c r="AH48" i="15"/>
  <c r="AH49" i="15"/>
  <c r="AH93" i="15"/>
  <c r="X34" i="15"/>
  <c r="X35" i="15"/>
  <c r="X37" i="15"/>
  <c r="X38" i="15"/>
  <c r="X39" i="15"/>
  <c r="X40" i="15"/>
  <c r="X42" i="15"/>
  <c r="X26" i="15"/>
  <c r="X31" i="15"/>
  <c r="X18" i="15"/>
  <c r="X32" i="15"/>
  <c r="X43" i="15"/>
  <c r="X24" i="15"/>
  <c r="X30" i="15"/>
  <c r="X46" i="15"/>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30" i="15"/>
  <c r="N46" i="15"/>
  <c r="N47" i="15"/>
  <c r="N48" i="15"/>
  <c r="N49" i="15"/>
  <c r="N93" i="15"/>
  <c r="X78" i="15"/>
  <c r="N94" i="15"/>
  <c r="X79" i="15"/>
  <c r="N87" i="15"/>
  <c r="X72" i="15"/>
  <c r="H10" i="9"/>
  <c r="H34" i="15"/>
  <c r="H43" i="15"/>
  <c r="J79" i="8"/>
  <c r="J54" i="11"/>
  <c r="J58" i="11"/>
  <c r="H14" i="15"/>
  <c r="H30" i="15"/>
  <c r="H46" i="15"/>
  <c r="H47" i="15"/>
  <c r="H48" i="15"/>
  <c r="H49" i="15"/>
  <c r="H93" i="15"/>
  <c r="N78" i="15"/>
  <c r="H94" i="15"/>
  <c r="N79" i="15"/>
  <c r="H87" i="15"/>
  <c r="N72" i="15"/>
  <c r="H74" i="8"/>
  <c r="H78" i="8"/>
  <c r="H79" i="8"/>
  <c r="H54" i="11"/>
  <c r="I74" i="8"/>
  <c r="I78" i="8"/>
  <c r="I79" i="8"/>
  <c r="I54" i="11"/>
  <c r="J74" i="8"/>
  <c r="J78" i="8"/>
  <c r="K74" i="8"/>
  <c r="K78" i="8"/>
  <c r="K79" i="8"/>
  <c r="K54" i="11"/>
  <c r="L74" i="8"/>
  <c r="L78" i="8"/>
  <c r="L79" i="8"/>
  <c r="L54" i="11"/>
  <c r="M74" i="8"/>
  <c r="M78" i="8"/>
  <c r="M79" i="8"/>
  <c r="M54" i="11"/>
  <c r="N74" i="8"/>
  <c r="N78" i="8"/>
  <c r="N79" i="8"/>
  <c r="N54" i="11"/>
  <c r="O74" i="8"/>
  <c r="O78" i="8"/>
  <c r="O79" i="8"/>
  <c r="O54" i="11"/>
  <c r="P74" i="8"/>
  <c r="P78" i="8"/>
  <c r="Q74" i="8"/>
  <c r="Q78" i="8"/>
  <c r="Q79" i="8"/>
  <c r="Q54" i="11"/>
  <c r="R74" i="8"/>
  <c r="R78" i="8"/>
  <c r="R79" i="8"/>
  <c r="R54" i="11"/>
  <c r="S74" i="8"/>
  <c r="S78" i="8"/>
  <c r="S79" i="8"/>
  <c r="S54" i="11"/>
  <c r="T74" i="8"/>
  <c r="T78" i="8"/>
  <c r="T79" i="8"/>
  <c r="T54" i="11"/>
  <c r="U74" i="8"/>
  <c r="U78" i="8"/>
  <c r="U79" i="8"/>
  <c r="U54" i="11"/>
  <c r="V74" i="8"/>
  <c r="V78" i="8"/>
  <c r="V79" i="8"/>
  <c r="V54" i="11"/>
  <c r="W74" i="8"/>
  <c r="W78" i="8"/>
  <c r="W79" i="8"/>
  <c r="W54" i="11"/>
  <c r="X74" i="8"/>
  <c r="X78" i="8"/>
  <c r="X79" i="8"/>
  <c r="X54" i="11"/>
  <c r="Y74" i="8"/>
  <c r="Y78" i="8"/>
  <c r="Y79" i="8"/>
  <c r="Y54" i="11"/>
  <c r="Z74" i="8"/>
  <c r="Z78" i="8"/>
  <c r="AA74" i="8"/>
  <c r="AA78" i="8"/>
  <c r="AA79" i="8"/>
  <c r="AA54" i="11"/>
  <c r="AB74" i="8"/>
  <c r="AB78" i="8"/>
  <c r="AB79" i="8"/>
  <c r="AB54" i="11"/>
  <c r="AC74" i="8"/>
  <c r="AC78" i="8"/>
  <c r="AC79" i="8"/>
  <c r="AC54" i="11"/>
  <c r="AD74" i="8"/>
  <c r="AD78" i="8"/>
  <c r="AD79" i="8"/>
  <c r="AD54" i="11"/>
  <c r="AE74" i="8"/>
  <c r="AE78" i="8"/>
  <c r="AE79" i="8"/>
  <c r="AE54" i="11"/>
  <c r="AF74" i="8"/>
  <c r="AF78" i="8"/>
  <c r="AF79" i="8"/>
  <c r="AF54" i="11"/>
  <c r="AG74" i="8"/>
  <c r="AG78" i="8"/>
  <c r="AG79" i="8"/>
  <c r="AG54" i="11"/>
  <c r="AH74" i="8"/>
  <c r="AH78" i="8"/>
  <c r="AH79" i="8"/>
  <c r="AH54" i="11"/>
  <c r="AI74" i="8"/>
  <c r="AI78" i="8"/>
  <c r="AI79" i="8"/>
  <c r="AI54" i="11"/>
  <c r="AJ74" i="8"/>
  <c r="AJ78" i="8"/>
  <c r="G74" i="8"/>
  <c r="G78" i="8"/>
  <c r="G79" i="8"/>
  <c r="G54" i="11"/>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H58" i="11"/>
  <c r="I49" i="11"/>
  <c r="I50" i="11"/>
  <c r="I51" i="11"/>
  <c r="I58" i="11"/>
  <c r="J49" i="11"/>
  <c r="J50" i="11"/>
  <c r="J51" i="11"/>
  <c r="K49" i="11"/>
  <c r="K50" i="11"/>
  <c r="K51" i="11"/>
  <c r="K58" i="11"/>
  <c r="L49" i="11"/>
  <c r="L50" i="11"/>
  <c r="L51" i="11"/>
  <c r="L58" i="11"/>
  <c r="M49" i="11"/>
  <c r="M50" i="11"/>
  <c r="M51" i="11"/>
  <c r="M58" i="11"/>
  <c r="N49" i="11"/>
  <c r="N50" i="11"/>
  <c r="N51" i="11"/>
  <c r="N58" i="11"/>
  <c r="O49" i="11"/>
  <c r="O50" i="11"/>
  <c r="O51" i="11"/>
  <c r="O58" i="11"/>
  <c r="P49" i="11"/>
  <c r="P50" i="11"/>
  <c r="P51" i="11"/>
  <c r="Q49" i="11"/>
  <c r="Q50" i="11"/>
  <c r="Q51" i="11"/>
  <c r="Q58" i="11"/>
  <c r="R49" i="11"/>
  <c r="R50" i="11"/>
  <c r="R51" i="11"/>
  <c r="R58" i="11"/>
  <c r="S49" i="11"/>
  <c r="S50" i="11"/>
  <c r="S51" i="11"/>
  <c r="S58" i="11"/>
  <c r="T49" i="11"/>
  <c r="T50" i="11"/>
  <c r="T51" i="11"/>
  <c r="T58" i="11"/>
  <c r="U49" i="11"/>
  <c r="U50" i="11"/>
  <c r="U51" i="11"/>
  <c r="U58" i="11"/>
  <c r="V49" i="11"/>
  <c r="V50" i="11"/>
  <c r="V51" i="11"/>
  <c r="V58" i="11"/>
  <c r="W49" i="11"/>
  <c r="W50" i="11"/>
  <c r="W51" i="11"/>
  <c r="W58" i="11"/>
  <c r="X49" i="11"/>
  <c r="X50" i="11"/>
  <c r="X51" i="11"/>
  <c r="X58" i="11"/>
  <c r="Y49" i="11"/>
  <c r="Y50" i="11"/>
  <c r="Y51" i="11"/>
  <c r="Y58" i="11"/>
  <c r="Z49" i="11"/>
  <c r="Z50" i="11"/>
  <c r="Z51" i="11"/>
  <c r="AA49" i="11"/>
  <c r="AA50" i="11"/>
  <c r="AA51" i="11"/>
  <c r="AA58" i="11"/>
  <c r="AB49" i="11"/>
  <c r="AB50" i="11"/>
  <c r="AB51" i="11"/>
  <c r="AB58" i="11"/>
  <c r="AC49" i="11"/>
  <c r="AC50" i="11"/>
  <c r="AC51" i="11"/>
  <c r="AC58" i="11"/>
  <c r="AD49" i="11"/>
  <c r="AD50" i="11"/>
  <c r="AD51" i="11"/>
  <c r="AD58" i="11"/>
  <c r="AE49" i="11"/>
  <c r="AE50" i="11"/>
  <c r="AE51" i="11"/>
  <c r="AE58" i="11"/>
  <c r="AF49" i="11"/>
  <c r="AF50" i="11"/>
  <c r="AF51" i="11"/>
  <c r="AF58" i="11"/>
  <c r="AG49" i="11"/>
  <c r="AG50" i="11"/>
  <c r="AG51" i="11"/>
  <c r="AG58" i="11"/>
  <c r="AH49" i="11"/>
  <c r="AH50" i="11"/>
  <c r="AH51" i="11"/>
  <c r="AH58" i="11"/>
  <c r="AI49" i="11"/>
  <c r="AI50" i="11"/>
  <c r="AI51" i="11"/>
  <c r="AI58" i="11"/>
  <c r="AJ49" i="11"/>
  <c r="AJ50" i="11"/>
  <c r="AJ51" i="11"/>
  <c r="AH16" i="15"/>
  <c r="Z13" i="15"/>
  <c r="Z14" i="15"/>
  <c r="N8" i="9"/>
  <c r="P73" i="8"/>
  <c r="N7" i="9"/>
  <c r="N11" i="9"/>
  <c r="P75" i="8"/>
  <c r="N12" i="9"/>
  <c r="N16" i="9"/>
  <c r="N13" i="9"/>
  <c r="N14" i="9"/>
  <c r="X8" i="9"/>
  <c r="Z73" i="8"/>
  <c r="X7"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3"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3" i="9"/>
  <c r="H38" i="15"/>
  <c r="H14" i="9"/>
  <c r="H39" i="15"/>
  <c r="H7" i="9"/>
  <c r="H31" i="15"/>
  <c r="H11" i="9"/>
  <c r="H35"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<sst xmlns="http://schemas.openxmlformats.org/spreadsheetml/2006/main" count="1326" uniqueCount="760">
  <si>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</si>
  <si>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</si>
  <si>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</si>
  <si>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</si>
  <si>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</si>
  <si>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</si>
  <si>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</si>
  <si>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</si>
  <si>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</si>
  <si>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</si>
  <si>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</si>
  <si>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</si>
  <si>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</si>
  <si>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</si>
  <si>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</si>
  <si>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</si>
  <si>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</si>
  <si>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</si>
  <si>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</si>
  <si>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</si>
  <si>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</si>
  <si>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</si>
  <si>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</si>
  <si>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</si>
  <si>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</si>
  <si>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</si>
  <si>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</si>
  <si>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</si>
  <si>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</si>
  <si>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</si>
  <si>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</si>
  <si>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</si>
  <si>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</si>
  <si>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</si>
  <si>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</si>
  <si>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</si>
  <si>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</si>
  <si>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</si>
  <si>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</si>
  <si>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</si>
  <si>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</si>
  <si>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</si>
  <si>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</si>
  <si>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</si>
  <si>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</si>
  <si>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</si>
  <si>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</si>
  <si>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</si>
  <si>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</si>
  <si>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</si>
  <si>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</si>
  <si>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</si>
  <si>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</si>
  <si>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</si>
  <si>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</si>
  <si>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</si>
  <si>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</si>
  <si>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</si>
  <si>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</si>
  <si>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</si>
  <si>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</si>
  <si>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</si>
  <si>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</si>
  <si>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</si>
  <si>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</si>
  <si>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</si>
  <si>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</si>
  <si>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</si>
  <si>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</si>
  <si>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</si>
  <si>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</si>
  <si>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</si>
  <si>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</si>
  <si>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</si>
  <si>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</si>
  <si>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</si>
  <si>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</si>
  <si>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</si>
  <si>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</si>
  <si>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</si>
  <si>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</si>
  <si>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</si>
  <si>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</si>
  <si>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</si>
  <si>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</si>
  <si>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</si>
  <si>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</si>
  <si>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</si>
  <si>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</si>
  <si>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</si>
  <si>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</si>
  <si>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</si>
  <si>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</si>
  <si>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</si>
  <si>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</si>
  <si>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</si>
  <si>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</si>
  <si>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</si>
  <si>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</si>
  <si>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</si>
  <si>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</si>
  <si>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</si>
  <si>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</si>
  <si>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</si>
  <si>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</si>
  <si>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</si>
  <si>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</si>
  <si>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</si>
  <si>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</si>
  <si>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</si>
  <si>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</si>
  <si>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</si>
  <si>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</si>
  <si>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</si>
  <si>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</si>
  <si>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</si>
  <si>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</si>
  <si>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</si>
  <si>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</si>
  <si>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</si>
  <si>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</si>
  <si>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</si>
  <si>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</si>
  <si>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</si>
  <si>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</si>
  <si>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</si>
  <si>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</si>
  <si>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</si>
  <si>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</si>
  <si>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</si>
  <si>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</si>
  <si>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</si>
  <si>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</si>
  <si>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</si>
  <si>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</si>
  <si>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</si>
  <si>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</si>
  <si>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</si>
  <si>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</si>
  <si>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</si>
  <si>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</si>
  <si>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</si>
  <si>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</si>
  <si>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</si>
  <si>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</si>
  <si>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</si>
  <si>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</si>
  <si>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</si>
  <si>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</si>
  <si>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</si>
  <si>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</si>
  <si>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</si>
  <si>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</si>
  <si>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</si>
  <si>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</si>
  <si>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</si>
  <si>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</si>
  <si>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</si>
  <si>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</si>
  <si>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</si>
  <si>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</si>
  <si>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</si>
  <si>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</si>
  <si>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</si>
  <si>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</si>
  <si>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</si>
  <si>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</si>
  <si>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</si>
  <si>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</si>
  <si>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</si>
  <si>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</si>
  <si>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</si>
  <si>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</si>
  <si>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</si>
  <si>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</si>
  <si>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</si>
  <si>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</si>
  <si>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</si>
  <si>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</si>
  <si>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</si>
  <si>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</si>
  <si>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</si>
  <si>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</si>
  <si>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</si>
  <si>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</si>
  <si>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</si>
  <si>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</si>
  <si>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</si>
  <si>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</si>
  <si>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</si>
  <si>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</si>
  <si>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</si>
  <si>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</si>
  <si>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</si>
  <si>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</si>
  <si>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</si>
  <si>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</si>
  <si>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</si>
  <si>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</si>
  <si>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</si>
  <si>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</si>
  <si>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</si>
  <si>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</si>
  <si>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</si>
  <si>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</si>
  <si>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</si>
  <si>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</si>
  <si>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</si>
  <si>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</si>
  <si>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</si>
  <si>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</si>
  <si>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</si>
  <si>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</si>
  <si>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</si>
  <si>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</si>
  <si>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</si>
  <si>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</si>
  <si>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</si>
  <si>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</si>
  <si>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</si>
  <si>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</si>
  <si>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</si>
  <si>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</si>
  <si>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</si>
  <si>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</si>
  <si>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</si>
  <si>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</si>
  <si>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</si>
  <si>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</si>
  <si>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</si>
  <si>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</si>
  <si>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</si>
  <si>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</si>
  <si>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</si>
  <si>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</si>
  <si>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</si>
  <si>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</si>
  <si>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</si>
  <si>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</si>
  <si>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</si>
  <si>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</si>
  <si>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</si>
  <si>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</si>
  <si>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</si>
  <si>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</si>
  <si>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</si>
  <si>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</si>
  <si>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</si>
  <si>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</si>
  <si>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</si>
  <si>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</si>
  <si>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</si>
  <si>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</si>
  <si>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</si>
  <si>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</si>
  <si>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</si>
  <si>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</si>
  <si>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</si>
  <si>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</si>
  <si>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</si>
  <si>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</si>
  <si>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</si>
  <si>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</si>
  <si>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</si>
  <si>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</si>
  <si>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</si>
  <si>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</si>
  <si>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</si>
  <si>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</si>
  <si>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</si>
  <si>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</si>
  <si>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</si>
  <si>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</si>
  <si>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</si>
  <si>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</si>
  <si>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</si>
  <si>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</si>
  <si>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</si>
  <si>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</si>
  <si>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</si>
  <si>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</si>
  <si>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</si>
  <si>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</si>
  <si>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</si>
  <si>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</si>
  <si>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</si>
  <si>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</si>
  <si>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</si>
  <si>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</si>
  <si>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</si>
  <si>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</si>
  <si>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</si>
  <si>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</si>
  <si>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</si>
  <si>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</si>
  <si>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</si>
  <si>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</si>
  <si>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</si>
  <si>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</si>
  <si>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</si>
  <si>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</si>
  <si>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</si>
  <si>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</si>
  <si>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</si>
  <si>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</si>
  <si>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</si>
  <si>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</si>
  <si>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</si>
  <si>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</si>
  <si>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</si>
  <si>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</si>
  <si>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</si>
  <si>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</si>
  <si>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</si>
  <si>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</si>
  <si>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</si>
  <si>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</si>
  <si>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</si>
  <si>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</si>
  <si>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</si>
  <si>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</si>
  <si>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</si>
  <si>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</si>
  <si>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</si>
  <si>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</si>
  <si>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</si>
  <si>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</si>
  <si>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</si>
  <si>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</si>
  <si>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</si>
  <si>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</si>
  <si>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</si>
  <si>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</si>
  <si>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</si>
  <si>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</si>
  <si>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</si>
  <si>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</si>
  <si>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</si>
  <si>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</si>
  <si>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</si>
  <si>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</si>
  <si>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</si>
  <si>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</si>
  <si>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</si>
  <si>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</si>
  <si>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</si>
  <si>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</si>
  <si>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</si>
  <si>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</si>
  <si>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</si>
  <si>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</si>
  <si>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</si>
  <si>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</si>
  <si>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</si>
  <si>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</si>
  <si>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</si>
  <si>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</si>
  <si>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</si>
  <si>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</si>
  <si>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</si>
  <si>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</si>
  <si>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</si>
  <si>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</si>
  <si>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</si>
  <si>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</si>
  <si>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</si>
  <si>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</si>
  <si>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</si>
  <si>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</si>
  <si>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</si>
  <si>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</si>
  <si>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</si>
  <si>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</si>
  <si>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</si>
  <si>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</si>
  <si>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</si>
  <si>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</si>
  <si>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</si>
  <si>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</si>
  <si>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</si>
  <si>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</si>
  <si>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</si>
  <si>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</si>
  <si>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</si>
  <si>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</si>
  <si>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</si>
  <si>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</si>
  <si>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</si>
  <si>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</si>
  <si>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</si>
  <si>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</si>
  <si>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</si>
  <si>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</si>
  <si>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</si>
  <si>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</si>
  <si>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</si>
  <si>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</si>
  <si>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</si>
  <si>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</si>
  <si>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</si>
  <si>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</si>
  <si>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</si>
  <si>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</si>
  <si>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</si>
  <si>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</si>
  <si>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</si>
  <si>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</si>
  <si>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</si>
  <si>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</si>
  <si>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</si>
  <si>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</si>
  <si>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</si>
  <si>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</si>
  <si>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</si>
  <si>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</si>
  <si>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</si>
  <si>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</si>
  <si>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</si>
  <si>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</si>
  <si>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</si>
  <si>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</si>
  <si>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</si>
  <si>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</si>
  <si>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</si>
  <si>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</si>
  <si>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</si>
  <si>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</si>
  <si>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</si>
  <si>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</si>
  <si>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</si>
  <si>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</si>
  <si>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</si>
  <si>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</si>
  <si>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</si>
  <si>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</si>
  <si>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</si>
  <si>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</si>
  <si>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</si>
  <si>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</si>
  <si>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</si>
  <si>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</si>
  <si>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</si>
  <si>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</si>
  <si>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</si>
  <si>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</si>
  <si>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</si>
  <si>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</si>
  <si>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</si>
  <si>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</si>
  <si>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</si>
  <si>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</si>
  <si>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</si>
  <si>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</si>
  <si>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</si>
  <si>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</si>
  <si>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</si>
  <si>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</si>
  <si>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</si>
  <si>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</si>
  <si>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</si>
  <si>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</si>
  <si>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</si>
  <si>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</si>
  <si>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</si>
  <si>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</si>
  <si>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</si>
  <si>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</si>
  <si>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</si>
  <si>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</si>
  <si>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</si>
  <si>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</si>
  <si>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</si>
  <si>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</si>
  <si>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</si>
  <si>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</si>
  <si>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</si>
  <si>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</si>
  <si>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</si>
  <si>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</si>
  <si>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</si>
  <si>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</si>
  <si>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</si>
  <si>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</si>
  <si>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</si>
  <si>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</si>
  <si>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</si>
  <si>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</si>
  <si>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</si>
  <si>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</si>
  <si>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</si>
  <si>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</si>
  <si>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</si>
  <si>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</si>
  <si>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</si>
  <si>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</si>
  <si>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</si>
  <si>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</si>
  <si>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</si>
  <si>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</si>
  <si>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</si>
  <si>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</si>
  <si>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</si>
  <si>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</si>
  <si>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</si>
  <si>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</si>
  <si>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</si>
  <si>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</si>
  <si>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</si>
  <si>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</si>
  <si>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</si>
  <si>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</si>
  <si>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</si>
  <si>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</si>
  <si>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</si>
  <si>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</si>
  <si>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</si>
  <si>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</si>
  <si>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</si>
  <si>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</si>
  <si>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</si>
  <si>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</si>
  <si>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</si>
  <si>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</si>
  <si>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</si>
  <si>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</si>
  <si>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</si>
  <si>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</si>
  <si>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</si>
  <si>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</si>
  <si>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</si>
  <si>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</si>
  <si>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</si>
  <si>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</si>
  <si>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</si>
  <si>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</si>
  <si>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</si>
  <si>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</si>
  <si>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</si>
  <si>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</si>
  <si>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</si>
  <si>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</si>
  <si>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</si>
  <si>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</si>
  <si>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</si>
  <si>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</si>
  <si>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</si>
  <si>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</si>
  <si>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</si>
  <si>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</si>
  <si>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</si>
  <si>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</si>
  <si>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</si>
  <si>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</si>
  <si>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</si>
  <si>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</si>
  <si>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</si>
  <si>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</si>
  <si>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</si>
  <si>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</si>
  <si>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</si>
  <si>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</si>
  <si>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</si>
  <si>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</si>
  <si>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</si>
  <si>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</si>
  <si>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</si>
  <si>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</si>
  <si>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</si>
  <si>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</si>
  <si>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</si>
  <si>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</si>
  <si>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</si>
  <si>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</si>
  <si>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</si>
  <si>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</si>
  <si>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</si>
  <si>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</si>
  <si>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</si>
  <si>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</si>
  <si>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</si>
  <si>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</si>
  <si>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</si>
  <si>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</si>
  <si>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</si>
  <si>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</si>
  <si>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</si>
  <si>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</si>
  <si>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</si>
  <si>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</si>
  <si>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</si>
  <si>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</si>
  <si>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</si>
  <si>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</si>
  <si>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</si>
  <si>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</si>
  <si>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</si>
  <si>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</si>
  <si>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</si>
  <si>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</si>
  <si>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</si>
  <si>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</si>
  <si>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</si>
  <si>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</si>
  <si>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</si>
  <si>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</si>
  <si>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</si>
  <si>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</si>
  <si>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</si>
  <si>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</si>
  <si>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</si>
  <si>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</si>
  <si>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</si>
  <si>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</si>
  <si>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</si>
  <si>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</si>
  <si>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</si>
  <si>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</si>
  <si>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</si>
  <si>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</si>
  <si>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</si>
  <si>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</si>
  <si>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</si>
  <si>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</si>
  <si>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</si>
  <si>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</si>
  <si>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</si>
  <si>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</si>
  <si>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</si>
  <si>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</si>
  <si>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</si>
  <si>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</si>
  <si>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</si>
  <si>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</si>
  <si>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</si>
  <si>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</si>
  <si>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</si>
  <si>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</si>
  <si>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</si>
  <si>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</si>
  <si>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</si>
  <si>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</si>
  <si>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</si>
  <si>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</si>
  <si>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</si>
  <si>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</si>
  <si>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</si>
  <si>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</si>
  <si>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</si>
  <si>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</si>
  <si>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</si>
  <si>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</si>
  <si>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</si>
  <si>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</si>
  <si>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</si>
  <si>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</si>
  <si>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</si>
  <si>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</si>
  <si>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</si>
  <si>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</si>
  <si>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</si>
  <si>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</si>
  <si>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</si>
  <si>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</si>
  <si>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</si>
  <si>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</si>
  <si>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</si>
  <si>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</si>
  <si>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</si>
  <si>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</si>
  <si>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</si>
  <si>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</si>
  <si>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</si>
  <si>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</si>
  <si>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</si>
  <si>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</si>
  <si>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</si>
  <si>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</si>
  <si>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</si>
  <si>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</si>
  <si>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</si>
  <si>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</si>
  <si>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</si>
  <si>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</si>
  <si>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</si>
  <si>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</si>
  <si>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</si>
  <si>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</si>
  <si>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</si>
  <si>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</si>
  <si>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</si>
  <si>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</si>
  <si>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</si>
  <si>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</si>
  <si>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</si>
  <si>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</si>
  <si>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</si>
  <si>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</si>
  <si>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</si>
  <si>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</si>
  <si>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</si>
  <si>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</si>
  <si>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</si>
  <si>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</si>
  <si>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</si>
  <si>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</si>
  <si>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</si>
  <si>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</si>
  <si>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</si>
  <si>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</si>
  <si>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</si>
  <si>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</si>
  <si>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</si>
  <si>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</si>
  <si>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</si>
  <si>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</si>
  <si>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</si>
  <si>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</si>
  <si>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</si>
  <si>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</si>
  <si>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</si>
  <si>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</si>
  <si>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</si>
  <si>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</si>
  <si>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</si>
  <si>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</si>
  <si>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</si>
  <si>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</si>
  <si>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</si>
  <si>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</si>
  <si>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</si>
  <si>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</si>
  <si>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</si>
  <si>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</si>
  <si>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</si>
  <si>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</si>
  <si>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</si>
  <si>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</si>
  <si>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</si>
  <si>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</si>
  <si>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</si>
  <si>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</si>
  <si>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</si>
  <si>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</si>
  <si>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</si>
  <si>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</si>
  <si>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</si>
  <si>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</si>
  <si>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Total Electricity Generation by Fuel from EIA for South</t>
  </si>
  <si>
    <t>Generation from EIA South region from EIA</t>
  </si>
  <si>
    <t>Energy source</t>
  </si>
  <si>
    <t>MSW Biogenic/Landfill Ga0</t>
  </si>
  <si>
    <t>Other Biomass0</t>
  </si>
  <si>
    <t>Fossil</t>
  </si>
  <si>
    <t xml:space="preserve">    Other Gase0</t>
  </si>
  <si>
    <t>Pumped storage</t>
  </si>
  <si>
    <t>Total Electricity Generation by Fuel by computation for Mississippi</t>
  </si>
  <si>
    <t>Contribution of Mississippi</t>
  </si>
  <si>
    <t>Proportion for Mississippi</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</si>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</sst>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8">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0928808"/>
        <c:axId val="2111050216"/>
      </c:lineChart>
      <c:catAx>
        <c:axId val="211092880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050216"/>
        <c:crosses val="autoZero"/>
        <c:auto val="1"/>
        <c:lblAlgn val="ctr"/>
        <c:lblOffset val="100"/>
        <c:noMultiLvlLbl val="0"/>
      </c:catAx>
      <c:valAx>
        <c:axId val="2111050216"/>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0928808"/>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11036600"/>
        <c:axId val="2111039656"/>
      </c:lineChart>
      <c:catAx>
        <c:axId val="21110366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039656"/>
        <c:crosses val="autoZero"/>
        <c:auto val="1"/>
        <c:lblAlgn val="ctr"/>
        <c:lblOffset val="100"/>
        <c:noMultiLvlLbl val="0"/>
      </c:catAx>
      <c:valAx>
        <c:axId val="2111039656"/>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103660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8"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2"/>
      <c r="B1" s="532"/>
      <c r="C1" s="532"/>
      <c r="D1" s="532"/>
      <c r="E1" s="532"/>
      <c r="F1" s="532"/>
      <c r="G1" s="532"/>
      <c r="H1" s="532"/>
      <c r="I1" s="532"/>
      <c r="J1" s="532"/>
      <c r="K1" s="532"/>
      <c r="L1" s="532"/>
      <c r="M1" s="532"/>
      <c r="N1" s="532"/>
      <c r="O1" s="532"/>
      <c r="P1" s="532"/>
      <c r="Q1" s="532"/>
      <c r="R1" s="532"/>
      <c r="S1" s="532"/>
      <c r="T1" s="532"/>
    </row>
    <row r="2" spans="1:20" ht="113.25" customHeight="1">
      <c r="A2" s="532"/>
      <c r="B2" s="532"/>
      <c r="C2" s="532"/>
      <c r="D2" s="532"/>
      <c r="E2" s="532"/>
      <c r="F2" s="532"/>
      <c r="G2" s="532"/>
      <c r="H2" s="532"/>
      <c r="I2" s="532"/>
      <c r="J2" s="532"/>
      <c r="K2" s="532"/>
      <c r="L2" s="532"/>
      <c r="M2" s="532"/>
      <c r="N2" s="532"/>
      <c r="O2" s="532"/>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0.27711585090253155</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3">
        <v>0.05</v>
      </c>
      <c r="D11" s="125">
        <f>'Output - Jobs vs Yr (BAU)'!N18/'Output -Jobs vs Yr'!N14</f>
        <v>4.2201230371392791E-2</v>
      </c>
      <c r="E11" s="497">
        <f>(7.7/3)^(1/6)</f>
        <v>1.1701141873017888</v>
      </c>
      <c r="F11" s="109"/>
      <c r="G11" s="494">
        <f>(12.5/3)^(1/6)</f>
        <v>1.2685223586294079</v>
      </c>
      <c r="H11"/>
      <c r="I11"/>
      <c r="J11"/>
      <c r="K11"/>
      <c r="L11"/>
      <c r="M11" t="s">
        <v>0</v>
      </c>
      <c r="N11" t="s">
        <v>0</v>
      </c>
      <c r="O11" s="111" t="s">
        <v>0</v>
      </c>
      <c r="P11" s="31" t="s">
        <v>0</v>
      </c>
    </row>
    <row r="12" spans="1:20" ht="15" thickBot="1">
      <c r="B12" t="s">
        <v>381</v>
      </c>
      <c r="C12" s="209">
        <v>0.1</v>
      </c>
      <c r="D12" s="125">
        <f>'Output - Jobs vs Yr (BAU)'!X18/'Output -Jobs vs Yr'!X14</f>
        <v>6.7518215953368363E-2</v>
      </c>
      <c r="E12" s="497">
        <f>(D12/D11)^(1/10)</f>
        <v>1.0481165642162906</v>
      </c>
      <c r="F12" s="109"/>
      <c r="G12" s="495">
        <f>(C12/C11)^(1/10)</f>
        <v>1.0717734625362931</v>
      </c>
      <c r="H12"/>
      <c r="I12"/>
      <c r="J12"/>
      <c r="K12"/>
      <c r="L12"/>
      <c r="M12" t="s">
        <v>0</v>
      </c>
      <c r="N12" t="s">
        <v>0</v>
      </c>
      <c r="O12" s="111" t="s">
        <v>0</v>
      </c>
      <c r="P12" s="31" t="s">
        <v>0</v>
      </c>
    </row>
    <row r="13" spans="1:20" ht="15" thickBot="1">
      <c r="B13" t="s">
        <v>578</v>
      </c>
      <c r="C13" s="210">
        <v>0.15</v>
      </c>
      <c r="D13" s="172">
        <f>'Output - Jobs vs Yr (BAU)'!AH18/'Output -Jobs vs Yr'!AH14</f>
        <v>7.2510297477427918E-2</v>
      </c>
      <c r="E13" s="497">
        <f>(D13/D12)^(1/10)</f>
        <v>1.0071586171192182</v>
      </c>
      <c r="F13" s="109"/>
      <c r="G13" s="496">
        <f>(C13/C12)^(1/10)</f>
        <v>1.0413797439924106</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4.9990701958630084E-2</v>
      </c>
      <c r="D17" s="126">
        <f>'Output - Jobs vs Yr (BAU)'!N10/'Output -Jobs vs Yr'!$N$14</f>
        <v>4.2193382595675698E-2</v>
      </c>
      <c r="E17" s="105">
        <f t="shared" ref="E17:E23" si="0">IF($C$24&lt;&gt;0,C17/$C$24,0)</f>
        <v>0.99981403917260137</v>
      </c>
      <c r="F17" s="172">
        <f>C17*$C$12/$C$11</f>
        <v>9.9981403917260167E-2</v>
      </c>
      <c r="G17" s="105">
        <f>'Output - Jobs vs Yr (BAU)'!X10/'Output - Jobs vs Yr (BAU)'!X24</f>
        <v>6.7510857643117136E-2</v>
      </c>
      <c r="H17" s="105">
        <f t="shared" ref="H17:H23" si="1">G17/$G$24</f>
        <v>0.99989584265700027</v>
      </c>
      <c r="I17" s="172">
        <f>F17*$C$13/$C$12</f>
        <v>0.14997210587589024</v>
      </c>
      <c r="J17" s="105">
        <f>'Output - Jobs vs Yr (BAU)'!AH10/'Output - Jobs vs Yr (BAU)'!AH24</f>
        <v>7.2506631026841836E-2</v>
      </c>
      <c r="K17" s="105">
        <f>J17/$J$24</f>
        <v>0.99995090935764974</v>
      </c>
      <c r="L17" s="105"/>
      <c r="M17" s="45" t="s">
        <v>259</v>
      </c>
      <c r="N17" s="86">
        <f>HLOOKUP(N16,'Output -Jobs vs Yr'!$H$175:$AH$184,9)</f>
        <v>41.734673826697872</v>
      </c>
      <c r="O17" s="86">
        <f>HLOOKUP(O16,'Output -Jobs vs Yr'!$H$175:$AH$184,9)</f>
        <v>200.22394313253699</v>
      </c>
      <c r="P17" s="86">
        <f>HLOOKUP(P16,'Output -Jobs vs Yr'!$H$175:$AH$184,9)</f>
        <v>523.25446522523089</v>
      </c>
      <c r="Q17" s="86">
        <f>HLOOKUP(Q16,'Output -Jobs vs Yr'!$H$175:$AH$184,9)</f>
        <v>221.44538377764184</v>
      </c>
    </row>
    <row r="18" spans="2:17" ht="15" thickBot="1">
      <c r="B18" s="4" t="s">
        <v>354</v>
      </c>
      <c r="C18" s="195">
        <f>D18*$C$11/$D$11</f>
        <v>2.1732993306439369E-7</v>
      </c>
      <c r="D18" s="126">
        <f>'Output - Jobs vs Yr (BAU)'!N15/'Output -Jobs vs Yr'!$N$14</f>
        <v>1.8343181143699706E-7</v>
      </c>
      <c r="E18" s="105">
        <f t="shared" si="0"/>
        <v>4.3465986612878728E-6</v>
      </c>
      <c r="F18" s="172">
        <f t="shared" ref="F18:F23" si="2">C18*$C$12/$C$11</f>
        <v>4.3465986612878738E-7</v>
      </c>
      <c r="G18" s="105">
        <f>'Output - Jobs vs Yr (BAU)'!X15/'Output - Jobs vs Yr (BAU)'!X24</f>
        <v>1.6085842219415233E-7</v>
      </c>
      <c r="H18" s="105">
        <f t="shared" si="1"/>
        <v>2.382456292564898E-6</v>
      </c>
      <c r="I18" s="172">
        <f t="shared" ref="I18:I24" si="3">F18*$C$13/$C$12</f>
        <v>6.5198979919318102E-7</v>
      </c>
      <c r="J18" s="105">
        <f>'Output - Jobs vs Yr (BAU)'!AH15/'Output - Jobs vs Yr (BAU)'!AH24</f>
        <v>1.473980336516546E-7</v>
      </c>
      <c r="K18" s="105">
        <f t="shared" ref="K18:K24" si="4">J18/$J$24</f>
        <v>2.0327905972205169E-6</v>
      </c>
      <c r="L18" s="105"/>
      <c r="M18" s="46" t="s">
        <v>260</v>
      </c>
      <c r="N18" s="87">
        <f>HLOOKUP(N16,'Output -Jobs vs Yr'!$H$175:$AH$184,10)</f>
        <v>37.560886548140843</v>
      </c>
      <c r="O18" s="87">
        <f>HLOOKUP(O16,'Output -Jobs vs Yr'!$H$175:$AH$184,10)</f>
        <v>180.2008192485473</v>
      </c>
      <c r="P18" s="87">
        <f>HLOOKUP(P16,'Output -Jobs vs Yr'!$H$175:$AH$184,10)</f>
        <v>470.92782440600058</v>
      </c>
      <c r="Q18" s="87">
        <f>HLOOKUP(Q16,'Output -Jobs vs Yr'!$H$175:$AH$184,10)</f>
        <v>199.30008248744161</v>
      </c>
    </row>
    <row r="19" spans="2:17" ht="15" thickBot="1">
      <c r="B19" s="4" t="s">
        <v>355</v>
      </c>
      <c r="C19" s="195">
        <f>D19*$C$11/$D$11</f>
        <v>1.0680316619461413E-6</v>
      </c>
      <c r="D19" s="126">
        <f>'Output - Jobs vs Yr (BAU)'!N11/'Output -Jobs vs Yr'!$N$14</f>
        <v>9.0144500419461222E-7</v>
      </c>
      <c r="E19" s="105">
        <f t="shared" si="0"/>
        <v>2.1360633238922818E-5</v>
      </c>
      <c r="F19" s="172">
        <f t="shared" si="2"/>
        <v>2.1360633238922825E-6</v>
      </c>
      <c r="G19" s="105">
        <f>'Output - Jobs vs Yr (BAU)'!X11/'Output - Jobs vs Yr (BAU)'!X24</f>
        <v>9.3770937320596914E-7</v>
      </c>
      <c r="H19" s="105">
        <f t="shared" si="1"/>
        <v>1.3888309771528158E-5</v>
      </c>
      <c r="I19" s="172">
        <f t="shared" si="3"/>
        <v>3.2040949858384236E-6</v>
      </c>
      <c r="J19" s="105">
        <f>'Output - Jobs vs Yr (BAU)'!AH11/'Output - Jobs vs Yr (BAU)'!AH24</f>
        <v>8.8845388187214116E-7</v>
      </c>
      <c r="K19" s="105">
        <f t="shared" si="4"/>
        <v>1.2252814046366235E-5</v>
      </c>
      <c r="L19" s="105"/>
      <c r="M19" s="46" t="s">
        <v>261</v>
      </c>
      <c r="N19" s="87">
        <f>HLOOKUP(N16,'Output -Jobs vs Yr'!$H$175:$AH$184,8)</f>
        <v>79.295560374837805</v>
      </c>
      <c r="O19" s="87">
        <f>HLOOKUP(O16,'Output -Jobs vs Yr'!$H$175:$AH$184,8)</f>
        <v>380.42476238108429</v>
      </c>
      <c r="P19" s="87">
        <f>HLOOKUP(P16,'Output -Jobs vs Yr'!$H$175:$AH$184,8)</f>
        <v>994.18228963123329</v>
      </c>
      <c r="Q19" s="87">
        <f>HLOOKUP(Q16,'Output -Jobs vs Yr'!$H$175:$AH$184,8)</f>
        <v>420.74546626508345</v>
      </c>
    </row>
    <row r="20" spans="2:17" ht="15" thickBot="1">
      <c r="B20" s="4" t="s">
        <v>51</v>
      </c>
      <c r="C20" s="195">
        <f>D20*$C$11/$D$11</f>
        <v>2.8249913878288199E-8</v>
      </c>
      <c r="D20" s="126">
        <f>'Output - Jobs vs Yr (BAU)'!N12/'Output -Jobs vs Yr'!$N$14</f>
        <v>2.3843622470992932E-8</v>
      </c>
      <c r="E20" s="105">
        <f t="shared" si="0"/>
        <v>5.6499827756576379E-7</v>
      </c>
      <c r="F20" s="172">
        <f t="shared" si="2"/>
        <v>5.6499827756576397E-8</v>
      </c>
      <c r="G20" s="105">
        <f>'Output - Jobs vs Yr (BAU)'!X12/'Output - Jobs vs Yr (BAU)'!X24</f>
        <v>2.0859283726342263E-8</v>
      </c>
      <c r="H20" s="105">
        <f t="shared" si="1"/>
        <v>3.0894454324709463E-7</v>
      </c>
      <c r="I20" s="172">
        <f t="shared" si="3"/>
        <v>8.4749741634864589E-8</v>
      </c>
      <c r="J20" s="105">
        <f>'Output - Jobs vs Yr (BAU)'!AH12/'Output - Jobs vs Yr (BAU)'!AH24</f>
        <v>2.0007027878297235E-8</v>
      </c>
      <c r="K20" s="105">
        <f t="shared" si="4"/>
        <v>2.759202218765476E-7</v>
      </c>
      <c r="L20" s="105"/>
      <c r="M20" s="47" t="s">
        <v>459</v>
      </c>
      <c r="N20" s="88">
        <f>HLOOKUP(N16,'Output -Jobs vs Yr'!$H$175:$AH$188,11)-HLOOKUP(N16,'Output -Jobs vs Yr'!$H$175:$AH$188,14)</f>
        <v>224.80880407084078</v>
      </c>
      <c r="O20" s="88">
        <f>HLOOKUP(O16,'Output -Jobs vs Yr'!$H$175:$AH$188,11)-HLOOKUP(O16,'Output -Jobs vs Yr'!$H$175:$AH$188,14)</f>
        <v>2327.740468088894</v>
      </c>
      <c r="P20" s="88">
        <f>HLOOKUP(P16,'Output -Jobs vs Yr'!$H$175:$AH$188,11)-HLOOKUP(P16,'Output -Jobs vs Yr'!$H$175:$AH$188,14)</f>
        <v>9139.049967404917</v>
      </c>
      <c r="Q20" s="88">
        <f>HLOOKUP(Q16,'Output -Jobs vs Yr'!$H$175:$AH$188,11)-HLOOKUP(Q16,'Output -Jobs vs Yr'!$H$175:$AH$188,14)</f>
        <v>2748.4859343539774</v>
      </c>
    </row>
    <row r="21" spans="2:17" ht="15" thickBot="1">
      <c r="B21" t="s">
        <v>356</v>
      </c>
      <c r="C21" s="195">
        <f t="shared" ref="C21:C23" si="5">D21*$C$11/$D$11</f>
        <v>4.3465986612878745E-6</v>
      </c>
      <c r="D21" s="126">
        <f>'Output - Jobs vs Yr (BAU)'!N13/'Output -Jobs vs Yr'!$N$14</f>
        <v>3.6686362287399413E-6</v>
      </c>
      <c r="E21" s="105">
        <f t="shared" si="0"/>
        <v>8.6931973225757455E-5</v>
      </c>
      <c r="F21" s="172">
        <f t="shared" si="2"/>
        <v>8.6931973225757489E-6</v>
      </c>
      <c r="G21" s="105">
        <f>'Output - Jobs vs Yr (BAU)'!X13/'Output - Jobs vs Yr (BAU)'!X24</f>
        <v>3.2171684438830465E-6</v>
      </c>
      <c r="H21" s="105">
        <f t="shared" si="1"/>
        <v>4.7649125851297961E-5</v>
      </c>
      <c r="I21" s="172">
        <f t="shared" si="3"/>
        <v>1.3039795983863622E-5</v>
      </c>
      <c r="J21" s="105">
        <f>'Output - Jobs vs Yr (BAU)'!AH13/'Output - Jobs vs Yr (BAU)'!AH24</f>
        <v>0</v>
      </c>
      <c r="K21" s="105">
        <f t="shared" si="4"/>
        <v>0</v>
      </c>
      <c r="L21" s="105"/>
      <c r="N21" s="160"/>
    </row>
    <row r="22" spans="2:17" ht="15" thickBot="1">
      <c r="B22" s="4" t="s">
        <v>357</v>
      </c>
      <c r="C22" s="195">
        <f t="shared" si="5"/>
        <v>2.1732993306439372E-6</v>
      </c>
      <c r="D22" s="126">
        <f>'Output - Jobs vs Yr (BAU)'!N14/'Output -Jobs vs Yr'!$N$14</f>
        <v>1.8343181143699707E-6</v>
      </c>
      <c r="E22" s="105">
        <f t="shared" si="0"/>
        <v>4.3465986612878728E-5</v>
      </c>
      <c r="F22" s="172">
        <f t="shared" si="2"/>
        <v>4.3465986612878745E-6</v>
      </c>
      <c r="G22" s="105">
        <f>'Output - Jobs vs Yr (BAU)'!X14/'Output - Jobs vs Yr (BAU)'!X24</f>
        <v>1.6085842219415233E-6</v>
      </c>
      <c r="H22" s="105">
        <f t="shared" si="1"/>
        <v>2.382456292564898E-5</v>
      </c>
      <c r="I22" s="172">
        <f t="shared" si="3"/>
        <v>6.5198979919318108E-6</v>
      </c>
      <c r="J22" s="105">
        <f>'Output - Jobs vs Yr (BAU)'!AH14/'Output - Jobs vs Yr (BAU)'!AH24</f>
        <v>1.4739803365165461E-6</v>
      </c>
      <c r="K22" s="105">
        <f t="shared" si="4"/>
        <v>2.0327905972205172E-5</v>
      </c>
      <c r="L22" s="105"/>
      <c r="O22" t="s">
        <v>0</v>
      </c>
    </row>
    <row r="23" spans="2:17" ht="15" thickBot="1">
      <c r="B23" t="s">
        <v>358</v>
      </c>
      <c r="C23" s="195">
        <f t="shared" si="5"/>
        <v>1.4645318691077498E-6</v>
      </c>
      <c r="D23" s="126">
        <f>'Output - Jobs vs Yr (BAU)'!N16/'Output -Jobs vs Yr'!$N$14</f>
        <v>1.2361009358892525E-6</v>
      </c>
      <c r="E23" s="105">
        <f t="shared" si="0"/>
        <v>2.9290637382154986E-5</v>
      </c>
      <c r="F23" s="172">
        <f t="shared" si="2"/>
        <v>2.9290637382154996E-6</v>
      </c>
      <c r="G23" s="105">
        <f>'Output - Jobs vs Yr (BAU)'!X16/'Output - Jobs vs Yr (BAU)'!X24</f>
        <v>1.0873042956479802E-6</v>
      </c>
      <c r="H23" s="105">
        <f t="shared" si="1"/>
        <v>1.6103943615540108E-5</v>
      </c>
      <c r="I23" s="172">
        <f t="shared" si="3"/>
        <v>4.3935956073232485E-6</v>
      </c>
      <c r="J23" s="105">
        <f>'Output - Jobs vs Yr (BAU)'!AH16/'Output - Jobs vs Yr (BAU)'!AH24</f>
        <v>1.0297325534985169E-6</v>
      </c>
      <c r="K23" s="105">
        <f t="shared" si="4"/>
        <v>1.4201211512431603E-5</v>
      </c>
      <c r="L23" s="105"/>
      <c r="M23" s="44"/>
      <c r="N23" s="197"/>
      <c r="O23" t="s">
        <v>0</v>
      </c>
    </row>
    <row r="24" spans="2:17">
      <c r="B24" s="108" t="s">
        <v>370</v>
      </c>
      <c r="C24" s="137">
        <f t="shared" ref="C24:H24" si="6">SUM(C17:C23)</f>
        <v>5.0000000000000017E-2</v>
      </c>
      <c r="D24" s="205">
        <f t="shared" si="6"/>
        <v>4.2201230371392798E-2</v>
      </c>
      <c r="E24" s="200">
        <f t="shared" si="6"/>
        <v>0.99999999999999989</v>
      </c>
      <c r="F24" s="200">
        <f t="shared" si="6"/>
        <v>0.10000000000000003</v>
      </c>
      <c r="G24" s="200">
        <f t="shared" si="6"/>
        <v>6.7517890127157726E-2</v>
      </c>
      <c r="H24" s="105">
        <f t="shared" si="6"/>
        <v>1.0000000000000002</v>
      </c>
      <c r="I24" s="172">
        <f t="shared" si="3"/>
        <v>0.15000000000000005</v>
      </c>
      <c r="J24" s="105">
        <f>SUM(J17:J23)</f>
        <v>7.2510190598675264E-2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0.21152006416746469</v>
      </c>
      <c r="D28" s="105">
        <f>('Output - Jobs vs Yr (BAU)'!N8+'Output - Jobs vs Yr (BAU)'!N7)/'Output -Jobs vs Yr'!N14</f>
        <v>0.21152006416746469</v>
      </c>
      <c r="E28" s="136" t="s">
        <v>0</v>
      </c>
      <c r="F28" s="98"/>
      <c r="G28" s="98" t="s">
        <v>0</v>
      </c>
      <c r="H28" s="135" t="s">
        <v>0</v>
      </c>
      <c r="I28" s="135"/>
      <c r="J28" s="135"/>
      <c r="K28" s="135"/>
      <c r="L28" s="135"/>
      <c r="M28"/>
    </row>
    <row r="29" spans="2:17" ht="15" thickBot="1">
      <c r="B29" t="s">
        <v>372</v>
      </c>
      <c r="C29" s="278">
        <f>D29</f>
        <v>0.1854909851569396</v>
      </c>
      <c r="D29" s="105">
        <f>('Output - Jobs vs Yr (BAU)'!X8+'Output - Jobs vs Yr (BAU)'!X7)/'Output -Jobs vs Yr'!X14</f>
        <v>0.1854909851569396</v>
      </c>
      <c r="E29" s="107"/>
      <c r="F29" s="98"/>
      <c r="G29" s="96"/>
      <c r="H29"/>
      <c r="I29"/>
      <c r="J29"/>
      <c r="K29"/>
      <c r="L29"/>
    </row>
    <row r="30" spans="2:17" ht="15" thickBot="1">
      <c r="B30" t="s">
        <v>580</v>
      </c>
      <c r="C30" s="210">
        <f>D30</f>
        <v>0.16996881144511836</v>
      </c>
      <c r="D30" s="105">
        <f>('Output - Jobs vs Yr (BAU)'!AH8+'Output - Jobs vs Yr (BAU)'!AH7)/'Output -Jobs vs Yr'!AH14</f>
        <v>0.16996881144511836</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-1.8343181143699706E-7</v>
      </c>
      <c r="D35" s="105">
        <f>'Output - Jobs vs Yr (BAU)'!N7/'Output -Jobs vs Yr'!N14</f>
        <v>-1.8343181143699706E-7</v>
      </c>
      <c r="E35" s="203">
        <f>C35</f>
        <v>-1.8343181143699706E-7</v>
      </c>
      <c r="F35" s="200">
        <f>C35*$C$29/$C$28</f>
        <v>-1.6085919577649301E-7</v>
      </c>
      <c r="G35" s="204">
        <f>'Output - Jobs vs Yr (BAU)'!X7/'Output - Jobs vs Yr (BAU)'!X24</f>
        <v>-1.6085842219415233E-7</v>
      </c>
      <c r="H35" s="200">
        <f>F35*$C$30/$C$29</f>
        <v>-1.4739824845404482E-7</v>
      </c>
      <c r="I35" s="204">
        <f>'Output - Jobs vs Yr (BAU)'!AH7/'Output - Jobs vs Yr (BAU)'!AH24</f>
        <v>-1.473980336516546E-7</v>
      </c>
      <c r="J35"/>
      <c r="K35"/>
      <c r="L35"/>
    </row>
    <row r="36" spans="1:18" ht="15" thickBot="1">
      <c r="B36" s="4" t="s">
        <v>365</v>
      </c>
      <c r="C36" s="209">
        <f>D36</f>
        <v>0.21152024759927612</v>
      </c>
      <c r="D36" s="105">
        <f>'Output - Jobs vs Yr (BAU)'!N8/'Output -Jobs vs Yr'!N14</f>
        <v>0.21152024759927612</v>
      </c>
      <c r="E36" s="203">
        <f>C36</f>
        <v>0.21152024759927612</v>
      </c>
      <c r="F36" s="200">
        <f>C36*$C$29/$C$28</f>
        <v>0.18549114601613539</v>
      </c>
      <c r="G36" s="204">
        <f>'Output - Jobs vs Yr (BAU)'!X8/'Output - Jobs vs Yr (BAU)'!X24</f>
        <v>0.1854902508817457</v>
      </c>
      <c r="H36" s="200">
        <f>F36*$C$30/$C$29</f>
        <v>0.16996895884336682</v>
      </c>
      <c r="I36" s="204">
        <f>'Output - Jobs vs Yr (BAU)'!AH8/'Output - Jobs vs Yr (BAU)'!AH24</f>
        <v>0.16996870831246616</v>
      </c>
      <c r="J36"/>
      <c r="K36"/>
      <c r="L36"/>
    </row>
    <row r="37" spans="1:18">
      <c r="B37" s="4" t="s">
        <v>369</v>
      </c>
      <c r="C37" s="138">
        <f>SUM(C35:C36)+'Output -Jobs vs Yr'!N30/'Output -Jobs vs Yr'!N49</f>
        <v>0.21152006416746469</v>
      </c>
      <c r="D37" s="105">
        <f>SUM(D34:D36)</f>
        <v>0.21152006416746469</v>
      </c>
      <c r="E37" s="203">
        <f>SUM(E34:E36)</f>
        <v>0.21152006416746469</v>
      </c>
      <c r="F37" s="203">
        <f>SUM(F34:F36)</f>
        <v>0.18549098515693963</v>
      </c>
      <c r="G37" s="203">
        <f>SUM(G34:G36)</f>
        <v>0.18549009002332351</v>
      </c>
      <c r="H37" s="200">
        <f>C37*$C$30/$C$28</f>
        <v>0.16996881144511836</v>
      </c>
      <c r="I37" s="203">
        <f>SUM(I34:I36)</f>
        <v>0.16996856091443252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21,2%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5.0000000000000017E-2</v>
      </c>
      <c r="D40" s="105" t="s">
        <v>0</v>
      </c>
      <c r="E40" s="105" t="s">
        <v>0</v>
      </c>
      <c r="F40" s="105" t="s">
        <v>0</v>
      </c>
      <c r="G40" s="103" t="s">
        <v>0</v>
      </c>
      <c r="H40"/>
      <c r="I40"/>
      <c r="J40"/>
      <c r="K40"/>
      <c r="L40"/>
    </row>
    <row r="41" spans="1:18">
      <c r="B41" s="4" t="s">
        <v>375</v>
      </c>
      <c r="C41" s="105">
        <f>C24+C37</f>
        <v>0.26152006416746471</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2" t="s">
        <v>596</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298"/>
      <c r="AH78" s="298"/>
      <c r="AI78" s="298"/>
      <c r="AJ78" s="298"/>
      <c r="AK78" s="298"/>
    </row>
    <row r="79" spans="1:37" customFormat="1" ht="15" customHeight="1">
      <c r="A79" s="561" t="s">
        <v>597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297"/>
      <c r="AH79" s="297"/>
      <c r="AI79" s="297"/>
      <c r="AJ79" s="297"/>
      <c r="AK79" s="297"/>
    </row>
    <row r="80" spans="1:37" customFormat="1" ht="15" customHeight="1">
      <c r="A80" s="561" t="s">
        <v>598</v>
      </c>
      <c r="B80" s="561"/>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297"/>
      <c r="AH80" s="297"/>
      <c r="AI80" s="297"/>
      <c r="AJ80" s="297"/>
      <c r="AK80" s="297"/>
    </row>
    <row r="81" spans="1:37" customFormat="1" ht="15" customHeight="1">
      <c r="A81" s="561" t="s">
        <v>599</v>
      </c>
      <c r="B81" s="561"/>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297"/>
      <c r="AH81" s="297"/>
      <c r="AI81" s="297"/>
      <c r="AJ81" s="297"/>
      <c r="AK81" s="297"/>
    </row>
    <row r="82" spans="1:37" customFormat="1" ht="15" customHeight="1">
      <c r="A82" s="561" t="s">
        <v>600</v>
      </c>
      <c r="B82" s="561"/>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297"/>
      <c r="AH82" s="297"/>
      <c r="AI82" s="297"/>
      <c r="AJ82" s="297"/>
      <c r="AK82" s="297"/>
    </row>
    <row r="83" spans="1:37" customFormat="1" ht="15" customHeight="1">
      <c r="A83" s="561" t="s">
        <v>601</v>
      </c>
      <c r="B83" s="561"/>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297"/>
      <c r="AH83" s="297"/>
      <c r="AI83" s="297"/>
      <c r="AJ83" s="297"/>
      <c r="AK83" s="297"/>
    </row>
    <row r="84" spans="1:37" customFormat="1" ht="15" customHeight="1">
      <c r="A84" s="561" t="s">
        <v>602</v>
      </c>
      <c r="B84" s="561"/>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297"/>
      <c r="AH84" s="297"/>
      <c r="AI84" s="297"/>
      <c r="AJ84" s="297"/>
      <c r="AK84" s="297"/>
    </row>
    <row r="85" spans="1:37" customFormat="1" ht="15" customHeight="1">
      <c r="A85" s="561" t="s">
        <v>603</v>
      </c>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297"/>
      <c r="AH85" s="297"/>
      <c r="AI85" s="297"/>
      <c r="AJ85" s="297"/>
      <c r="AK85" s="297"/>
    </row>
    <row r="86" spans="1:37" customFormat="1" ht="15" customHeight="1">
      <c r="A86" s="561" t="s">
        <v>604</v>
      </c>
      <c r="B86" s="561"/>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297"/>
      <c r="AH86" s="297"/>
      <c r="AI86" s="297"/>
      <c r="AJ86" s="297"/>
      <c r="AK86" s="297"/>
    </row>
    <row r="87" spans="1:37" customFormat="1" ht="15" customHeight="1">
      <c r="A87" s="561" t="s">
        <v>605</v>
      </c>
      <c r="B87" s="561"/>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297"/>
      <c r="AH87" s="297"/>
      <c r="AI87" s="297"/>
      <c r="AJ87" s="297"/>
      <c r="AK87" s="297"/>
    </row>
    <row r="88" spans="1:37" customFormat="1" ht="15" customHeight="1">
      <c r="A88" s="561" t="s">
        <v>606</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297"/>
      <c r="AH88" s="297"/>
      <c r="AI88" s="297"/>
      <c r="AJ88" s="297"/>
      <c r="AK88" s="297"/>
    </row>
    <row r="89" spans="1:37" customFormat="1" ht="15" customHeight="1">
      <c r="A89" s="561" t="s">
        <v>607</v>
      </c>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297"/>
      <c r="AH89" s="297"/>
      <c r="AI89" s="297"/>
      <c r="AJ89" s="297"/>
      <c r="AK89" s="297"/>
    </row>
    <row r="90" spans="1:37" customFormat="1" ht="15" customHeight="1">
      <c r="A90" s="561" t="s">
        <v>608</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297"/>
      <c r="AH90" s="297"/>
      <c r="AI90" s="297"/>
      <c r="AJ90" s="297"/>
      <c r="AK90" s="297"/>
    </row>
    <row r="91" spans="1:37" customFormat="1" ht="15" customHeight="1">
      <c r="A91" s="561" t="s">
        <v>609</v>
      </c>
      <c r="B91" s="561"/>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297"/>
      <c r="AH91" s="297"/>
      <c r="AI91" s="297"/>
      <c r="AJ91" s="297"/>
      <c r="AK91" s="297"/>
    </row>
    <row r="92" spans="1:37" customFormat="1" ht="15" customHeight="1">
      <c r="A92" s="561" t="s">
        <v>610</v>
      </c>
      <c r="B92" s="561"/>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297"/>
      <c r="AH92" s="297"/>
      <c r="AI92" s="297"/>
      <c r="AJ92" s="297"/>
      <c r="AK92" s="297"/>
    </row>
    <row r="93" spans="1:37" customFormat="1" ht="15" customHeight="1">
      <c r="A93" s="561" t="s">
        <v>611</v>
      </c>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297"/>
      <c r="AH93" s="297"/>
      <c r="AI93" s="297"/>
      <c r="AJ93" s="297"/>
      <c r="AK93" s="297"/>
    </row>
    <row r="94" spans="1:37" customFormat="1" ht="15" customHeight="1">
      <c r="A94" s="561" t="s">
        <v>612</v>
      </c>
      <c r="B94" s="561"/>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297"/>
      <c r="AH94" s="297"/>
      <c r="AI94" s="297"/>
      <c r="AJ94" s="297"/>
      <c r="AK94" s="297"/>
    </row>
    <row r="95" spans="1:37" customFormat="1" ht="15" customHeight="1">
      <c r="A95" s="561" t="s">
        <v>613</v>
      </c>
      <c r="B95" s="561"/>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297"/>
      <c r="AH95" s="297"/>
      <c r="AI95" s="297"/>
      <c r="AJ95" s="297"/>
      <c r="AK95" s="297"/>
    </row>
    <row r="96" spans="1:37" customFormat="1" ht="15" customHeight="1">
      <c r="A96" s="561" t="s">
        <v>614</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297"/>
      <c r="AH96" s="297"/>
      <c r="AI96" s="297"/>
      <c r="AJ96" s="297"/>
      <c r="AK96" s="297"/>
    </row>
    <row r="97" spans="1:37" customFormat="1" ht="15" customHeight="1">
      <c r="A97" s="561" t="s">
        <v>615</v>
      </c>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297"/>
      <c r="AH97" s="297"/>
      <c r="AI97" s="297"/>
      <c r="AJ97" s="297"/>
      <c r="AK97" s="297"/>
    </row>
    <row r="98" spans="1:37" customFormat="1" ht="15" customHeight="1">
      <c r="A98" s="561" t="s">
        <v>616</v>
      </c>
      <c r="B98" s="561"/>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297"/>
      <c r="AH98" s="297"/>
      <c r="AI98" s="297"/>
      <c r="AJ98" s="297"/>
      <c r="AK98" s="297"/>
    </row>
    <row r="99" spans="1:37" customFormat="1" ht="15" customHeight="1">
      <c r="A99" s="561" t="s">
        <v>617</v>
      </c>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297"/>
      <c r="AH99" s="297"/>
      <c r="AI99" s="297"/>
      <c r="AJ99" s="297"/>
      <c r="AK99" s="297"/>
    </row>
    <row r="100" spans="1:37" customFormat="1" ht="15" customHeight="1">
      <c r="A100" s="561" t="s">
        <v>618</v>
      </c>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297"/>
      <c r="AH100" s="297"/>
      <c r="AI100" s="297"/>
      <c r="AJ100" s="297"/>
      <c r="AK100" s="297"/>
    </row>
    <row r="101" spans="1:37" customFormat="1" ht="15" customHeight="1">
      <c r="A101" s="561" t="s">
        <v>619</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297"/>
      <c r="AH101" s="297"/>
      <c r="AI101" s="297"/>
      <c r="AJ101" s="297"/>
      <c r="AK101" s="297"/>
    </row>
    <row r="102" spans="1:37" customFormat="1" ht="15" customHeight="1">
      <c r="A102" s="561" t="s">
        <v>620</v>
      </c>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c r="AG102" s="297"/>
      <c r="AH102" s="297"/>
      <c r="AI102" s="297"/>
      <c r="AJ102" s="297"/>
      <c r="AK102" s="297"/>
    </row>
    <row r="103" spans="1:37" customFormat="1" ht="15" customHeight="1">
      <c r="A103" s="561" t="s">
        <v>621</v>
      </c>
      <c r="B103" s="561"/>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297"/>
      <c r="AH103" s="297"/>
      <c r="AI103" s="297"/>
      <c r="AJ103" s="297"/>
      <c r="AK103" s="297"/>
    </row>
    <row r="104" spans="1:37" customFormat="1" ht="15" customHeight="1">
      <c r="A104" s="561" t="s">
        <v>622</v>
      </c>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297"/>
      <c r="AH104" s="297"/>
      <c r="AI104" s="297"/>
      <c r="AJ104" s="297"/>
      <c r="AK104" s="297"/>
    </row>
    <row r="105" spans="1:37" customFormat="1" ht="15" customHeight="1">
      <c r="A105" s="561" t="s">
        <v>623</v>
      </c>
      <c r="B105" s="561"/>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c r="AG105" s="297"/>
      <c r="AH105" s="297"/>
      <c r="AI105" s="297"/>
      <c r="AJ105" s="297"/>
      <c r="AK105" s="297"/>
    </row>
    <row r="106" spans="1:37" customFormat="1" ht="15" customHeight="1">
      <c r="A106" s="561" t="s">
        <v>624</v>
      </c>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297"/>
      <c r="AH106" s="297"/>
      <c r="AI106" s="297"/>
      <c r="AJ106" s="297"/>
      <c r="AK106" s="297"/>
    </row>
    <row r="107" spans="1:37" customFormat="1" ht="15" customHeight="1">
      <c r="A107" s="561" t="s">
        <v>625</v>
      </c>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297"/>
      <c r="AH107" s="297"/>
      <c r="AI107" s="297"/>
      <c r="AJ107" s="297"/>
      <c r="AK107" s="297"/>
    </row>
    <row r="108" spans="1:37" customFormat="1" ht="15" customHeight="1">
      <c r="A108" s="561" t="s">
        <v>626</v>
      </c>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297"/>
      <c r="AH108" s="297"/>
      <c r="AI108" s="297"/>
      <c r="AJ108" s="297"/>
      <c r="AK108" s="297"/>
    </row>
    <row r="109" spans="1:37" customFormat="1" ht="15" customHeight="1">
      <c r="A109" s="561" t="s">
        <v>627</v>
      </c>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44"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2"/>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row>
    <row r="2" spans="1:38" hidden="1">
      <c r="A2" s="53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row>
    <row r="3" spans="1:38" hidden="1">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row>
    <row r="4" spans="1:38" hidden="1">
      <c r="A4" s="532"/>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row>
    <row r="5" spans="1:38" hidden="1">
      <c r="A5" s="53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row>
    <row r="6" spans="1:38" hidden="1">
      <c r="A6" s="532"/>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row>
    <row r="7" spans="1:38" ht="23.25" hidden="1" customHeight="1">
      <c r="A7" s="532"/>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row>
    <row r="8" spans="1:38" s="159" customFormat="1" ht="15.75" hidden="1" customHeight="1">
      <c r="A8" s="532"/>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row>
    <row r="9" spans="1:38" ht="21" hidden="1" customHeight="1">
      <c r="A9" s="532"/>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48677</v>
      </c>
      <c r="D13" s="330">
        <f>EIA_electricity_aeo2014!F58*1000</f>
        <v>54485</v>
      </c>
      <c r="E13" s="330">
        <f>EIA_electricity_aeo2014!G58*1000</f>
        <v>49560.130125971227</v>
      </c>
      <c r="F13" s="330">
        <f>EIA_electricity_aeo2014!H58*1000</f>
        <v>51477.932797920483</v>
      </c>
      <c r="G13" s="330">
        <f>EIA_electricity_aeo2014!I58*1000</f>
        <v>49488.636793042482</v>
      </c>
      <c r="H13" s="286">
        <f>EIA_electricity_aeo2014!J58*1000</f>
        <v>48872.968046548725</v>
      </c>
      <c r="I13" s="83">
        <f>EIA_electricity_aeo2014!K58*1000</f>
        <v>50342.96585844965</v>
      </c>
      <c r="J13" s="83">
        <f>EIA_electricity_aeo2014!L58*1000</f>
        <v>52574.314600899721</v>
      </c>
      <c r="K13" s="83">
        <f>EIA_electricity_aeo2014!M58*1000</f>
        <v>52617.008392190808</v>
      </c>
      <c r="L13" s="83">
        <f>EIA_electricity_aeo2014!N58*1000</f>
        <v>52978.415965488552</v>
      </c>
      <c r="M13" s="83">
        <f>EIA_electricity_aeo2014!O58*1000</f>
        <v>53665.984763085697</v>
      </c>
      <c r="N13" s="177">
        <f>EIA_electricity_aeo2014!P58*1000</f>
        <v>54516.171004693366</v>
      </c>
      <c r="O13" s="83">
        <f>EIA_electricity_aeo2014!Q58*1000</f>
        <v>55203.201279681649</v>
      </c>
      <c r="P13" s="83">
        <f>EIA_electricity_aeo2014!R58*1000</f>
        <v>55991.210997473398</v>
      </c>
      <c r="Q13" s="83">
        <f>EIA_electricity_aeo2014!S58*1000</f>
        <v>57370.615061375764</v>
      </c>
      <c r="R13" s="83">
        <f>EIA_electricity_aeo2014!T58*1000</f>
        <v>58330.641599853792</v>
      </c>
      <c r="S13" s="83">
        <f>EIA_electricity_aeo2014!U58*1000</f>
        <v>59217.53905632544</v>
      </c>
      <c r="T13" s="83">
        <f>EIA_electricity_aeo2014!V58*1000</f>
        <v>59798.314663598787</v>
      </c>
      <c r="U13" s="83">
        <f>EIA_electricity_aeo2014!W58*1000</f>
        <v>60345.142354459102</v>
      </c>
      <c r="V13" s="83">
        <f>EIA_electricity_aeo2014!X58*1000</f>
        <v>60959.915468945714</v>
      </c>
      <c r="W13" s="83">
        <f>EIA_electricity_aeo2014!Y58*1000</f>
        <v>61601.910555426199</v>
      </c>
      <c r="X13" s="184">
        <f>EIA_electricity_aeo2014!Z58*1000</f>
        <v>62166.168274382529</v>
      </c>
      <c r="Y13" s="174">
        <f>EIA_electricity_aeo2014!AA58*1000</f>
        <v>62424.095977072691</v>
      </c>
      <c r="Z13" s="174">
        <f>EIA_electricity_aeo2014!AB58*1000</f>
        <v>62810.478900876486</v>
      </c>
      <c r="AA13" s="174">
        <f>EIA_electricity_aeo2014!AC58*1000</f>
        <v>63104.221199951658</v>
      </c>
      <c r="AB13" s="174">
        <f>EIA_electricity_aeo2014!AD58*1000</f>
        <v>63506.175258751129</v>
      </c>
      <c r="AC13" s="174">
        <f>EIA_electricity_aeo2014!AE58*1000</f>
        <v>64099.91586004787</v>
      </c>
      <c r="AD13" s="174">
        <f>EIA_electricity_aeo2014!AF58*1000</f>
        <v>64657.000939779537</v>
      </c>
      <c r="AE13" s="174">
        <f>EIA_electricity_aeo2014!AG58*1000</f>
        <v>65509.636679428026</v>
      </c>
      <c r="AF13" s="174">
        <f>EIA_electricity_aeo2014!AH58*1000</f>
        <v>66459.580878160516</v>
      </c>
      <c r="AG13" s="174">
        <f>EIA_electricity_aeo2014!AI58*1000</f>
        <v>67231.176964589293</v>
      </c>
      <c r="AH13" s="184">
        <f>EIA_electricity_aeo2014!AJ58*1000</f>
        <v>67843.410203351668</v>
      </c>
      <c r="AI13" s="115">
        <f>X13/C13-1</f>
        <v>0.27711585090253155</v>
      </c>
      <c r="AJ13" s="165">
        <f>(1+AJ11)^21-1</f>
        <v>0.24007814276920247</v>
      </c>
      <c r="AK13" s="168">
        <f>(1+AK11)^21-1</f>
        <v>0.11389489977934208</v>
      </c>
      <c r="AL13" s="121"/>
    </row>
    <row r="14" spans="1:38" s="20" customFormat="1">
      <c r="A14" s="20" t="s">
        <v>131</v>
      </c>
      <c r="B14" s="33"/>
      <c r="C14" s="330">
        <f>EIA_electricity_aeo2014!E58 * 1000</f>
        <v>48677</v>
      </c>
      <c r="D14" s="330">
        <f>IF(Inputs!$C$7="BAU",'Output -Jobs vs Yr'!D13,C14+($X$14-$C$14)/($X$11-$C$11) )</f>
        <v>54485</v>
      </c>
      <c r="E14" s="330">
        <f>IF(Inputs!$C$7="BAU",'Output -Jobs vs Yr'!E13,D14+($X$14-$C$14)/($X$11-$C$11) )</f>
        <v>49560.130125971227</v>
      </c>
      <c r="F14" s="330">
        <f>IF(Inputs!$C$7="BAU",'Output -Jobs vs Yr'!F13,E14+($X$14-$C$14)/($X$11-$C$11) )</f>
        <v>51477.932797920483</v>
      </c>
      <c r="G14" s="330">
        <f>IF(Inputs!$C$7="BAU",'Output -Jobs vs Yr'!G13,F14+($X$14-$C$14)/($X$11-$C$11) )</f>
        <v>49488.636793042482</v>
      </c>
      <c r="H14" s="286">
        <f>EIA_electricity_aeo2014!J58*1000</f>
        <v>48872.968046548725</v>
      </c>
      <c r="I14" s="83">
        <f>IF(Inputs!$C$7="BAU",'Output -Jobs vs Yr'!I13,H14+($X$14-$C$14)/($X$11-$C$11) )</f>
        <v>50342.96585844965</v>
      </c>
      <c r="J14" s="83">
        <f>IF(Inputs!$C$7="BAU",'Output -Jobs vs Yr'!J13,I14+($X$14-$C$14)/($X$11-$C$11) )</f>
        <v>52574.314600899721</v>
      </c>
      <c r="K14" s="83">
        <f>IF(Inputs!$C$7="BAU",'Output -Jobs vs Yr'!K13,J14+($X$14-$C$14)/($X$11-$C$11) )</f>
        <v>52617.008392190808</v>
      </c>
      <c r="L14" s="83">
        <f>IF(Inputs!$C$7="BAU",'Output -Jobs vs Yr'!L13,K14+($X$14-$C$14)/($X$11-$C$11) )</f>
        <v>52978.415965488552</v>
      </c>
      <c r="M14" s="83">
        <f>IF(Inputs!$C$7="BAU",'Output -Jobs vs Yr'!M13,L14+($X$14-$C$14)/($X$11-$C$11) )</f>
        <v>53665.984763085697</v>
      </c>
      <c r="N14" s="177">
        <f>IF(Inputs!$C$7="BAU",'Output -Jobs vs Yr'!N13,M14+($X$14-$C$14)/($X$11-$C$11) )</f>
        <v>54516.171004693366</v>
      </c>
      <c r="O14" s="83">
        <f>IF(Inputs!$C$7="BAU",'Output -Jobs vs Yr'!O13,N14+($X$14-$C$14)/($X$11-$C$11) )</f>
        <v>55203.201279681649</v>
      </c>
      <c r="P14" s="83">
        <f>IF(Inputs!$C$7="BAU",'Output -Jobs vs Yr'!P13,O14+($X$14-$C$14)/($X$11-$C$11) )</f>
        <v>55991.210997473398</v>
      </c>
      <c r="Q14" s="83">
        <f>IF(Inputs!$C$7="BAU",'Output -Jobs vs Yr'!Q13,P14+($X$14-$C$14)/($X$11-$C$11) )</f>
        <v>57370.615061375764</v>
      </c>
      <c r="R14" s="83">
        <f>IF(Inputs!$C$7="BAU",'Output -Jobs vs Yr'!R13,Q14+($X$14-$C$14)/($X$11-$C$11) )</f>
        <v>58330.641599853792</v>
      </c>
      <c r="S14" s="83">
        <f>IF(Inputs!$C$7="BAU",'Output -Jobs vs Yr'!S13,R14+($X$14-$C$14)/($X$11-$C$11) )</f>
        <v>59217.53905632544</v>
      </c>
      <c r="T14" s="83">
        <f>IF(Inputs!$C$7="BAU",'Output -Jobs vs Yr'!T13,S14+($X$14-$C$14)/($X$11-$C$11) )</f>
        <v>59798.314663598787</v>
      </c>
      <c r="U14" s="83">
        <f>IF(Inputs!$C$7="BAU",'Output -Jobs vs Yr'!U13,T14+($X$14-$C$14)/($X$11-$C$11) )</f>
        <v>60345.142354459102</v>
      </c>
      <c r="V14" s="83">
        <f>IF(Inputs!$C$7="BAU",'Output -Jobs vs Yr'!V13,U14+($X$14-$C$14)/($X$11-$C$11) )</f>
        <v>60959.915468945714</v>
      </c>
      <c r="W14" s="83">
        <f>IF(Inputs!$C$7="BAU",'Output -Jobs vs Yr'!W13,V14+($X$14-$C$14)/($X$11-$C$11) )</f>
        <v>61601.910555426199</v>
      </c>
      <c r="X14" s="184">
        <f>IF(Inputs!$C$7="BAU",'Output -Jobs vs Yr'!X13,C14*(1+Inputs!C7) )</f>
        <v>62166.168274382529</v>
      </c>
      <c r="Y14" s="174">
        <f>IF(Inputs!$C$7="BAU",'Output -Jobs vs Yr'!Y13,D14*(1+Inputs!D7) )</f>
        <v>62424.095977072691</v>
      </c>
      <c r="Z14" s="174">
        <f>IF(Inputs!$C$7="BAU",'Output -Jobs vs Yr'!Z13,E14*(1+Inputs!E7) )</f>
        <v>62810.478900876486</v>
      </c>
      <c r="AA14" s="174">
        <f>IF(Inputs!$C$7="BAU",'Output -Jobs vs Yr'!AA13,F14*(1+Inputs!F7) )</f>
        <v>63104.221199951658</v>
      </c>
      <c r="AB14" s="174">
        <f>IF(Inputs!$C$7="BAU",'Output -Jobs vs Yr'!AB13,G14*(1+Inputs!G7) )</f>
        <v>63506.175258751129</v>
      </c>
      <c r="AC14" s="174">
        <f>IF(Inputs!$C$7="BAU",'Output -Jobs vs Yr'!AC13,H14*(1+Inputs!H7) )</f>
        <v>64099.91586004787</v>
      </c>
      <c r="AD14" s="174">
        <f>IF(Inputs!$C$7="BAU",'Output -Jobs vs Yr'!AD13,I14*(1+Inputs!L7) )</f>
        <v>64657.000939779537</v>
      </c>
      <c r="AE14" s="174">
        <f>IF(Inputs!$C$7="BAU",'Output -Jobs vs Yr'!AE13,J14*(1+Inputs!M7) )</f>
        <v>65509.636679428026</v>
      </c>
      <c r="AF14" s="174">
        <f>IF(Inputs!$C$7="BAU",'Output -Jobs vs Yr'!AF13,K14*(1+Inputs!N7) )</f>
        <v>66459.580878160516</v>
      </c>
      <c r="AG14" s="174">
        <f>IF(Inputs!$C$7="BAU",'Output -Jobs vs Yr'!AG13,L14*(1+Inputs!O7) )</f>
        <v>67231.176964589293</v>
      </c>
      <c r="AH14" s="184">
        <f>IF(Inputs!$C$7="BAU",'Output -Jobs vs Yr'!AH13,M14*(1+Inputs!P7) )</f>
        <v>67843.410203351668</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2.9110462846929766E-2</v>
      </c>
      <c r="D16" s="381">
        <f t="shared" si="1"/>
        <v>3.0936851488637517E-2</v>
      </c>
      <c r="E16" s="381">
        <f t="shared" si="1"/>
        <v>3.2885504584400052E-2</v>
      </c>
      <c r="F16" s="381">
        <f t="shared" si="1"/>
        <v>3.4948014122588786E-2</v>
      </c>
      <c r="G16" s="381">
        <f t="shared" si="1"/>
        <v>3.7140614492455572E-2</v>
      </c>
      <c r="H16" s="381">
        <f t="shared" si="1"/>
        <v>3.472837966748131E-2</v>
      </c>
      <c r="I16" s="381">
        <f t="shared" si="1"/>
        <v>3.6925034524553729E-2</v>
      </c>
      <c r="J16" s="381">
        <f t="shared" si="1"/>
        <v>3.9256235358945422E-2</v>
      </c>
      <c r="K16" s="381">
        <f t="shared" si="1"/>
        <v>4.1734119329969135E-2</v>
      </c>
      <c r="L16" s="381">
        <f t="shared" si="1"/>
        <v>4.4365664603950861E-2</v>
      </c>
      <c r="M16" s="381">
        <f t="shared" si="1"/>
        <v>4.7160325368943067E-2</v>
      </c>
      <c r="N16" s="381">
        <f>Inputs!C11</f>
        <v>0.05</v>
      </c>
      <c r="O16" s="381">
        <f t="shared" ref="O16:W16" si="2">O95</f>
        <v>5.3733592258577823E-2</v>
      </c>
      <c r="P16" s="381">
        <f t="shared" si="2"/>
        <v>5.75956572630658E-2</v>
      </c>
      <c r="Q16" s="381">
        <f t="shared" si="2"/>
        <v>6.1731525927687957E-2</v>
      </c>
      <c r="R16" s="381">
        <f t="shared" si="2"/>
        <v>6.6163975669058114E-2</v>
      </c>
      <c r="S16" s="381">
        <f t="shared" si="2"/>
        <v>7.0913320784851755E-2</v>
      </c>
      <c r="T16" s="381">
        <f t="shared" si="2"/>
        <v>7.6003225756754042E-2</v>
      </c>
      <c r="U16" s="381">
        <f t="shared" si="2"/>
        <v>8.1457238425480805E-2</v>
      </c>
      <c r="V16" s="381">
        <f t="shared" si="2"/>
        <v>8.7301119662945612E-2</v>
      </c>
      <c r="W16" s="381">
        <f t="shared" si="2"/>
        <v>9.3563031357694143E-2</v>
      </c>
      <c r="X16" s="382">
        <f>Inputs!C12</f>
        <v>0.1</v>
      </c>
      <c r="Y16" s="383">
        <f>Y95</f>
        <v>0.10442632459027329</v>
      </c>
      <c r="Z16" s="383">
        <f t="shared" ref="Z16:AG16" si="3">Z95</f>
        <v>0.10874967441532445</v>
      </c>
      <c r="AA16" s="383">
        <f t="shared" si="3"/>
        <v>0.11325162955439773</v>
      </c>
      <c r="AB16" s="383">
        <f t="shared" si="3"/>
        <v>0.1179385787562001</v>
      </c>
      <c r="AC16" s="383">
        <f t="shared" si="3"/>
        <v>0.12281770131822328</v>
      </c>
      <c r="AD16" s="383">
        <f t="shared" si="3"/>
        <v>0.12789817333563078</v>
      </c>
      <c r="AE16" s="383">
        <f t="shared" si="3"/>
        <v>0.13318648230765229</v>
      </c>
      <c r="AF16" s="383">
        <f t="shared" si="3"/>
        <v>0.13869235520947606</v>
      </c>
      <c r="AG16" s="383">
        <f t="shared" si="3"/>
        <v>0.14442640046225041</v>
      </c>
      <c r="AH16" s="382">
        <f>Inputs!C13</f>
        <v>0.15</v>
      </c>
      <c r="AI16" s="384" t="s">
        <v>0</v>
      </c>
      <c r="AJ16" s="385"/>
      <c r="AK16" s="386"/>
      <c r="AL16" s="387"/>
    </row>
    <row r="17" spans="1:37" s="281" customFormat="1">
      <c r="A17" s="281" t="s">
        <v>115</v>
      </c>
      <c r="B17" s="282"/>
      <c r="C17" s="337"/>
      <c r="D17" s="332">
        <f>D16/C16-1</f>
        <v>6.2739938259015915E-2</v>
      </c>
      <c r="E17" s="332">
        <f t="shared" ref="E17:M17" si="4">E16/D16-1</f>
        <v>6.2988087086956357E-2</v>
      </c>
      <c r="F17" s="332">
        <f t="shared" si="4"/>
        <v>6.2717892404397846E-2</v>
      </c>
      <c r="G17" s="332">
        <f t="shared" si="4"/>
        <v>6.2738911635313421E-2</v>
      </c>
      <c r="H17" s="284"/>
      <c r="I17" s="284">
        <f t="shared" si="4"/>
        <v>6.325244304816513E-2</v>
      </c>
      <c r="J17" s="284">
        <f t="shared" si="4"/>
        <v>6.3133342037677398E-2</v>
      </c>
      <c r="K17" s="284">
        <f t="shared" si="4"/>
        <v>6.3120774276157698E-2</v>
      </c>
      <c r="L17" s="284">
        <f t="shared" si="4"/>
        <v>6.30550090964066E-2</v>
      </c>
      <c r="M17" s="284">
        <f t="shared" si="4"/>
        <v>6.2991522609656458E-2</v>
      </c>
      <c r="N17" s="284">
        <f>N16/M16-1</f>
        <v>6.0213211186345594E-2</v>
      </c>
      <c r="O17" s="284">
        <f>O16/N16-1</f>
        <v>7.467184517155645E-2</v>
      </c>
      <c r="P17" s="284">
        <f t="shared" ref="P17:X17" si="5">P16/O16-1</f>
        <v>7.1874312551129638E-2</v>
      </c>
      <c r="Q17" s="284">
        <f t="shared" si="5"/>
        <v>7.1808689424824879E-2</v>
      </c>
      <c r="R17" s="284">
        <f t="shared" si="5"/>
        <v>7.1802044008474786E-2</v>
      </c>
      <c r="S17" s="284">
        <f t="shared" si="5"/>
        <v>7.1781434954107493E-2</v>
      </c>
      <c r="T17" s="284">
        <f t="shared" si="5"/>
        <v>7.1776429527885988E-2</v>
      </c>
      <c r="U17" s="284">
        <f t="shared" si="5"/>
        <v>7.1760278783194797E-2</v>
      </c>
      <c r="V17" s="284">
        <f t="shared" si="5"/>
        <v>7.174170583760886E-2</v>
      </c>
      <c r="W17" s="284">
        <f t="shared" si="5"/>
        <v>7.1727736355784222E-2</v>
      </c>
      <c r="X17" s="283">
        <f t="shared" si="5"/>
        <v>6.8798205326387363E-2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0.22595887174641002</v>
      </c>
      <c r="D18" s="332">
        <f t="shared" ref="D18:G18" si="6">($N$18-$C$18)/($N$11-$C$11)+C18</f>
        <v>0.22464626955121603</v>
      </c>
      <c r="E18" s="332">
        <f t="shared" si="6"/>
        <v>0.22333366735602203</v>
      </c>
      <c r="F18" s="332">
        <f t="shared" si="6"/>
        <v>0.22202106516082804</v>
      </c>
      <c r="G18" s="332">
        <f t="shared" si="6"/>
        <v>0.22070846296563404</v>
      </c>
      <c r="H18" s="284">
        <f>H32/H14</f>
        <v>0.20275825860884744</v>
      </c>
      <c r="I18" s="172">
        <f>($N$18-$H$18)/($N$11-$H$11)+H18</f>
        <v>0.20421859010725221</v>
      </c>
      <c r="J18" s="172">
        <f t="shared" ref="J18:M18" si="7">($N$18-$H$18)/($N$11-$H$11)+I18</f>
        <v>0.20567892160565698</v>
      </c>
      <c r="K18" s="172">
        <f t="shared" si="7"/>
        <v>0.20713925310406175</v>
      </c>
      <c r="L18" s="172">
        <f t="shared" si="7"/>
        <v>0.20859958460246653</v>
      </c>
      <c r="M18" s="172">
        <f t="shared" si="7"/>
        <v>0.2100599161008713</v>
      </c>
      <c r="N18" s="180">
        <f>Inputs!C36</f>
        <v>0.21152024759927612</v>
      </c>
      <c r="O18" s="91">
        <f t="shared" ref="O18:W18" si="8">($X$18-$N$18)/($X$11-$N$11)+N18</f>
        <v>0.20891733744096205</v>
      </c>
      <c r="P18" s="91">
        <f t="shared" si="8"/>
        <v>0.20631442728264798</v>
      </c>
      <c r="Q18" s="91">
        <f t="shared" si="8"/>
        <v>0.20371151712433391</v>
      </c>
      <c r="R18" s="91">
        <f t="shared" si="8"/>
        <v>0.20110860696601984</v>
      </c>
      <c r="S18" s="22">
        <f t="shared" si="8"/>
        <v>0.19850569680770577</v>
      </c>
      <c r="T18" s="91">
        <f t="shared" si="8"/>
        <v>0.1959027866493917</v>
      </c>
      <c r="U18" s="91">
        <f t="shared" si="8"/>
        <v>0.19329987649107763</v>
      </c>
      <c r="V18" s="91">
        <f t="shared" si="8"/>
        <v>0.19069696633276356</v>
      </c>
      <c r="W18" s="91">
        <f t="shared" si="8"/>
        <v>0.18809405617444949</v>
      </c>
      <c r="X18" s="185">
        <f>Inputs!F36</f>
        <v>0.18549114601613539</v>
      </c>
      <c r="Y18" s="172">
        <f>($AH$18-$X$18)/($AH$11-$X$11)+X18</f>
        <v>0.18393892729885852</v>
      </c>
      <c r="Z18" s="172">
        <f t="shared" ref="Z18:AG18" si="9">($AH$18-$X$18)/($AH$11-$X$11)+Y18</f>
        <v>0.18238670858158168</v>
      </c>
      <c r="AA18" s="172">
        <f t="shared" si="9"/>
        <v>0.18083448986430484</v>
      </c>
      <c r="AB18" s="172">
        <f t="shared" si="9"/>
        <v>0.17928227114702799</v>
      </c>
      <c r="AC18" s="172">
        <f t="shared" si="9"/>
        <v>0.17773005242975115</v>
      </c>
      <c r="AD18" s="172">
        <f t="shared" si="9"/>
        <v>0.17617783371247431</v>
      </c>
      <c r="AE18" s="172">
        <f t="shared" si="9"/>
        <v>0.17462561499519746</v>
      </c>
      <c r="AF18" s="172">
        <f t="shared" si="9"/>
        <v>0.17307339627792062</v>
      </c>
      <c r="AG18" s="172">
        <f t="shared" si="9"/>
        <v>0.17152117756064378</v>
      </c>
      <c r="AH18" s="185">
        <f>Inputs!H36</f>
        <v>0.16996895884336682</v>
      </c>
      <c r="AK18"/>
    </row>
    <row r="19" spans="1:37" s="281" customFormat="1">
      <c r="A19" s="281" t="s">
        <v>114</v>
      </c>
      <c r="B19" s="285"/>
      <c r="C19" s="330">
        <f t="shared" ref="C19:AH19" si="10">C16*C14</f>
        <v>1417.0100000000002</v>
      </c>
      <c r="D19" s="330">
        <f t="shared" si="10"/>
        <v>1685.5943533584152</v>
      </c>
      <c r="E19" s="330">
        <f t="shared" si="10"/>
        <v>1629.8098864610899</v>
      </c>
      <c r="F19" s="330">
        <f t="shared" si="10"/>
        <v>1799.0515224234014</v>
      </c>
      <c r="G19" s="330">
        <f t="shared" si="10"/>
        <v>1838.0383808875436</v>
      </c>
      <c r="H19" s="286">
        <f t="shared" si="10"/>
        <v>1697.2789897972266</v>
      </c>
      <c r="I19" s="286">
        <f t="shared" si="10"/>
        <v>1858.9157523916831</v>
      </c>
      <c r="J19" s="286">
        <f t="shared" si="10"/>
        <v>2063.8696678081601</v>
      </c>
      <c r="K19" s="286">
        <f t="shared" si="10"/>
        <v>2195.9245070256788</v>
      </c>
      <c r="L19" s="286">
        <f t="shared" si="10"/>
        <v>2350.4226339734605</v>
      </c>
      <c r="M19" s="286">
        <f t="shared" si="10"/>
        <v>2530.9053026718625</v>
      </c>
      <c r="N19" s="287">
        <f t="shared" si="10"/>
        <v>2725.8085502346685</v>
      </c>
      <c r="O19" s="286">
        <f t="shared" si="10"/>
        <v>2966.2663089306152</v>
      </c>
      <c r="P19" s="286">
        <f t="shared" si="10"/>
        <v>3224.8505983544783</v>
      </c>
      <c r="Q19" s="286">
        <f t="shared" si="10"/>
        <v>3541.5756111487231</v>
      </c>
      <c r="R19" s="286">
        <f t="shared" si="10"/>
        <v>3859.3871515732753</v>
      </c>
      <c r="S19" s="286">
        <f t="shared" si="10"/>
        <v>4199.3123431906934</v>
      </c>
      <c r="T19" s="286">
        <f t="shared" si="10"/>
        <v>4544.8648092509138</v>
      </c>
      <c r="U19" s="286">
        <f t="shared" si="10"/>
        <v>4915.548648586755</v>
      </c>
      <c r="V19" s="286">
        <f t="shared" si="10"/>
        <v>5321.868874997479</v>
      </c>
      <c r="W19" s="286">
        <f t="shared" si="10"/>
        <v>5763.6614889912116</v>
      </c>
      <c r="X19" s="287">
        <f>Inputs!C12*'Output -Jobs vs Yr'!X14</f>
        <v>6216.6168274382535</v>
      </c>
      <c r="Y19" s="286">
        <f t="shared" si="10"/>
        <v>6518.7189087561655</v>
      </c>
      <c r="Z19" s="286">
        <f t="shared" si="10"/>
        <v>6830.6191303409232</v>
      </c>
      <c r="AA19" s="286">
        <f t="shared" si="10"/>
        <v>7146.6558826556966</v>
      </c>
      <c r="AB19" s="286">
        <f t="shared" si="10"/>
        <v>7489.8280522592668</v>
      </c>
      <c r="AC19" s="286">
        <f t="shared" si="10"/>
        <v>7872.6043206226032</v>
      </c>
      <c r="AD19" s="286">
        <f t="shared" si="10"/>
        <v>8269.5123135579652</v>
      </c>
      <c r="AE19" s="286">
        <f t="shared" si="10"/>
        <v>8724.9980665853709</v>
      </c>
      <c r="AF19" s="286">
        <f t="shared" si="10"/>
        <v>9217.4357982267411</v>
      </c>
      <c r="AG19" s="286">
        <f t="shared" si="10"/>
        <v>9709.9568878361988</v>
      </c>
      <c r="AH19" s="287">
        <f t="shared" si="10"/>
        <v>10176.51153050275</v>
      </c>
    </row>
    <row r="20" spans="1:37" s="20" customFormat="1">
      <c r="A20" s="20" t="s">
        <v>211</v>
      </c>
      <c r="B20" s="33"/>
      <c r="C20" s="330">
        <f>'Output - Jobs vs Yr (BAU)'!C18</f>
        <v>1417.01</v>
      </c>
      <c r="D20" s="330">
        <f>'Output - Jobs vs Yr (BAU)'!D18</f>
        <v>1503.01</v>
      </c>
      <c r="E20" s="330">
        <f>'Output - Jobs vs Yr (BAU)'!E18</f>
        <v>1541.4015418940194</v>
      </c>
      <c r="F20" s="330">
        <f>'Output - Jobs vs Yr (BAU)'!F18</f>
        <v>1488.4854423693009</v>
      </c>
      <c r="G20" s="330">
        <f>'Output - Jobs vs Yr (BAU)'!G18</f>
        <v>1648.7023882685799</v>
      </c>
      <c r="H20" s="286">
        <f>'Output - Jobs vs Yr (BAU)'!H18</f>
        <v>1696.2789897972273</v>
      </c>
      <c r="I20" s="83">
        <f>'Output - Jobs vs Yr (BAU)'!I18</f>
        <v>1758.5555258842994</v>
      </c>
      <c r="J20" s="83">
        <f>'Output - Jobs vs Yr (BAU)'!J18</f>
        <v>1860.6391348374698</v>
      </c>
      <c r="K20" s="83">
        <f>'Output - Jobs vs Yr (BAU)'!K18</f>
        <v>2017.8180499881892</v>
      </c>
      <c r="L20" s="83">
        <f>'Output - Jobs vs Yr (BAU)'!L18</f>
        <v>2108.1325956509359</v>
      </c>
      <c r="M20" s="83">
        <f>'Output - Jobs vs Yr (BAU)'!M18</f>
        <v>2192.8287682870109</v>
      </c>
      <c r="N20" s="177">
        <f>'Output - Jobs vs Yr (BAU)'!N18</f>
        <v>2300.6494915353087</v>
      </c>
      <c r="O20" s="83">
        <f>'Output - Jobs vs Yr (BAU)'!O18</f>
        <v>2467.0669826747712</v>
      </c>
      <c r="P20" s="83">
        <f>'Output - Jobs vs Yr (BAU)'!P18</f>
        <v>2579.9692314924609</v>
      </c>
      <c r="Q20" s="83">
        <f>'Output - Jobs vs Yr (BAU)'!Q18</f>
        <v>2903.7032026076522</v>
      </c>
      <c r="R20" s="83">
        <f>'Output - Jobs vs Yr (BAU)'!R18</f>
        <v>3029.8761083501759</v>
      </c>
      <c r="S20" s="83">
        <f>'Output - Jobs vs Yr (BAU)'!S18</f>
        <v>3421.2062400592263</v>
      </c>
      <c r="T20" s="83">
        <f>'Output - Jobs vs Yr (BAU)'!T18</f>
        <v>3536.3175166678616</v>
      </c>
      <c r="U20" s="83">
        <f>'Output - Jobs vs Yr (BAU)'!U18</f>
        <v>3614.693182310652</v>
      </c>
      <c r="V20" s="83">
        <f>'Output - Jobs vs Yr (BAU)'!V18</f>
        <v>3687.7889282770138</v>
      </c>
      <c r="W20" s="83">
        <f>'Output - Jobs vs Yr (BAU)'!W18</f>
        <v>4130.2406224018096</v>
      </c>
      <c r="X20" s="184">
        <f>'Output - Jobs vs Yr (BAU)'!X18</f>
        <v>4197.3487745431967</v>
      </c>
      <c r="Y20" s="174">
        <f>'Output - Jobs vs Yr (BAU)'!Y18</f>
        <v>4253.5653301830871</v>
      </c>
      <c r="Z20" s="174">
        <f>'Output - Jobs vs Yr (BAU)'!Z18</f>
        <v>4295.754641619018</v>
      </c>
      <c r="AA20" s="174">
        <f>'Output - Jobs vs Yr (BAU)'!AA18</f>
        <v>4352.3100265377261</v>
      </c>
      <c r="AB20" s="174">
        <f>'Output - Jobs vs Yr (BAU)'!AB18</f>
        <v>4417.3536134369506</v>
      </c>
      <c r="AC20" s="174">
        <f>'Output - Jobs vs Yr (BAU)'!AC18</f>
        <v>4472.8200091987592</v>
      </c>
      <c r="AD20" s="174">
        <f>'Output - Jobs vs Yr (BAU)'!AD18</f>
        <v>4550.049950028465</v>
      </c>
      <c r="AE20" s="174">
        <f>'Output - Jobs vs Yr (BAU)'!AE18</f>
        <v>4633.4462651650501</v>
      </c>
      <c r="AF20" s="174">
        <f>'Output - Jobs vs Yr (BAU)'!AF18</f>
        <v>4729.4794541744841</v>
      </c>
      <c r="AG20" s="174">
        <f>'Output - Jobs vs Yr (BAU)'!AG18</f>
        <v>4829.5083585844213</v>
      </c>
      <c r="AH20" s="184">
        <f>'Output - Jobs vs Yr (BAU)'!AH18</f>
        <v>4919.3458557281983</v>
      </c>
    </row>
    <row r="21" spans="1:37" s="20" customFormat="1">
      <c r="A21" s="20" t="s">
        <v>116</v>
      </c>
      <c r="B21" s="33"/>
      <c r="C21" s="330">
        <f t="shared" ref="C21:AH21" si="11">MAX(C19:C20)</f>
        <v>1417.0100000000002</v>
      </c>
      <c r="D21" s="330">
        <f t="shared" si="11"/>
        <v>1685.5943533584152</v>
      </c>
      <c r="E21" s="330">
        <f t="shared" si="11"/>
        <v>1629.8098864610899</v>
      </c>
      <c r="F21" s="330">
        <f t="shared" si="11"/>
        <v>1799.0515224234014</v>
      </c>
      <c r="G21" s="330">
        <f t="shared" si="11"/>
        <v>1838.0383808875436</v>
      </c>
      <c r="H21" s="286">
        <f t="shared" si="11"/>
        <v>1697.2789897972266</v>
      </c>
      <c r="I21" s="83">
        <f t="shared" si="11"/>
        <v>1858.9157523916831</v>
      </c>
      <c r="J21" s="83">
        <f t="shared" si="11"/>
        <v>2063.8696678081601</v>
      </c>
      <c r="K21" s="83">
        <f t="shared" si="11"/>
        <v>2195.9245070256788</v>
      </c>
      <c r="L21" s="83">
        <f t="shared" si="11"/>
        <v>2350.4226339734605</v>
      </c>
      <c r="M21" s="83">
        <f t="shared" si="11"/>
        <v>2530.9053026718625</v>
      </c>
      <c r="N21" s="177">
        <f t="shared" si="11"/>
        <v>2725.8085502346685</v>
      </c>
      <c r="O21" s="83">
        <f t="shared" si="11"/>
        <v>2966.2663089306152</v>
      </c>
      <c r="P21" s="83">
        <f t="shared" si="11"/>
        <v>3224.8505983544783</v>
      </c>
      <c r="Q21" s="83">
        <f t="shared" si="11"/>
        <v>3541.5756111487231</v>
      </c>
      <c r="R21" s="83">
        <f t="shared" si="11"/>
        <v>3859.3871515732753</v>
      </c>
      <c r="S21" s="83">
        <f t="shared" si="11"/>
        <v>4199.3123431906934</v>
      </c>
      <c r="T21" s="83">
        <f t="shared" si="11"/>
        <v>4544.8648092509138</v>
      </c>
      <c r="U21" s="83">
        <f t="shared" si="11"/>
        <v>4915.548648586755</v>
      </c>
      <c r="V21" s="83">
        <f t="shared" si="11"/>
        <v>5321.868874997479</v>
      </c>
      <c r="W21" s="83">
        <f t="shared" si="11"/>
        <v>5763.6614889912116</v>
      </c>
      <c r="X21" s="184">
        <f t="shared" si="11"/>
        <v>6216.6168274382535</v>
      </c>
      <c r="Y21" s="174">
        <f t="shared" si="11"/>
        <v>6518.7189087561655</v>
      </c>
      <c r="Z21" s="174">
        <f t="shared" si="11"/>
        <v>6830.6191303409232</v>
      </c>
      <c r="AA21" s="174">
        <f t="shared" si="11"/>
        <v>7146.6558826556966</v>
      </c>
      <c r="AB21" s="174">
        <f t="shared" si="11"/>
        <v>7489.8280522592668</v>
      </c>
      <c r="AC21" s="174">
        <f t="shared" si="11"/>
        <v>7872.6043206226032</v>
      </c>
      <c r="AD21" s="174">
        <f t="shared" si="11"/>
        <v>8269.5123135579652</v>
      </c>
      <c r="AE21" s="174">
        <f t="shared" si="11"/>
        <v>8724.9980665853709</v>
      </c>
      <c r="AF21" s="174">
        <f t="shared" si="11"/>
        <v>9217.4357982267411</v>
      </c>
      <c r="AG21" s="174">
        <f t="shared" si="11"/>
        <v>9709.9568878361988</v>
      </c>
      <c r="AH21" s="184">
        <f t="shared" si="11"/>
        <v>10176.51153050275</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-2.0543583211783799E-7</v>
      </c>
      <c r="D26" s="332">
        <f t="shared" ref="D26:G26" si="21">C26+($N$26-$C$26)/($N$11-$C$11)</f>
        <v>-2.0343546660139791E-7</v>
      </c>
      <c r="E26" s="332">
        <f t="shared" si="21"/>
        <v>-2.0143510108495783E-7</v>
      </c>
      <c r="F26" s="332">
        <f t="shared" si="21"/>
        <v>-1.9943473556851774E-7</v>
      </c>
      <c r="G26" s="332">
        <f t="shared" si="21"/>
        <v>-1.9743437005207766E-7</v>
      </c>
      <c r="H26" s="284">
        <f>H31/H14</f>
        <v>-2.046120872068905E-7</v>
      </c>
      <c r="I26" s="91">
        <f>H26+($N$26-$H$26)/($N$11-$H$11)</f>
        <v>-2.010820412452416E-7</v>
      </c>
      <c r="J26" s="172">
        <f t="shared" ref="J26:M26" si="22">I26+($N$26-$H$26)/($N$11-$H$11)</f>
        <v>-1.975519952835927E-7</v>
      </c>
      <c r="K26" s="172">
        <f t="shared" si="22"/>
        <v>-1.9402194932194379E-7</v>
      </c>
      <c r="L26" s="172">
        <f t="shared" si="22"/>
        <v>-1.9049190336029489E-7</v>
      </c>
      <c r="M26" s="172">
        <f t="shared" si="22"/>
        <v>-1.8696185739864599E-7</v>
      </c>
      <c r="N26" s="180">
        <f>Inputs!C35</f>
        <v>-1.8343181143699706E-7</v>
      </c>
      <c r="O26" s="91">
        <f t="shared" ref="O26:W26" si="23">N26+($X$26-$N$26)/($X$11-$N$11)</f>
        <v>-1.8117454987094666E-7</v>
      </c>
      <c r="P26" s="91">
        <f t="shared" si="23"/>
        <v>-1.7891728830489626E-7</v>
      </c>
      <c r="Q26" s="91">
        <f t="shared" si="23"/>
        <v>-1.7666002673884586E-7</v>
      </c>
      <c r="R26" s="91">
        <f t="shared" si="23"/>
        <v>-1.7440276517279546E-7</v>
      </c>
      <c r="S26" s="22">
        <f t="shared" si="23"/>
        <v>-1.7214550360674506E-7</v>
      </c>
      <c r="T26" s="91">
        <f t="shared" si="23"/>
        <v>-1.6988824204069466E-7</v>
      </c>
      <c r="U26" s="91">
        <f t="shared" si="23"/>
        <v>-1.6763098047464426E-7</v>
      </c>
      <c r="V26" s="91">
        <f t="shared" si="23"/>
        <v>-1.6537371890859386E-7</v>
      </c>
      <c r="W26" s="91">
        <f t="shared" si="23"/>
        <v>-1.6311645734254347E-7</v>
      </c>
      <c r="X26" s="185">
        <f>Inputs!F35</f>
        <v>-1.6085919577649301E-7</v>
      </c>
      <c r="Y26" s="172">
        <f>X26+($AH$26-$X$26)/($AH$11-$X$11)</f>
        <v>-1.5951310104424818E-7</v>
      </c>
      <c r="Z26" s="172">
        <f t="shared" ref="Z26:AG26" si="24">Y26+($AH$26-$X$26)/($AH$11-$X$11)</f>
        <v>-1.5816700631200335E-7</v>
      </c>
      <c r="AA26" s="172">
        <f t="shared" si="24"/>
        <v>-1.5682091157975852E-7</v>
      </c>
      <c r="AB26" s="172">
        <f t="shared" si="24"/>
        <v>-1.5547481684751369E-7</v>
      </c>
      <c r="AC26" s="172">
        <f t="shared" si="24"/>
        <v>-1.5412872211526886E-7</v>
      </c>
      <c r="AD26" s="172">
        <f t="shared" si="24"/>
        <v>-1.5278262738302403E-7</v>
      </c>
      <c r="AE26" s="172">
        <f t="shared" si="24"/>
        <v>-1.514365326507792E-7</v>
      </c>
      <c r="AF26" s="172">
        <f t="shared" si="24"/>
        <v>-1.5009043791853437E-7</v>
      </c>
      <c r="AG26" s="172">
        <f t="shared" si="24"/>
        <v>-1.4874434318628954E-7</v>
      </c>
      <c r="AH26" s="185">
        <f>Inputs!H35</f>
        <v>-1.4739824845404482E-7</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0.19850552466220217</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-0.01</v>
      </c>
      <c r="D31" s="330">
        <f t="shared" ref="D31:AH31" si="27">D26*D14</f>
        <v>-1.1084181397777166E-2</v>
      </c>
      <c r="E31" s="330">
        <f t="shared" si="27"/>
        <v>-9.9831498217086787E-3</v>
      </c>
      <c r="F31" s="330">
        <f t="shared" si="27"/>
        <v>-1.0266487915167198E-2</v>
      </c>
      <c r="G31" s="330">
        <f t="shared" si="27"/>
        <v>-9.770757829970415E-3</v>
      </c>
      <c r="H31" s="286">
        <f>'Output - Jobs vs Yr (BAU)'!H7</f>
        <v>-0.01</v>
      </c>
      <c r="I31" s="174">
        <f t="shared" si="27"/>
        <v>-1.0123066337156561E-2</v>
      </c>
      <c r="J31" s="174">
        <f t="shared" si="27"/>
        <v>-1.038616075007506E-2</v>
      </c>
      <c r="K31" s="174">
        <f t="shared" si="27"/>
        <v>-1.0208854535741937E-2</v>
      </c>
      <c r="L31" s="174">
        <f t="shared" si="27"/>
        <v>-1.0091959294279348E-2</v>
      </c>
      <c r="M31" s="174">
        <f t="shared" si="27"/>
        <v>-1.0033492190433936E-2</v>
      </c>
      <c r="N31" s="184">
        <f t="shared" si="27"/>
        <v>-0.01</v>
      </c>
      <c r="O31" s="174">
        <f t="shared" si="27"/>
        <v>-1.0001415143281589E-2</v>
      </c>
      <c r="P31" s="174">
        <f t="shared" si="27"/>
        <v>-1.0017795640575226E-2</v>
      </c>
      <c r="Q31" s="174">
        <f t="shared" si="27"/>
        <v>-1.0135094390766675E-2</v>
      </c>
      <c r="R31" s="174">
        <f t="shared" si="27"/>
        <v>-1.0173025189317795E-2</v>
      </c>
      <c r="S31" s="174">
        <f t="shared" si="27"/>
        <v>-1.0194033083203238E-2</v>
      </c>
      <c r="T31" s="174">
        <f t="shared" si="27"/>
        <v>-1.0159030555195091E-2</v>
      </c>
      <c r="U31" s="174">
        <f t="shared" si="27"/>
        <v>-1.0115715379759962E-2</v>
      </c>
      <c r="V31" s="174">
        <f t="shared" si="27"/>
        <v>-1.0081167925453072E-2</v>
      </c>
      <c r="W31" s="174">
        <f t="shared" si="27"/>
        <v>-1.0048285415333355E-2</v>
      </c>
      <c r="X31" s="184">
        <f t="shared" si="27"/>
        <v>-9.9999998331233089E-3</v>
      </c>
      <c r="Y31" s="174">
        <f t="shared" si="27"/>
        <v>-9.9574611291866431E-3</v>
      </c>
      <c r="Z31" s="174">
        <f t="shared" si="27"/>
        <v>-9.9345454127748849E-3</v>
      </c>
      <c r="AA31" s="174">
        <f t="shared" si="27"/>
        <v>-9.8960614931071431E-3</v>
      </c>
      <c r="AB31" s="174">
        <f t="shared" si="27"/>
        <v>-9.873610967040437E-3</v>
      </c>
      <c r="AC31" s="174">
        <f t="shared" si="27"/>
        <v>-9.8796381192054333E-3</v>
      </c>
      <c r="AD31" s="174">
        <f t="shared" si="27"/>
        <v>-9.8784664822861717E-3</v>
      </c>
      <c r="AE31" s="174">
        <f t="shared" si="27"/>
        <v>-9.9205522339448852E-3</v>
      </c>
      <c r="AF31" s="174">
        <f t="shared" si="27"/>
        <v>-9.9749475978853641E-3</v>
      </c>
      <c r="AG31" s="174">
        <f t="shared" si="27"/>
        <v>-1.0000257259239033E-2</v>
      </c>
      <c r="AH31" s="184">
        <f t="shared" si="27"/>
        <v>-9.9999998331233089E-3</v>
      </c>
      <c r="AI31" s="127"/>
    </row>
    <row r="32" spans="1:37">
      <c r="A32" s="9" t="s">
        <v>59</v>
      </c>
      <c r="B32" s="35">
        <v>0</v>
      </c>
      <c r="C32" s="330">
        <f>EIA_electricity_aeo2014!E52*1000</f>
        <v>10999</v>
      </c>
      <c r="D32" s="330">
        <f t="shared" ref="D32:AH32" si="28">D18*D14</f>
        <v>12239.851996498006</v>
      </c>
      <c r="E32" s="330">
        <f t="shared" si="28"/>
        <v>11068.445615674824</v>
      </c>
      <c r="F32" s="330">
        <f t="shared" si="28"/>
        <v>11429.185472071829</v>
      </c>
      <c r="G32" s="330">
        <f t="shared" si="28"/>
        <v>10922.56096085693</v>
      </c>
      <c r="H32" s="286">
        <f>EIA_electricity_aeo2014!J52*1000</f>
        <v>9909.3978941640635</v>
      </c>
      <c r="I32" s="174">
        <f t="shared" si="28"/>
        <v>10280.969509430122</v>
      </c>
      <c r="J32" s="174">
        <f t="shared" si="28"/>
        <v>10813.428331269601</v>
      </c>
      <c r="K32" s="174">
        <f t="shared" si="28"/>
        <v>10899.047818928553</v>
      </c>
      <c r="L32" s="174">
        <f t="shared" si="28"/>
        <v>11051.275563297593</v>
      </c>
      <c r="M32" s="174">
        <f t="shared" si="28"/>
        <v>11273.072256804418</v>
      </c>
      <c r="N32" s="184">
        <f t="shared" si="28"/>
        <v>11531.273989077219</v>
      </c>
      <c r="O32" s="174">
        <f t="shared" si="28"/>
        <v>11532.905829568599</v>
      </c>
      <c r="P32" s="174">
        <f t="shared" si="28"/>
        <v>11551.794629805625</v>
      </c>
      <c r="Q32" s="174">
        <f t="shared" si="28"/>
        <v>11687.055032509017</v>
      </c>
      <c r="R32" s="174">
        <f t="shared" si="28"/>
        <v>11730.794075580763</v>
      </c>
      <c r="S32" s="174">
        <f t="shared" si="28"/>
        <v>11755.018853613414</v>
      </c>
      <c r="T32" s="174">
        <f t="shared" si="28"/>
        <v>11714.656479536185</v>
      </c>
      <c r="U32" s="174">
        <f t="shared" si="28"/>
        <v>11664.708563953442</v>
      </c>
      <c r="V32" s="174">
        <f t="shared" si="28"/>
        <v>11624.870947829653</v>
      </c>
      <c r="W32" s="174">
        <f t="shared" si="28"/>
        <v>11586.953224465749</v>
      </c>
      <c r="X32" s="184">
        <f t="shared" si="28"/>
        <v>11531.273796647134</v>
      </c>
      <c r="Y32" s="174">
        <f t="shared" si="28"/>
        <v>11482.221251623741</v>
      </c>
      <c r="Z32" s="174">
        <f t="shared" si="28"/>
        <v>11455.796511163744</v>
      </c>
      <c r="AA32" s="174">
        <f t="shared" si="28"/>
        <v>11411.419648977509</v>
      </c>
      <c r="AB32" s="174">
        <f t="shared" si="28"/>
        <v>11385.531332250101</v>
      </c>
      <c r="AC32" s="174">
        <f t="shared" si="28"/>
        <v>11392.481406548945</v>
      </c>
      <c r="AD32" s="174">
        <f t="shared" si="28"/>
        <v>11391.130359915775</v>
      </c>
      <c r="AE32" s="174">
        <f t="shared" si="28"/>
        <v>11439.660593257064</v>
      </c>
      <c r="AF32" s="174">
        <f t="shared" si="28"/>
        <v>11502.385377790391</v>
      </c>
      <c r="AG32" s="174">
        <f t="shared" si="28"/>
        <v>11531.570641754384</v>
      </c>
      <c r="AH32" s="184">
        <f t="shared" si="28"/>
        <v>11531.273796647132</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1417</v>
      </c>
      <c r="D34" s="330">
        <f>MAX(D58*D$14,'Output - Jobs vs Yr (BAU)'!D10)</f>
        <v>1685.5830471272463</v>
      </c>
      <c r="E34" s="330">
        <f>MAX(E58*E$14,'Output - Jobs vs Yr (BAU)'!E10)</f>
        <v>1629.4190562108756</v>
      </c>
      <c r="F34" s="330">
        <f>MAX(F58*F$14,'Output - Jobs vs Yr (BAU)'!F10)</f>
        <v>1798.6580485506463</v>
      </c>
      <c r="G34" s="330">
        <f>MAX(G58*G$14,'Output - Jobs vs Yr (BAU)'!G10)</f>
        <v>1837.6387976652909</v>
      </c>
      <c r="H34" s="286">
        <f>'Output - Jobs vs Yr (BAU)'!H10</f>
        <v>1695.8796445692274</v>
      </c>
      <c r="I34" s="286">
        <f>MAX(I58*I$14,'Output - Jobs vs Yr (BAU)'!I10)</f>
        <v>1856.4885038627738</v>
      </c>
      <c r="J34" s="286">
        <f>MAX(J58*J$14,'Output - Jobs vs Yr (BAU)'!J10)</f>
        <v>2060.4128034714772</v>
      </c>
      <c r="K34" s="286">
        <f>MAX(K58*K$14,'Output - Jobs vs Yr (BAU)'!K10)</f>
        <v>2191.4619077554198</v>
      </c>
      <c r="L34" s="286">
        <f>MAX(L58*L$14,'Output - Jobs vs Yr (BAU)'!L10)</f>
        <v>2344.9516720706897</v>
      </c>
      <c r="M34" s="286">
        <f>MAX(M58*M$14,'Output - Jobs vs Yr (BAU)'!M10)</f>
        <v>2524.4175129283499</v>
      </c>
      <c r="N34" s="287">
        <f>MAX(Inputs!$E17*N$21,'Output - Jobs vs Yr (BAU)'!N10)</f>
        <v>2725.3016566213364</v>
      </c>
      <c r="O34" s="286">
        <f>MAX(O58*O$14,'Output - Jobs vs Yr (BAU)'!O10)</f>
        <v>2957.7161872801412</v>
      </c>
      <c r="P34" s="286">
        <f>MAX(P58*P$14,'Output - Jobs vs Yr (BAU)'!P10)</f>
        <v>3215.2525761164179</v>
      </c>
      <c r="Q34" s="286">
        <f>MAX(Q58*Q$14,'Output - Jobs vs Yr (BAU)'!Q10)</f>
        <v>3530.918876426053</v>
      </c>
      <c r="R34" s="286">
        <f>MAX(R58*R$14,'Output - Jobs vs Yr (BAU)'!R10)</f>
        <v>3847.6715023144193</v>
      </c>
      <c r="S34" s="286">
        <f>MAX(S58*S$14,'Output - Jobs vs Yr (BAU)'!S10)</f>
        <v>4186.5336671227769</v>
      </c>
      <c r="T34" s="286">
        <f>MAX(T58*T$14,'Output - Jobs vs Yr (BAU)'!T10)</f>
        <v>4531.0220599213289</v>
      </c>
      <c r="U34" s="286">
        <f>MAX(U58*U$14,'Output - Jobs vs Yr (BAU)'!U10)</f>
        <v>4900.6371525445293</v>
      </c>
      <c r="V34" s="286">
        <f>MAX(V58*V$14,'Output - Jobs vs Yr (BAU)'!V10)</f>
        <v>5305.8820052705878</v>
      </c>
      <c r="W34" s="286">
        <f>MAX(W58*W$14,'Output - Jobs vs Yr (BAU)'!W10)</f>
        <v>5746.5926491051114</v>
      </c>
      <c r="X34" s="287">
        <f>Inputs!F17*'Output -Jobs vs Yr'!$X$14</f>
        <v>6215.460780229404</v>
      </c>
      <c r="Y34" s="286">
        <f>MAX(Y58*Y$14,'Output - Jobs vs Yr (BAU)'!Y10)</f>
        <v>6499.5100296892069</v>
      </c>
      <c r="Z34" s="286">
        <f>MAX(Z58*Z$14,'Output - Jobs vs Yr (BAU)'!Z10)</f>
        <v>6810.3524360115207</v>
      </c>
      <c r="AA34" s="286">
        <f>MAX(AA58*AA$14,'Output - Jobs vs Yr (BAU)'!AA10)</f>
        <v>7125.330603831173</v>
      </c>
      <c r="AB34" s="286">
        <f>MAX(AB58*AB$14,'Output - Jobs vs Yr (BAU)'!AB10)</f>
        <v>7467.4391428149711</v>
      </c>
      <c r="AC34" s="286">
        <f>MAX(AC58*AC$14,'Output - Jobs vs Yr (BAU)'!AC10)</f>
        <v>7849.1444157475626</v>
      </c>
      <c r="AD34" s="286">
        <f>MAX(AD58*AD$14,'Output - Jobs vs Yr (BAU)'!AD10)</f>
        <v>8244.9787853049838</v>
      </c>
      <c r="AE34" s="286">
        <f>MAX(AE58*AE$14,'Output - Jobs vs Yr (BAU)'!AE10)</f>
        <v>8699.3800217857133</v>
      </c>
      <c r="AF34" s="286">
        <f>MAX(AF58*AF$14,'Output - Jobs vs Yr (BAU)'!AF10)</f>
        <v>9190.726365259894</v>
      </c>
      <c r="AG34" s="286">
        <f>MAX(AG58*AG$14,'Output - Jobs vs Yr (BAU)'!AG10)</f>
        <v>9682.1560512008436</v>
      </c>
      <c r="AH34" s="287">
        <f>Inputs!I17*'Output -Jobs vs Yr'!$AH$14</f>
        <v>10174.619097998509</v>
      </c>
      <c r="AI34" s="127"/>
    </row>
    <row r="35" spans="1:36" s="20" customFormat="1">
      <c r="A35" s="9" t="s">
        <v>50</v>
      </c>
      <c r="B35" s="35">
        <v>1</v>
      </c>
      <c r="C35" s="330">
        <f>EIA_RE_aeo2014!E74*1000</f>
        <v>0</v>
      </c>
      <c r="D35" s="330">
        <f>MAX(D59*D$14,'Output - Jobs vs Yr (BAU)'!D11)</f>
        <v>0</v>
      </c>
      <c r="E35" s="330">
        <f>MAX(E59*E$14,'Output - Jobs vs Yr (BAU)'!E11)</f>
        <v>4.0118830000000001E-2</v>
      </c>
      <c r="F35" s="330">
        <f>MAX(F59*F$14,'Output - Jobs vs Yr (BAU)'!F11)</f>
        <v>3.7581990000000003E-2</v>
      </c>
      <c r="G35" s="330">
        <f>MAX(G59*G$14,'Output - Jobs vs Yr (BAU)'!G11)</f>
        <v>4.1090540000000002E-2</v>
      </c>
      <c r="H35" s="286">
        <f>'Output - Jobs vs Yr (BAU)'!H11</f>
        <v>4.1090700000000001E-2</v>
      </c>
      <c r="I35" s="286">
        <f>MAX(I59*I$14,'Output - Jobs vs Yr (BAU)'!I11)</f>
        <v>4.4048572632562732E-2</v>
      </c>
      <c r="J35" s="286">
        <f>MAX(J59*J$14,'Output - Jobs vs Yr (BAU)'!J11)</f>
        <v>4.7872364545671849E-2</v>
      </c>
      <c r="K35" s="286">
        <f>MAX(K59*K$14,'Output - Jobs vs Yr (BAU)'!K11)</f>
        <v>4.9860385104764281E-2</v>
      </c>
      <c r="L35" s="286">
        <f>MAX(L59*L$14,'Output - Jobs vs Yr (BAU)'!L11)</f>
        <v>5.2245232044323041E-2</v>
      </c>
      <c r="M35" s="286">
        <f>MAX(M59*M$14,'Output - Jobs vs Yr (BAU)'!M11)</f>
        <v>5.507633255366072E-2</v>
      </c>
      <c r="N35" s="287">
        <f>MAX(Inputs!$E19*N$21,'Output - Jobs vs Yr (BAU)'!N11)</f>
        <v>5.8224996721082674E-2</v>
      </c>
      <c r="O35" s="286">
        <f>MAX(O59*O$14,'Output - Jobs vs Yr (BAU)'!O11)</f>
        <v>6.319044164812887E-2</v>
      </c>
      <c r="P35" s="286">
        <f>MAX(P59*P$14,'Output - Jobs vs Yr (BAU)'!P11)</f>
        <v>6.8692605182620547E-2</v>
      </c>
      <c r="Q35" s="286">
        <f>MAX(Q59*Q$14,'Output - Jobs vs Yr (BAU)'!Q11)</f>
        <v>7.543669138527262E-2</v>
      </c>
      <c r="R35" s="286">
        <f>MAX(R59*R$14,'Output - Jobs vs Yr (BAU)'!R11)</f>
        <v>8.2203986506139679E-2</v>
      </c>
      <c r="S35" s="286">
        <f>MAX(S59*S$14,'Output - Jobs vs Yr (BAU)'!S11)</f>
        <v>8.9443643219710961E-2</v>
      </c>
      <c r="T35" s="286">
        <f>MAX(T59*T$14,'Output - Jobs vs Yr (BAU)'!T11)</f>
        <v>9.6803502078789766E-2</v>
      </c>
      <c r="U35" s="286">
        <f>MAX(U59*U$14,'Output - Jobs vs Yr (BAU)'!U11)</f>
        <v>0.10470018298519951</v>
      </c>
      <c r="V35" s="286">
        <f>MAX(V59*V$14,'Output - Jobs vs Yr (BAU)'!V11)</f>
        <v>0.11335807968587612</v>
      </c>
      <c r="W35" s="286">
        <f>MAX(W59*W$14,'Output - Jobs vs Yr (BAU)'!W11)</f>
        <v>0.12277368904782235</v>
      </c>
      <c r="X35" s="287">
        <f>Inputs!F19*'Output -Jobs vs Yr'!$X$14</f>
        <v>0.1327908720378245</v>
      </c>
      <c r="Y35" s="286">
        <f>MAX(Y59*Y$14,'Output - Jobs vs Yr (BAU)'!Y11)</f>
        <v>0.13885947239927099</v>
      </c>
      <c r="Z35" s="286">
        <f>MAX(Z59*Z$14,'Output - Jobs vs Yr (BAU)'!Z11)</f>
        <v>0.14550049800644285</v>
      </c>
      <c r="AA35" s="286">
        <f>MAX(AA59*AA$14,'Output - Jobs vs Yr (BAU)'!AA11)</f>
        <v>0.1522298825294201</v>
      </c>
      <c r="AB35" s="286">
        <f>MAX(AB59*AB$14,'Output - Jobs vs Yr (BAU)'!AB11)</f>
        <v>0.15953889674888846</v>
      </c>
      <c r="AC35" s="286">
        <f>MAX(AC59*AC$14,'Output - Jobs vs Yr (BAU)'!AC11)</f>
        <v>0.1676938795967223</v>
      </c>
      <c r="AD35" s="286">
        <f>MAX(AD59*AD$14,'Output - Jobs vs Yr (BAU)'!AD11)</f>
        <v>0.17615072503017257</v>
      </c>
      <c r="AE35" s="286">
        <f>MAX(AE59*AE$14,'Output - Jobs vs Yr (BAU)'!AE11)</f>
        <v>0.18585882851290658</v>
      </c>
      <c r="AF35" s="286">
        <f>MAX(AF59*AF$14,'Output - Jobs vs Yr (BAU)'!AF11)</f>
        <v>0.19635624965826612</v>
      </c>
      <c r="AG35" s="286">
        <f>MAX(AG59*AG$14,'Output - Jobs vs Yr (BAU)'!AG11)</f>
        <v>0.20685545138260947</v>
      </c>
      <c r="AH35" s="287">
        <f>Inputs!I19*'Output -Jobs vs Yr'!$AH$14</f>
        <v>0.21737673045473843</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0</v>
      </c>
      <c r="D37" s="330">
        <f>MAX(D61*D$14,'Output - Jobs vs Yr (BAU)'!D12)</f>
        <v>0</v>
      </c>
      <c r="E37" s="330">
        <f>MAX(E61*E$14,'Output - Jobs vs Yr (BAU)'!E12)</f>
        <v>1.3393529999999999E-3</v>
      </c>
      <c r="F37" s="330">
        <f>MAX(F61*F$14,'Output - Jobs vs Yr (BAU)'!F12)</f>
        <v>1.3868399999999999E-3</v>
      </c>
      <c r="G37" s="330">
        <f>MAX(G61*G$14,'Output - Jobs vs Yr (BAU)'!G12)</f>
        <v>1.1280109999999999E-3</v>
      </c>
      <c r="H37" s="286">
        <f>'Output - Jobs vs Yr (BAU)'!H12</f>
        <v>1.2137750000000001E-3</v>
      </c>
      <c r="I37" s="118">
        <f>MAX(I61*I$14,'Output - Jobs vs Yr (BAU)'!I12)</f>
        <v>1.2774175554637749E-3</v>
      </c>
      <c r="J37" s="118">
        <f>MAX(J61*J$14,'Output - Jobs vs Yr (BAU)'!J12)</f>
        <v>1.3629888762393498E-3</v>
      </c>
      <c r="K37" s="118">
        <f>MAX(K61*K$14,'Output - Jobs vs Yr (BAU)'!K12)</f>
        <v>1.3937004908822388E-3</v>
      </c>
      <c r="L37" s="118">
        <f>MAX(L61*L$14,'Output - Jobs vs Yr (BAU)'!L12)</f>
        <v>1.4337283699007444E-3</v>
      </c>
      <c r="M37" s="118">
        <f>MAX(M61*M$14,'Output - Jobs vs Yr (BAU)'!M12)</f>
        <v>1.4838555387191965E-3</v>
      </c>
      <c r="N37" s="184">
        <f>MAX(Inputs!$E20*N$21,'Output - Jobs vs Yr (BAU)'!N12)</f>
        <v>1.5400771358566193E-3</v>
      </c>
      <c r="O37" s="174">
        <f>MAX(O61*O$14,'Output - Jobs vs Yr (BAU)'!O12)</f>
        <v>1.6714153691266287E-3</v>
      </c>
      <c r="P37" s="174">
        <f>MAX(P61*P$14,'Output - Jobs vs Yr (BAU)'!P12)</f>
        <v>1.8169500489791121E-3</v>
      </c>
      <c r="Q37" s="174">
        <f>MAX(Q61*Q$14,'Output - Jobs vs Yr (BAU)'!Q12)</f>
        <v>1.995334137392289E-3</v>
      </c>
      <c r="R37" s="174">
        <f>MAX(R61*R$14,'Output - Jobs vs Yr (BAU)'!R12)</f>
        <v>2.1743321120451181E-3</v>
      </c>
      <c r="S37" s="174">
        <f>MAX(S61*S$14,'Output - Jobs vs Yr (BAU)'!S12)</f>
        <v>2.3658242615326053E-3</v>
      </c>
      <c r="T37" s="174">
        <f>MAX(T61*T$14,'Output - Jobs vs Yr (BAU)'!T12)</f>
        <v>2.5604958113876674E-3</v>
      </c>
      <c r="U37" s="174">
        <f>MAX(U61*U$14,'Output - Jobs vs Yr (BAU)'!U12)</f>
        <v>2.7693665438563156E-3</v>
      </c>
      <c r="V37" s="174">
        <f>MAX(V61*V$14,'Output - Jobs vs Yr (BAU)'!V12)</f>
        <v>2.9983717736409396E-3</v>
      </c>
      <c r="W37" s="174">
        <f>MAX(W61*W$14,'Output - Jobs vs Yr (BAU)'!W12)</f>
        <v>3.2474188413111095E-3</v>
      </c>
      <c r="X37" s="184">
        <f>Inputs!F20*'Output -Jobs vs Yr'!$X$14</f>
        <v>3.512377799788957E-3</v>
      </c>
      <c r="Y37" s="174">
        <f>MAX(Y61*Y$14,'Output - Jobs vs Yr (BAU)'!Y12)</f>
        <v>3.6728949863864247E-3</v>
      </c>
      <c r="Z37" s="174">
        <f>MAX(Z61*Z$14,'Output - Jobs vs Yr (BAU)'!Z12)</f>
        <v>3.8485530760766274E-3</v>
      </c>
      <c r="AA37" s="174">
        <f>MAX(AA61*AA$14,'Output - Jobs vs Yr (BAU)'!AA12)</f>
        <v>4.0265482985043875E-3</v>
      </c>
      <c r="AB37" s="174">
        <f>MAX(AB61*AB$14,'Output - Jobs vs Yr (BAU)'!AB12)</f>
        <v>4.2198749849613445E-3</v>
      </c>
      <c r="AC37" s="174">
        <f>MAX(AC61*AC$14,'Output - Jobs vs Yr (BAU)'!AC12)</f>
        <v>4.4355779190021144E-3</v>
      </c>
      <c r="AD37" s="174">
        <f>MAX(AD61*AD$14,'Output - Jobs vs Yr (BAU)'!AD12)</f>
        <v>4.6592652530851111E-3</v>
      </c>
      <c r="AE37" s="174">
        <f>MAX(AE61*AE$14,'Output - Jobs vs Yr (BAU)'!AE12)</f>
        <v>4.9160489207237734E-3</v>
      </c>
      <c r="AF37" s="174">
        <f>MAX(AF61*AF$14,'Output - Jobs vs Yr (BAU)'!AF12)</f>
        <v>5.1937103926319754E-3</v>
      </c>
      <c r="AG37" s="174">
        <f>MAX(AG61*AG$14,'Output - Jobs vs Yr (BAU)'!AG12)</f>
        <v>5.4714189616485659E-3</v>
      </c>
      <c r="AH37" s="184">
        <f>Inputs!I20*'Output -Jobs vs Yr'!$AH$14</f>
        <v>5.7497114863621903E-3</v>
      </c>
      <c r="AI37" s="127"/>
    </row>
    <row r="38" spans="1:36" s="20" customFormat="1">
      <c r="A38" s="9" t="s">
        <v>347</v>
      </c>
      <c r="B38" s="35">
        <v>1</v>
      </c>
      <c r="C38" s="330">
        <f>'Output - Jobs vs Yr (BAU)'!C13</f>
        <v>0</v>
      </c>
      <c r="D38" s="330">
        <f>MAX(D62*D$14,'Output - Jobs vs Yr (BAU)'!D13)</f>
        <v>0</v>
      </c>
      <c r="E38" s="330">
        <f>MAX(E62*E$14,'Output - Jobs vs Yr (BAU)'!E13)</f>
        <v>0.2</v>
      </c>
      <c r="F38" s="330">
        <f>MAX(F62*F$14,'Output - Jobs vs Yr (BAU)'!F13)</f>
        <v>0.2</v>
      </c>
      <c r="G38" s="330">
        <f>MAX(G62*G$14,'Output - Jobs vs Yr (BAU)'!G13)</f>
        <v>0.2</v>
      </c>
      <c r="H38" s="286">
        <f>'Output - Jobs vs Yr (BAU)'!H13</f>
        <v>0.2</v>
      </c>
      <c r="I38" s="118">
        <f>MAX(I62*I$14,'Output - Jobs vs Yr (BAU)'!I13)</f>
        <v>0.20809650627172555</v>
      </c>
      <c r="J38" s="118">
        <f>MAX(J62*J$14,'Output - Jobs vs Yr (BAU)'!J13)</f>
        <v>0.21951506016845893</v>
      </c>
      <c r="K38" s="118">
        <f>MAX(K62*K$14,'Output - Jobs vs Yr (BAU)'!K13)</f>
        <v>0.22191239655713962</v>
      </c>
      <c r="L38" s="118">
        <f>MAX(L62*L$14,'Output - Jobs vs Yr (BAU)'!L13)</f>
        <v>0.2256935203017929</v>
      </c>
      <c r="M38" s="118">
        <f>MAX(M62*M$14,'Output - Jobs vs Yr (BAU)'!M13)</f>
        <v>0.23093190322002807</v>
      </c>
      <c r="N38" s="184">
        <f>MAX(Inputs!$E21*N$21,'Output - Jobs vs Yr (BAU)'!N13)</f>
        <v>0.23695991590754095</v>
      </c>
      <c r="O38" s="174">
        <f>MAX(O62*O$14,'Output - Jobs vs Yr (BAU)'!O13)</f>
        <v>0.25716792756261675</v>
      </c>
      <c r="P38" s="174">
        <f>MAX(P62*P$14,'Output - Jobs vs Yr (BAU)'!P13)</f>
        <v>0.27956023811418779</v>
      </c>
      <c r="Q38" s="174">
        <f>MAX(Q62*Q$14,'Output - Jobs vs Yr (BAU)'!Q13)</f>
        <v>0.30700683647311894</v>
      </c>
      <c r="R38" s="174">
        <f>MAX(R62*R$14,'Output - Jobs vs Yr (BAU)'!R13)</f>
        <v>0.33454788882291719</v>
      </c>
      <c r="S38" s="174">
        <f>MAX(S62*S$14,'Output - Jobs vs Yr (BAU)'!S13)</f>
        <v>0.36401132450613721</v>
      </c>
      <c r="T38" s="174">
        <f>MAX(T62*T$14,'Output - Jobs vs Yr (BAU)'!T13)</f>
        <v>0.39396395026055314</v>
      </c>
      <c r="U38" s="174">
        <f>MAX(U62*U$14,'Output - Jobs vs Yr (BAU)'!U13)</f>
        <v>0.42610129588369156</v>
      </c>
      <c r="V38" s="174">
        <f>MAX(V62*V$14,'Output - Jobs vs Yr (BAU)'!V13)</f>
        <v>0.46133658295388652</v>
      </c>
      <c r="W38" s="174">
        <f>MAX(W62*W$14,'Output - Jobs vs Yr (BAU)'!W13)</f>
        <v>0.49965555467170136</v>
      </c>
      <c r="X38" s="184">
        <f>Inputs!F21*'Output -Jobs vs Yr'!$X$14</f>
        <v>0.54042276759765562</v>
      </c>
      <c r="Y38" s="174">
        <f>MAX(Y62*Y$14,'Output - Jobs vs Yr (BAU)'!Y13)</f>
        <v>0.56512032212416619</v>
      </c>
      <c r="Z38" s="174">
        <f>MAX(Z62*Z$14,'Output - Jobs vs Yr (BAU)'!Z13)</f>
        <v>0.59214749186285431</v>
      </c>
      <c r="AA38" s="174">
        <f>MAX(AA62*AA$14,'Output - Jobs vs Yr (BAU)'!AA13)</f>
        <v>0.61953425838021192</v>
      </c>
      <c r="AB38" s="174">
        <f>MAX(AB62*AB$14,'Output - Jobs vs Yr (BAU)'!AB13)</f>
        <v>0.6492799602667888</v>
      </c>
      <c r="AC38" s="174">
        <f>MAX(AC62*AC$14,'Output - Jobs vs Yr (BAU)'!AC13)</f>
        <v>0.68246852460638008</v>
      </c>
      <c r="AD38" s="174">
        <f>MAX(AD62*AD$14,'Output - Jobs vs Yr (BAU)'!AD13)</f>
        <v>0.71688558764810018</v>
      </c>
      <c r="AE38" s="174">
        <f>MAX(AE62*AE$14,'Output - Jobs vs Yr (BAU)'!AE13)</f>
        <v>0.75639493096176669</v>
      </c>
      <c r="AF38" s="174">
        <f>MAX(AF62*AF$14,'Output - Jobs vs Yr (BAU)'!AF13)</f>
        <v>0.79911658269094143</v>
      </c>
      <c r="AG38" s="174">
        <f>MAX(AG62*AG$14,'Output - Jobs vs Yr (BAU)'!AG13)</f>
        <v>0.8418454808927659</v>
      </c>
      <c r="AH38" s="184">
        <f>Inputs!I21*'Output -Jobs vs Yr'!$AH$14</f>
        <v>0.8846642279012773</v>
      </c>
      <c r="AI38" s="127"/>
    </row>
    <row r="39" spans="1:36" s="20" customFormat="1">
      <c r="A39" s="9" t="s">
        <v>348</v>
      </c>
      <c r="B39" s="35">
        <v>1</v>
      </c>
      <c r="C39" s="330">
        <f>'Output - Jobs vs Yr (BAU)'!C14</f>
        <v>0</v>
      </c>
      <c r="D39" s="330">
        <f>MAX(D63*D$14,'Output - Jobs vs Yr (BAU)'!D14)</f>
        <v>0</v>
      </c>
      <c r="E39" s="330">
        <f>MAX(E63*E$14,'Output - Jobs vs Yr (BAU)'!E14)</f>
        <v>0.1</v>
      </c>
      <c r="F39" s="330">
        <f>MAX(F63*F$14,'Output - Jobs vs Yr (BAU)'!F14)</f>
        <v>0.1</v>
      </c>
      <c r="G39" s="330">
        <f>MAX(G63*G$14,'Output - Jobs vs Yr (BAU)'!G14)</f>
        <v>0.1</v>
      </c>
      <c r="H39" s="286">
        <f>'Output - Jobs vs Yr (BAU)'!H14</f>
        <v>0.1</v>
      </c>
      <c r="I39" s="118">
        <f>MAX(I63*I$14,'Output - Jobs vs Yr (BAU)'!I14)</f>
        <v>0.10404825313586277</v>
      </c>
      <c r="J39" s="118">
        <f>MAX(J63*J$14,'Output - Jobs vs Yr (BAU)'!J14)</f>
        <v>0.10975753008422946</v>
      </c>
      <c r="K39" s="118">
        <f>MAX(K63*K$14,'Output - Jobs vs Yr (BAU)'!K14)</f>
        <v>0.11095619827856981</v>
      </c>
      <c r="L39" s="118">
        <f>MAX(L63*L$14,'Output - Jobs vs Yr (BAU)'!L14)</f>
        <v>0.11284676015089645</v>
      </c>
      <c r="M39" s="118">
        <f>MAX(M63*M$14,'Output - Jobs vs Yr (BAU)'!M14)</f>
        <v>0.11546595161001404</v>
      </c>
      <c r="N39" s="184">
        <f>MAX(Inputs!$E22*N$21,'Output - Jobs vs Yr (BAU)'!N14)</f>
        <v>0.11847995795377048</v>
      </c>
      <c r="O39" s="174">
        <f>MAX(O63*O$14,'Output - Jobs vs Yr (BAU)'!O14)</f>
        <v>0.12858396378130837</v>
      </c>
      <c r="P39" s="174">
        <f>MAX(P63*P$14,'Output - Jobs vs Yr (BAU)'!P14)</f>
        <v>0.13978011905709389</v>
      </c>
      <c r="Q39" s="174">
        <f>MAX(Q63*Q$14,'Output - Jobs vs Yr (BAU)'!Q14)</f>
        <v>0.15350341823655947</v>
      </c>
      <c r="R39" s="174">
        <f>MAX(R63*R$14,'Output - Jobs vs Yr (BAU)'!R14)</f>
        <v>0.1672739444114586</v>
      </c>
      <c r="S39" s="174">
        <f>MAX(S63*S$14,'Output - Jobs vs Yr (BAU)'!S14)</f>
        <v>0.18200566225306861</v>
      </c>
      <c r="T39" s="174">
        <f>MAX(T63*T$14,'Output - Jobs vs Yr (BAU)'!T14)</f>
        <v>0.19698197513027657</v>
      </c>
      <c r="U39" s="174">
        <f>MAX(U63*U$14,'Output - Jobs vs Yr (BAU)'!U14)</f>
        <v>0.21305064794184578</v>
      </c>
      <c r="V39" s="174">
        <f>MAX(V63*V$14,'Output - Jobs vs Yr (BAU)'!V14)</f>
        <v>0.23066829147694326</v>
      </c>
      <c r="W39" s="174">
        <f>MAX(W63*W$14,'Output - Jobs vs Yr (BAU)'!W14)</f>
        <v>0.24982777733585068</v>
      </c>
      <c r="X39" s="184">
        <f>Inputs!F22*'Output -Jobs vs Yr'!$X$14</f>
        <v>0.27021138379882781</v>
      </c>
      <c r="Y39" s="174">
        <f>MAX(Y63*Y$14,'Output - Jobs vs Yr (BAU)'!Y14)</f>
        <v>0.28256016106208309</v>
      </c>
      <c r="Z39" s="174">
        <f>MAX(Z63*Z$14,'Output - Jobs vs Yr (BAU)'!Z14)</f>
        <v>0.29607374593142716</v>
      </c>
      <c r="AA39" s="174">
        <f>MAX(AA63*AA$14,'Output - Jobs vs Yr (BAU)'!AA14)</f>
        <v>0.30976712919010596</v>
      </c>
      <c r="AB39" s="174">
        <f>MAX(AB63*AB$14,'Output - Jobs vs Yr (BAU)'!AB14)</f>
        <v>0.3246399801333944</v>
      </c>
      <c r="AC39" s="174">
        <f>MAX(AC63*AC$14,'Output - Jobs vs Yr (BAU)'!AC14)</f>
        <v>0.34123426230319004</v>
      </c>
      <c r="AD39" s="174">
        <f>MAX(AD63*AD$14,'Output - Jobs vs Yr (BAU)'!AD14)</f>
        <v>0.35844279382405009</v>
      </c>
      <c r="AE39" s="174">
        <f>MAX(AE63*AE$14,'Output - Jobs vs Yr (BAU)'!AE14)</f>
        <v>0.37819746548088334</v>
      </c>
      <c r="AF39" s="174">
        <f>MAX(AF63*AF$14,'Output - Jobs vs Yr (BAU)'!AF14)</f>
        <v>0.39955829134547072</v>
      </c>
      <c r="AG39" s="174">
        <f>MAX(AG63*AG$14,'Output - Jobs vs Yr (BAU)'!AG14)</f>
        <v>0.42092274044638295</v>
      </c>
      <c r="AH39" s="184">
        <f>Inputs!I22*'Output -Jobs vs Yr'!$AH$14</f>
        <v>0.44233211395063865</v>
      </c>
      <c r="AI39" s="127"/>
    </row>
    <row r="40" spans="1:36" s="20" customFormat="1">
      <c r="A40" s="9" t="s">
        <v>344</v>
      </c>
      <c r="B40" s="35">
        <v>1</v>
      </c>
      <c r="C40" s="330">
        <f>'Output - Jobs vs Yr (BAU)'!C15</f>
        <v>0.01</v>
      </c>
      <c r="D40" s="330">
        <f>MAX(D64*D$14,'Output - Jobs vs Yr (BAU)'!D15)</f>
        <v>1.1306231168801854E-2</v>
      </c>
      <c r="E40" s="330">
        <f>MAX(E64*E$14,'Output - Jobs vs Yr (BAU)'!E15)</f>
        <v>1.0388146214270248E-2</v>
      </c>
      <c r="F40" s="330">
        <f>MAX(F64*F$14,'Output - Jobs vs Yr (BAU)'!F15)</f>
        <v>1.089911975502951E-2</v>
      </c>
      <c r="G40" s="330">
        <f>MAX(G64*G$14,'Output - Jobs vs Yr (BAU)'!G15)</f>
        <v>1.0583773252884917E-2</v>
      </c>
      <c r="H40" s="286">
        <f>'Output - Jobs vs Yr (BAU)'!H15</f>
        <v>0.01</v>
      </c>
      <c r="I40" s="118">
        <f>MAX(I64*I$14,'Output - Jobs vs Yr (BAU)'!I15)</f>
        <v>1.0404825313586278E-2</v>
      </c>
      <c r="J40" s="118">
        <f>MAX(J64*J$14,'Output - Jobs vs Yr (BAU)'!J15)</f>
        <v>1.0975753008422946E-2</v>
      </c>
      <c r="K40" s="118">
        <f>MAX(K64*K$14,'Output - Jobs vs Yr (BAU)'!K15)</f>
        <v>1.1095619827856982E-2</v>
      </c>
      <c r="L40" s="118">
        <f>MAX(L64*L$14,'Output - Jobs vs Yr (BAU)'!L15)</f>
        <v>1.1284676015089647E-2</v>
      </c>
      <c r="M40" s="118">
        <f>MAX(M64*M$14,'Output - Jobs vs Yr (BAU)'!M15)</f>
        <v>1.1546595161001403E-2</v>
      </c>
      <c r="N40" s="184">
        <f>MAX(Inputs!$E18*N$21,'Output - Jobs vs Yr (BAU)'!N15)</f>
        <v>1.1847995795377047E-2</v>
      </c>
      <c r="O40" s="174">
        <f>MAX(O64*O$14,'Output - Jobs vs Yr (BAU)'!O15)</f>
        <v>1.285839637813084E-2</v>
      </c>
      <c r="P40" s="174">
        <f>MAX(P64*P$14,'Output - Jobs vs Yr (BAU)'!P15)</f>
        <v>1.397801190570939E-2</v>
      </c>
      <c r="Q40" s="174">
        <f>MAX(Q64*Q$14,'Output - Jobs vs Yr (BAU)'!Q15)</f>
        <v>1.5350341823655952E-2</v>
      </c>
      <c r="R40" s="174">
        <f>MAX(R64*R$14,'Output - Jobs vs Yr (BAU)'!R15)</f>
        <v>1.6727394441145862E-2</v>
      </c>
      <c r="S40" s="174">
        <f>MAX(S64*S$14,'Output - Jobs vs Yr (BAU)'!S15)</f>
        <v>1.8200566225306865E-2</v>
      </c>
      <c r="T40" s="174">
        <f>MAX(T64*T$14,'Output - Jobs vs Yr (BAU)'!T15)</f>
        <v>1.9698197513027666E-2</v>
      </c>
      <c r="U40" s="174">
        <f>MAX(U64*U$14,'Output - Jobs vs Yr (BAU)'!U15)</f>
        <v>2.1305064794184588E-2</v>
      </c>
      <c r="V40" s="174">
        <f>MAX(V64*V$14,'Output - Jobs vs Yr (BAU)'!V15)</f>
        <v>2.3066829147694336E-2</v>
      </c>
      <c r="W40" s="174">
        <f>MAX(W64*W$14,'Output - Jobs vs Yr (BAU)'!W15)</f>
        <v>2.4982777733585083E-2</v>
      </c>
      <c r="X40" s="184">
        <f>Inputs!F18*'Output -Jobs vs Yr'!$X$14</f>
        <v>2.7021138379882778E-2</v>
      </c>
      <c r="Y40" s="174">
        <f>MAX(Y64*Y$14,'Output - Jobs vs Yr (BAU)'!Y15)</f>
        <v>2.8256016106208304E-2</v>
      </c>
      <c r="Z40" s="174">
        <f>MAX(Z64*Z$14,'Output - Jobs vs Yr (BAU)'!Z15)</f>
        <v>2.9607374593142714E-2</v>
      </c>
      <c r="AA40" s="174">
        <f>MAX(AA64*AA$14,'Output - Jobs vs Yr (BAU)'!AA15)</f>
        <v>3.0976712919010586E-2</v>
      </c>
      <c r="AB40" s="174">
        <f>MAX(AB64*AB$14,'Output - Jobs vs Yr (BAU)'!AB15)</f>
        <v>3.2463998013339428E-2</v>
      </c>
      <c r="AC40" s="174">
        <f>MAX(AC64*AC$14,'Output - Jobs vs Yr (BAU)'!AC15)</f>
        <v>3.4123426230318991E-2</v>
      </c>
      <c r="AD40" s="174">
        <f>MAX(AD64*AD$14,'Output - Jobs vs Yr (BAU)'!AD15)</f>
        <v>3.5844279382404996E-2</v>
      </c>
      <c r="AE40" s="174">
        <f>MAX(AE64*AE$14,'Output - Jobs vs Yr (BAU)'!AE15)</f>
        <v>3.7819746548088319E-2</v>
      </c>
      <c r="AF40" s="174">
        <f>MAX(AF64*AF$14,'Output - Jobs vs Yr (BAU)'!AF15)</f>
        <v>3.9955829134547059E-2</v>
      </c>
      <c r="AG40" s="174">
        <f>MAX(AG64*AG$14,'Output - Jobs vs Yr (BAU)'!AG15)</f>
        <v>4.2092274044638278E-2</v>
      </c>
      <c r="AH40" s="184">
        <f>Inputs!I18*'Output -Jobs vs Yr'!$AH$14</f>
        <v>4.4233211395063865E-2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0</v>
      </c>
      <c r="D42" s="330">
        <f>MAX(D66*D$14,'Output - Jobs vs Yr (BAU)'!D16)</f>
        <v>0</v>
      </c>
      <c r="E42" s="330">
        <f>MAX(E66*E$14,'Output - Jobs vs Yr (BAU)'!E16)</f>
        <v>3.8983921000000005E-2</v>
      </c>
      <c r="F42" s="330">
        <f>MAX(F66*F$14,'Output - Jobs vs Yr (BAU)'!F16)</f>
        <v>4.3605923000000005E-2</v>
      </c>
      <c r="G42" s="330">
        <f>MAX(G66*G$14,'Output - Jobs vs Yr (BAU)'!G16)</f>
        <v>4.6780897999999994E-2</v>
      </c>
      <c r="H42" s="286">
        <f>'Output - Jobs vs Yr (BAU)'!H16</f>
        <v>4.7040753000000005E-2</v>
      </c>
      <c r="I42" s="118">
        <f>MAX(I66*I$14,'Output - Jobs vs Yr (BAU)'!I16)</f>
        <v>5.9372953999999999E-2</v>
      </c>
      <c r="J42" s="118">
        <f>MAX(J66*J$14,'Output - Jobs vs Yr (BAU)'!J16)</f>
        <v>6.7380640000000006E-2</v>
      </c>
      <c r="K42" s="118">
        <f>MAX(K66*K$14,'Output - Jobs vs Yr (BAU)'!K16)</f>
        <v>6.7380969999999984E-2</v>
      </c>
      <c r="L42" s="118">
        <f>MAX(L66*L$14,'Output - Jobs vs Yr (BAU)'!L16)</f>
        <v>6.7457985889151209E-2</v>
      </c>
      <c r="M42" s="118">
        <f>MAX(M66*M$14,'Output - Jobs vs Yr (BAU)'!M16)</f>
        <v>7.3285105429160974E-2</v>
      </c>
      <c r="N42" s="184">
        <f>MAX(Inputs!$E23*N$21,'Output - Jobs vs Yr (BAU)'!N16)</f>
        <v>7.984066981810127E-2</v>
      </c>
      <c r="O42" s="174">
        <f>MAX(O66*O$14,'Output - Jobs vs Yr (BAU)'!O16)</f>
        <v>8.6649505734732735E-2</v>
      </c>
      <c r="P42" s="174">
        <f>MAX(P66*P$14,'Output - Jobs vs Yr (BAU)'!P16)</f>
        <v>9.4194313751587141E-2</v>
      </c>
      <c r="Q42" s="174">
        <f>MAX(Q66*Q$14,'Output - Jobs vs Yr (BAU)'!Q16)</f>
        <v>0.1034421006138196</v>
      </c>
      <c r="R42" s="174">
        <f>MAX(R66*R$14,'Output - Jobs vs Yr (BAU)'!R16)</f>
        <v>0.11272171256287711</v>
      </c>
      <c r="S42" s="174">
        <f>MAX(S66*S$14,'Output - Jobs vs Yr (BAU)'!S16)</f>
        <v>0.12264904745022025</v>
      </c>
      <c r="T42" s="174">
        <f>MAX(T66*T$14,'Output - Jobs vs Yr (BAU)'!T16)</f>
        <v>0.1327412087927175</v>
      </c>
      <c r="U42" s="174">
        <f>MAX(U66*U$14,'Output - Jobs vs Yr (BAU)'!U16)</f>
        <v>0.14356948407674638</v>
      </c>
      <c r="V42" s="174">
        <f>MAX(V66*V$14,'Output - Jobs vs Yr (BAU)'!V16)</f>
        <v>0.15544157185219584</v>
      </c>
      <c r="W42" s="174">
        <f>MAX(W66*W$14,'Output - Jobs vs Yr (BAU)'!W16)</f>
        <v>0.16835266846941851</v>
      </c>
      <c r="X42" s="184">
        <f>Inputs!F23*'Output -Jobs vs Yr'!$X$14</f>
        <v>0.18208866923629669</v>
      </c>
      <c r="Y42" s="174">
        <f>MAX(Y66*Y$14,'Output - Jobs vs Yr (BAU)'!Y16)</f>
        <v>0.1904102002796951</v>
      </c>
      <c r="Z42" s="174">
        <f>MAX(Z66*Z$14,'Output - Jobs vs Yr (BAU)'!Z16)</f>
        <v>0.19951666593216588</v>
      </c>
      <c r="AA42" s="174">
        <f>MAX(AA66*AA$14,'Output - Jobs vs Yr (BAU)'!AA16)</f>
        <v>0.20874429320626967</v>
      </c>
      <c r="AB42" s="174">
        <f>MAX(AB66*AB$14,'Output - Jobs vs Yr (BAU)'!AB16)</f>
        <v>0.21876673414839312</v>
      </c>
      <c r="AC42" s="174">
        <f>MAX(AC66*AC$14,'Output - Jobs vs Yr (BAU)'!AC16)</f>
        <v>0.22994920438613592</v>
      </c>
      <c r="AD42" s="174">
        <f>MAX(AD66*AD$14,'Output - Jobs vs Yr (BAU)'!AD16)</f>
        <v>0.24154560184390234</v>
      </c>
      <c r="AE42" s="174">
        <f>MAX(AE66*AE$14,'Output - Jobs vs Yr (BAU)'!AE16)</f>
        <v>0.25485777923118363</v>
      </c>
      <c r="AF42" s="174">
        <f>MAX(AF66*AF$14,'Output - Jobs vs Yr (BAU)'!AF16)</f>
        <v>0.26925230362459984</v>
      </c>
      <c r="AG42" s="174">
        <f>MAX(AG66*AG$14,'Output - Jobs vs Yr (BAU)'!AG16)</f>
        <v>0.28364926962603215</v>
      </c>
      <c r="AH42" s="184">
        <f>Inputs!I23*'Output -Jobs vs Yr'!$AH$14</f>
        <v>0.29807650905527516</v>
      </c>
      <c r="AI42" s="127"/>
    </row>
    <row r="43" spans="1:36">
      <c r="A43" s="10" t="s">
        <v>332</v>
      </c>
      <c r="B43" s="37"/>
      <c r="C43" s="330">
        <f>SUM(C31:C42)</f>
        <v>12416</v>
      </c>
      <c r="D43" s="330">
        <f t="shared" ref="D43:AG43" si="29">SUM(D31:D42)</f>
        <v>13925.435265675022</v>
      </c>
      <c r="E43" s="330">
        <f t="shared" si="29"/>
        <v>12698.245518986096</v>
      </c>
      <c r="F43" s="330">
        <f t="shared" si="29"/>
        <v>13228.226728007316</v>
      </c>
      <c r="G43" s="330">
        <f t="shared" si="29"/>
        <v>12760.589570986645</v>
      </c>
      <c r="H43" s="286">
        <f t="shared" si="29"/>
        <v>11606.666883961292</v>
      </c>
      <c r="I43" s="83">
        <f t="shared" si="29"/>
        <v>12139.875138755469</v>
      </c>
      <c r="J43" s="83">
        <f t="shared" si="29"/>
        <v>12877.287612917013</v>
      </c>
      <c r="K43" s="83">
        <f t="shared" si="29"/>
        <v>13094.962117099698</v>
      </c>
      <c r="L43" s="83">
        <f t="shared" si="29"/>
        <v>13401.688105311758</v>
      </c>
      <c r="M43" s="83">
        <f t="shared" si="29"/>
        <v>13803.96752598409</v>
      </c>
      <c r="N43" s="184">
        <f t="shared" si="29"/>
        <v>14264.072539311886</v>
      </c>
      <c r="O43" s="83">
        <f t="shared" si="29"/>
        <v>14499.162137084071</v>
      </c>
      <c r="P43" s="83">
        <f t="shared" si="29"/>
        <v>14776.635210364462</v>
      </c>
      <c r="Q43" s="83">
        <f t="shared" si="29"/>
        <v>15228.620508563348</v>
      </c>
      <c r="R43" s="83">
        <f t="shared" si="29"/>
        <v>15590.171054128848</v>
      </c>
      <c r="S43" s="83">
        <f t="shared" si="29"/>
        <v>15954.321002771021</v>
      </c>
      <c r="T43" s="83">
        <f t="shared" si="29"/>
        <v>16259.511129756547</v>
      </c>
      <c r="U43" s="83">
        <f t="shared" si="29"/>
        <v>16580.247096824816</v>
      </c>
      <c r="V43" s="83">
        <f t="shared" si="29"/>
        <v>16946.729741659205</v>
      </c>
      <c r="W43" s="83">
        <f t="shared" si="29"/>
        <v>17350.604665171544</v>
      </c>
      <c r="X43" s="184">
        <f t="shared" si="29"/>
        <v>17764.880624085556</v>
      </c>
      <c r="Y43" s="174">
        <f t="shared" si="29"/>
        <v>18000.930202918778</v>
      </c>
      <c r="Z43" s="174">
        <f t="shared" si="29"/>
        <v>18286.405706959249</v>
      </c>
      <c r="AA43" s="174">
        <f t="shared" si="29"/>
        <v>18558.065635571718</v>
      </c>
      <c r="AB43" s="174">
        <f t="shared" si="29"/>
        <v>18875.349510898399</v>
      </c>
      <c r="AC43" s="174">
        <f t="shared" si="29"/>
        <v>19265.075847533426</v>
      </c>
      <c r="AD43" s="174">
        <f t="shared" si="29"/>
        <v>19660.632795007259</v>
      </c>
      <c r="AE43" s="174">
        <f t="shared" si="29"/>
        <v>20164.648739290198</v>
      </c>
      <c r="AF43" s="174">
        <f t="shared" si="29"/>
        <v>20719.811201069529</v>
      </c>
      <c r="AG43" s="174">
        <f t="shared" si="29"/>
        <v>21241.517529333323</v>
      </c>
      <c r="AH43" s="184">
        <f>SUM(AH31:AH42)</f>
        <v>21734.775327150055</v>
      </c>
      <c r="AI43" s="127"/>
    </row>
    <row r="44" spans="1:36">
      <c r="A44" s="10" t="s">
        <v>124</v>
      </c>
      <c r="B44" s="37"/>
      <c r="C44" s="331">
        <f>SUMPRODUCT($B34:$B42,C34:C42)</f>
        <v>1417.01</v>
      </c>
      <c r="D44" s="331">
        <f>SUMPRODUCT($B34:$B42,D34:D42)</f>
        <v>1685.5943533584152</v>
      </c>
      <c r="E44" s="331">
        <f t="shared" ref="E44:AG44" si="30">SUMPRODUCT($B34:$B42*E34:E42)</f>
        <v>1629.8098864610899</v>
      </c>
      <c r="F44" s="331">
        <f t="shared" si="30"/>
        <v>1799.0515224234014</v>
      </c>
      <c r="G44" s="331">
        <f t="shared" si="30"/>
        <v>1838.0383808875436</v>
      </c>
      <c r="H44" s="402">
        <f t="shared" si="30"/>
        <v>1697.2789897972273</v>
      </c>
      <c r="I44" s="14">
        <f>SUMPRODUCT($B34:$B42*I34:I42)</f>
        <v>1858.9157523916831</v>
      </c>
      <c r="J44" s="14">
        <f t="shared" si="30"/>
        <v>2063.8696678081601</v>
      </c>
      <c r="K44" s="14">
        <f t="shared" si="30"/>
        <v>2195.9245070256788</v>
      </c>
      <c r="L44" s="14">
        <f t="shared" si="30"/>
        <v>2350.4226339734614</v>
      </c>
      <c r="M44" s="14">
        <f t="shared" si="30"/>
        <v>2530.9053026718625</v>
      </c>
      <c r="N44" s="182">
        <f t="shared" si="30"/>
        <v>2732.808550234668</v>
      </c>
      <c r="O44" s="14">
        <f t="shared" si="30"/>
        <v>2966.2663089306152</v>
      </c>
      <c r="P44" s="14">
        <f t="shared" si="30"/>
        <v>3224.8505983544783</v>
      </c>
      <c r="Q44" s="14">
        <f t="shared" si="30"/>
        <v>3541.5756111487231</v>
      </c>
      <c r="R44" s="14">
        <f t="shared" si="30"/>
        <v>3859.3871515732758</v>
      </c>
      <c r="S44" s="14">
        <f t="shared" si="30"/>
        <v>4199.3123431906934</v>
      </c>
      <c r="T44" s="14">
        <f t="shared" si="30"/>
        <v>4544.8648092509156</v>
      </c>
      <c r="U44" s="14">
        <f t="shared" si="30"/>
        <v>4915.5486485867559</v>
      </c>
      <c r="V44" s="14">
        <f t="shared" si="30"/>
        <v>5321.8688749974781</v>
      </c>
      <c r="W44" s="14">
        <f t="shared" si="30"/>
        <v>5763.6614889912098</v>
      </c>
      <c r="X44" s="187">
        <f t="shared" si="30"/>
        <v>6233.6168274382544</v>
      </c>
      <c r="Y44" s="14">
        <f t="shared" si="30"/>
        <v>6518.7189087561646</v>
      </c>
      <c r="Z44" s="14">
        <f t="shared" si="30"/>
        <v>6830.6191303409232</v>
      </c>
      <c r="AA44" s="14">
        <f t="shared" si="30"/>
        <v>7146.6558826556966</v>
      </c>
      <c r="AB44" s="14">
        <f t="shared" si="30"/>
        <v>7489.8280522592677</v>
      </c>
      <c r="AC44" s="14">
        <f t="shared" si="30"/>
        <v>7872.6043206226041</v>
      </c>
      <c r="AD44" s="14">
        <f t="shared" si="30"/>
        <v>8269.5123135579652</v>
      </c>
      <c r="AE44" s="14">
        <f t="shared" si="30"/>
        <v>8724.9980665853709</v>
      </c>
      <c r="AF44" s="14">
        <f t="shared" si="30"/>
        <v>9217.4357982267393</v>
      </c>
      <c r="AG44" s="14">
        <f t="shared" si="30"/>
        <v>9709.956887836197</v>
      </c>
      <c r="AH44" s="187">
        <f>SUMPRODUCT($B34:$B42*AH34:AH42)</f>
        <v>10203.511530502752</v>
      </c>
      <c r="AI44" s="127"/>
    </row>
    <row r="45" spans="1:36">
      <c r="A45" s="10" t="s">
        <v>117</v>
      </c>
      <c r="B45" s="37"/>
      <c r="C45" s="332">
        <f t="shared" ref="C45:AG45" si="31">C44/C14</f>
        <v>2.9110462846929763E-2</v>
      </c>
      <c r="D45" s="332">
        <f t="shared" si="31"/>
        <v>3.0936851488637521E-2</v>
      </c>
      <c r="E45" s="332">
        <f t="shared" si="31"/>
        <v>3.2885504584400052E-2</v>
      </c>
      <c r="F45" s="332">
        <f t="shared" si="31"/>
        <v>3.4948014122588786E-2</v>
      </c>
      <c r="G45" s="332">
        <f t="shared" si="31"/>
        <v>3.7140614492455572E-2</v>
      </c>
      <c r="H45" s="284">
        <f t="shared" si="31"/>
        <v>3.4728379667481324E-2</v>
      </c>
      <c r="I45" s="23">
        <f t="shared" si="31"/>
        <v>3.6925034524553729E-2</v>
      </c>
      <c r="J45" s="23">
        <f t="shared" si="31"/>
        <v>3.9256235358945422E-2</v>
      </c>
      <c r="K45" s="23">
        <f t="shared" si="31"/>
        <v>4.1734119329969142E-2</v>
      </c>
      <c r="L45" s="23">
        <f t="shared" si="31"/>
        <v>4.4365664603950875E-2</v>
      </c>
      <c r="M45" s="23">
        <f t="shared" si="31"/>
        <v>4.7160325368943067E-2</v>
      </c>
      <c r="N45" s="178">
        <f t="shared" si="31"/>
        <v>5.0128402268005891E-2</v>
      </c>
      <c r="O45" s="23">
        <f t="shared" si="31"/>
        <v>5.3733592258577823E-2</v>
      </c>
      <c r="P45" s="23">
        <f t="shared" si="31"/>
        <v>5.75956572630658E-2</v>
      </c>
      <c r="Q45" s="207">
        <f t="shared" si="31"/>
        <v>6.1731525927687957E-2</v>
      </c>
      <c r="R45" s="207">
        <f t="shared" si="31"/>
        <v>6.6163975669058114E-2</v>
      </c>
      <c r="S45" s="207">
        <f t="shared" si="31"/>
        <v>7.0913320784851755E-2</v>
      </c>
      <c r="T45" s="207">
        <f t="shared" si="31"/>
        <v>7.600322575675407E-2</v>
      </c>
      <c r="U45" s="207">
        <f t="shared" si="31"/>
        <v>8.1457238425480819E-2</v>
      </c>
      <c r="V45" s="207">
        <f t="shared" si="31"/>
        <v>8.7301119662945598E-2</v>
      </c>
      <c r="W45" s="207">
        <f t="shared" si="31"/>
        <v>9.3563031357694115E-2</v>
      </c>
      <c r="X45" s="185">
        <f t="shared" si="31"/>
        <v>0.10027346063738349</v>
      </c>
      <c r="Y45" s="172">
        <f t="shared" si="31"/>
        <v>0.10442632459027328</v>
      </c>
      <c r="Z45" s="172">
        <f t="shared" si="31"/>
        <v>0.10874967441532445</v>
      </c>
      <c r="AA45" s="172">
        <f t="shared" si="31"/>
        <v>0.11325162955439773</v>
      </c>
      <c r="AB45" s="172">
        <f t="shared" si="31"/>
        <v>0.11793857875620012</v>
      </c>
      <c r="AC45" s="172">
        <f t="shared" si="31"/>
        <v>0.12281770131822331</v>
      </c>
      <c r="AD45" s="172">
        <f t="shared" si="31"/>
        <v>0.12789817333563078</v>
      </c>
      <c r="AE45" s="172">
        <f t="shared" si="31"/>
        <v>0.13318648230765229</v>
      </c>
      <c r="AF45" s="172">
        <f t="shared" si="31"/>
        <v>0.13869235520947604</v>
      </c>
      <c r="AG45" s="172">
        <f t="shared" si="31"/>
        <v>0.14442640046225039</v>
      </c>
      <c r="AH45" s="185">
        <f>AH44/AH14</f>
        <v>0.15039797527746723</v>
      </c>
      <c r="AI45" s="127"/>
    </row>
    <row r="46" spans="1:36" s="252" customFormat="1">
      <c r="A46" s="10" t="s">
        <v>333</v>
      </c>
      <c r="B46" s="37"/>
      <c r="C46" s="330">
        <f>SUM(EIA_electricity_aeo2014!E50,EIA_electricity_aeo2014!E55)*1000</f>
        <v>29</v>
      </c>
      <c r="D46" s="330">
        <f>SUM(EIA_electricity_aeo2014!F50,EIA_electricity_aeo2014!F55)*1000</f>
        <v>90</v>
      </c>
      <c r="E46" s="330">
        <f>SUM(EIA_electricity_aeo2014!G50,EIA_electricity_aeo2014!G55)*1000</f>
        <v>184.0315551912887</v>
      </c>
      <c r="F46" s="330">
        <f>SUM(EIA_electricity_aeo2014!H50,EIA_electricity_aeo2014!H55)*1000</f>
        <v>119.70657503937689</v>
      </c>
      <c r="G46" s="330">
        <f>SUM(EIA_electricity_aeo2014!I50,EIA_electricity_aeo2014!I55)*1000</f>
        <v>83.412850253575215</v>
      </c>
      <c r="H46" s="286">
        <f>SUM(EIA_electricity_aeo2014!J50,EIA_electricity_aeo2014!J55)*1000</f>
        <v>84.730765653119647</v>
      </c>
      <c r="I46" s="286">
        <f>SUM(EIA_electricity_aeo2014!K50,EIA_electricity_aeo2014!K55)*1000</f>
        <v>81.877753065753851</v>
      </c>
      <c r="J46" s="286">
        <f>SUM(EIA_electricity_aeo2014!L50,EIA_electricity_aeo2014!L55)*1000</f>
        <v>77.83021143144461</v>
      </c>
      <c r="K46" s="286">
        <f>SUM(EIA_electricity_aeo2014!M50,EIA_electricity_aeo2014!M55)*1000</f>
        <v>43.397121237382819</v>
      </c>
      <c r="L46" s="286">
        <f>SUM(EIA_electricity_aeo2014!N50,EIA_electricity_aeo2014!N55)*1000</f>
        <v>44.296335783317382</v>
      </c>
      <c r="M46" s="286">
        <f>SUM(EIA_electricity_aeo2014!O50,EIA_electricity_aeo2014!O55)*1000</f>
        <v>44.781004434609848</v>
      </c>
      <c r="N46" s="286">
        <f>SUM(EIA_electricity_aeo2014!P50,EIA_electricity_aeo2014!P55)*1000</f>
        <v>44.71540813107071</v>
      </c>
      <c r="O46" s="286">
        <f>SUM(EIA_electricity_aeo2014!Q50,EIA_electricity_aeo2014!Q55)*1000</f>
        <v>45.228375167011528</v>
      </c>
      <c r="P46" s="286">
        <f>SUM(EIA_electricity_aeo2014!R50,EIA_electricity_aeo2014!R55)*1000</f>
        <v>45.607877854260487</v>
      </c>
      <c r="Q46" s="286">
        <f>SUM(EIA_electricity_aeo2014!S50,EIA_electricity_aeo2014!S55)*1000</f>
        <v>45.86160442271094</v>
      </c>
      <c r="R46" s="286">
        <f>SUM(EIA_electricity_aeo2014!T50,EIA_electricity_aeo2014!T55)*1000</f>
        <v>46.562700430734395</v>
      </c>
      <c r="S46" s="286">
        <f>SUM(EIA_electricity_aeo2014!U50,EIA_electricity_aeo2014!U55)*1000</f>
        <v>47.356378834721042</v>
      </c>
      <c r="T46" s="286">
        <f>SUM(EIA_electricity_aeo2014!V50,EIA_electricity_aeo2014!V55)*1000</f>
        <v>46.807249241357923</v>
      </c>
      <c r="U46" s="286">
        <f>SUM(EIA_electricity_aeo2014!W50,EIA_electricity_aeo2014!W55)*1000</f>
        <v>46.669341006333518</v>
      </c>
      <c r="V46" s="286">
        <f>SUM(EIA_electricity_aeo2014!X50,EIA_electricity_aeo2014!X55)*1000</f>
        <v>46.702446760960036</v>
      </c>
      <c r="W46" s="286">
        <f>SUM(EIA_electricity_aeo2014!Y50,EIA_electricity_aeo2014!Y55)*1000</f>
        <v>46.661068949803372</v>
      </c>
      <c r="X46" s="286">
        <f>SUM(EIA_electricity_aeo2014!Z50,EIA_electricity_aeo2014!Z55)*1000</f>
        <v>46.730133284858532</v>
      </c>
      <c r="Y46" s="286">
        <f>SUM(EIA_electricity_aeo2014!AA50,EIA_electricity_aeo2014!AA55)*1000</f>
        <v>46.726535488555889</v>
      </c>
      <c r="Z46" s="286">
        <f>SUM(EIA_electricity_aeo2014!AB50,EIA_electricity_aeo2014!AB55)*1000</f>
        <v>46.719112477362536</v>
      </c>
      <c r="AA46" s="286">
        <f>SUM(EIA_electricity_aeo2014!AC50,EIA_electricity_aeo2014!AC55)*1000</f>
        <v>46.667186181901975</v>
      </c>
      <c r="AB46" s="286">
        <f>SUM(EIA_electricity_aeo2014!AD50,EIA_electricity_aeo2014!AD55)*1000</f>
        <v>46.627019120816364</v>
      </c>
      <c r="AC46" s="286">
        <f>SUM(EIA_electricity_aeo2014!AE50,EIA_electricity_aeo2014!AE55)*1000</f>
        <v>46.58319329618314</v>
      </c>
      <c r="AD46" s="286">
        <f>SUM(EIA_electricity_aeo2014!AF50,EIA_electricity_aeo2014!AF55)*1000</f>
        <v>46.541297532972479</v>
      </c>
      <c r="AE46" s="286">
        <f>SUM(EIA_electricity_aeo2014!AG50,EIA_electricity_aeo2014!AG55)*1000</f>
        <v>46.509091710728477</v>
      </c>
      <c r="AF46" s="286">
        <f>SUM(EIA_electricity_aeo2014!AH50,EIA_electricity_aeo2014!AH55)*1000</f>
        <v>46.46149774332541</v>
      </c>
      <c r="AG46" s="286">
        <f>SUM(EIA_electricity_aeo2014!AI50,EIA_electricity_aeo2014!AI55)*1000</f>
        <v>46.457883762773214</v>
      </c>
      <c r="AH46" s="286">
        <f>SUM(EIA_electricity_aeo2014!AJ50,EIA_electricity_aeo2014!AJ55)*1000</f>
        <v>46.46395082770298</v>
      </c>
      <c r="AI46" s="292"/>
    </row>
    <row r="47" spans="1:36" s="252" customFormat="1">
      <c r="A47" s="10" t="s">
        <v>142</v>
      </c>
      <c r="B47" s="37"/>
      <c r="C47" s="330">
        <f>(C$14-C$43-C$46)*0.7</f>
        <v>25362.399999999998</v>
      </c>
      <c r="D47" s="330">
        <f>(D$14-D$30-D$43-D$46)*EIA_electricity_aeo2014!F60</f>
        <v>12753.415135130301</v>
      </c>
      <c r="E47" s="330">
        <f>(E$14-E$30-E$43-E$46)*EIA_electricity_aeo2014!G60</f>
        <v>14838.830934423424</v>
      </c>
      <c r="F47" s="330">
        <f>(F$14-F$30-F$43-F$46)*EIA_electricity_aeo2014!H60</f>
        <v>12579.450395841883</v>
      </c>
      <c r="G47" s="330">
        <f>(G$14-G$30-G$43-G$46)*EIA_electricity_aeo2014!I60</f>
        <v>13593.563865047645</v>
      </c>
      <c r="H47" s="286">
        <f>(H$14-H$30-H$43-H$46)*EIA_electricity_aeo2014!J60</f>
        <v>14473.171845811345</v>
      </c>
      <c r="I47" s="286">
        <f>(I$14-I$30-I$43-I$46)*EIA_electricity_aeo2014!K60</f>
        <v>13681.931103190274</v>
      </c>
      <c r="J47" s="286">
        <f>(J$14-J$30-J$43-J$46)*EIA_electricity_aeo2014!L60</f>
        <v>13081.211768842262</v>
      </c>
      <c r="K47" s="286">
        <f>(K$14-K$30-K$43-K$46)*EIA_electricity_aeo2014!M60</f>
        <v>13897.479216466478</v>
      </c>
      <c r="L47" s="286">
        <f>(L$14-L$30-L$43-L$46)*EIA_electricity_aeo2014!N60</f>
        <v>14188.508422545352</v>
      </c>
      <c r="M47" s="286">
        <f>(M$14-M$30-M$43-M$46)*EIA_electricity_aeo2014!O60</f>
        <v>14224.335773176708</v>
      </c>
      <c r="N47" s="287">
        <f>(N$14-N$43-N$46)*EIA_electricity_aeo2014!P60 - N30</f>
        <v>14065.248710115002</v>
      </c>
      <c r="O47" s="286">
        <f>(O$14-O$43-O$46)*EIA_electricity_aeo2014!Q60 - O30</f>
        <v>14161.092692920225</v>
      </c>
      <c r="P47" s="286">
        <f>(P$14-P$43-P$46)*EIA_electricity_aeo2014!R60 - P30</f>
        <v>14216.911747370306</v>
      </c>
      <c r="Q47" s="286">
        <f>(Q$14-Q$43-Q$46)*EIA_electricity_aeo2014!S60 - Q30</f>
        <v>14185.455270149376</v>
      </c>
      <c r="R47" s="286">
        <f>(R$14-R$43-R$46)*EIA_electricity_aeo2014!T60 - R30</f>
        <v>14295.358640636934</v>
      </c>
      <c r="S47" s="286">
        <f>(S$14-S$43-S$46)*EIA_electricity_aeo2014!U60 - S30</f>
        <v>14448.830475288376</v>
      </c>
      <c r="T47" s="286">
        <f>(T$14-T$43-T$46)*EIA_electricity_aeo2014!V60 - T30</f>
        <v>14379.235199171406</v>
      </c>
      <c r="U47" s="286">
        <f>(U$14-U$43-U$46)*EIA_electricity_aeo2014!W60 - U30</f>
        <v>14307.031300531995</v>
      </c>
      <c r="V47" s="286">
        <f>(V$14-V$43-V$46)*EIA_electricity_aeo2014!X60 - V30</f>
        <v>14215.704710019932</v>
      </c>
      <c r="W47" s="286">
        <f>(W$14-W$43-W$46)*EIA_electricity_aeo2014!Y60 - W30</f>
        <v>14178.02980219768</v>
      </c>
      <c r="X47" s="287">
        <f>(X$14-X$43-X$46)*EIA_electricity_aeo2014!Z60 - X30</f>
        <v>14085.218400089247</v>
      </c>
      <c r="Y47" s="286">
        <f>(Y$14-Y$43-Y$46)*EIA_electricity_aeo2014!AA60 - Y30</f>
        <v>14024.928030602288</v>
      </c>
      <c r="Z47" s="286">
        <f>(Z$14-Z$43-Z$46)*EIA_electricity_aeo2014!AB60 - Z30</f>
        <v>13949.085224482251</v>
      </c>
      <c r="AA47" s="286">
        <f>(AA$14-AA$43-AA$46)*EIA_electricity_aeo2014!AC60 - AA30</f>
        <v>13871.9153467161</v>
      </c>
      <c r="AB47" s="286">
        <f>(AB$14-AB$43-AB$46)*EIA_electricity_aeo2014!AD60 - AB30</f>
        <v>13788.394739297672</v>
      </c>
      <c r="AC47" s="286">
        <f>(AC$14-AC$43-AC$46)*EIA_electricity_aeo2014!AE60 - AC30</f>
        <v>13684.049356523734</v>
      </c>
      <c r="AD47" s="286">
        <f>(AD$14-AD$43-AD$46)*EIA_electricity_aeo2014!AF60 - AD30</f>
        <v>13585.50808588385</v>
      </c>
      <c r="AE47" s="286">
        <f>(AE$14-AE$43-AE$46)*EIA_electricity_aeo2014!AG60 - AE30</f>
        <v>13466.00069731747</v>
      </c>
      <c r="AF47" s="286">
        <f>(AF$14-AF$43-AF$46)*EIA_electricity_aeo2014!AH60 - AF30</f>
        <v>13340.83264386414</v>
      </c>
      <c r="AG47" s="286">
        <f>(AG$14-AG$43-AG$46)*EIA_electricity_aeo2014!AI60 - AG30</f>
        <v>13236.443201625036</v>
      </c>
      <c r="AH47" s="287">
        <f>(AH$14-AH$43-AH$46)*EIA_electricity_aeo2014!AJ60 - AH30</f>
        <v>13135.585088186448</v>
      </c>
      <c r="AI47" s="292"/>
      <c r="AJ47" s="398"/>
    </row>
    <row r="48" spans="1:36" s="252" customFormat="1">
      <c r="A48" s="10" t="s">
        <v>222</v>
      </c>
      <c r="B48" s="37"/>
      <c r="C48" s="330">
        <f>(C$14-C$43-C$46)* 0.3</f>
        <v>10869.6</v>
      </c>
      <c r="D48" s="330">
        <f t="shared" ref="D48:AH48" si="32">(D$14-SUM(D30:D42,D46:D47))</f>
        <v>27716.149599194679</v>
      </c>
      <c r="E48" s="330">
        <f t="shared" si="32"/>
        <v>21839.022117370419</v>
      </c>
      <c r="F48" s="330">
        <f>(F$14-SUM(F30:F42,F46:F47))</f>
        <v>25550.549099031909</v>
      </c>
      <c r="G48" s="330">
        <f t="shared" si="32"/>
        <v>23051.070506754615</v>
      </c>
      <c r="H48" s="286">
        <f t="shared" si="32"/>
        <v>22708.398551122969</v>
      </c>
      <c r="I48" s="286">
        <f t="shared" si="32"/>
        <v>24439.281863438155</v>
      </c>
      <c r="J48" s="286">
        <f t="shared" si="32"/>
        <v>26537.985007709001</v>
      </c>
      <c r="K48" s="286">
        <f t="shared" si="32"/>
        <v>25581.169937387247</v>
      </c>
      <c r="L48" s="286">
        <f t="shared" si="32"/>
        <v>25343.923101848122</v>
      </c>
      <c r="M48" s="286">
        <f t="shared" si="32"/>
        <v>25592.900459490287</v>
      </c>
      <c r="N48" s="287">
        <f t="shared" si="32"/>
        <v>26142.134347135405</v>
      </c>
      <c r="O48" s="286">
        <f t="shared" si="32"/>
        <v>26497.71807451034</v>
      </c>
      <c r="P48" s="286">
        <f t="shared" si="32"/>
        <v>26952.056161884371</v>
      </c>
      <c r="Q48" s="286">
        <f t="shared" si="32"/>
        <v>27910.677678240329</v>
      </c>
      <c r="R48" s="286">
        <f t="shared" si="32"/>
        <v>28398.549204657276</v>
      </c>
      <c r="S48" s="286">
        <f t="shared" si="32"/>
        <v>28767.031199431323</v>
      </c>
      <c r="T48" s="286">
        <f t="shared" si="32"/>
        <v>29112.761085429476</v>
      </c>
      <c r="U48" s="286">
        <f t="shared" si="32"/>
        <v>29411.194616095956</v>
      </c>
      <c r="V48" s="286">
        <f t="shared" si="32"/>
        <v>29750.778570505616</v>
      </c>
      <c r="W48" s="286">
        <f t="shared" si="32"/>
        <v>30026.615019107172</v>
      </c>
      <c r="X48" s="287">
        <f t="shared" si="32"/>
        <v>30269.339116922871</v>
      </c>
      <c r="Y48" s="286">
        <f t="shared" si="32"/>
        <v>30351.511208063068</v>
      </c>
      <c r="Z48" s="286">
        <f t="shared" si="32"/>
        <v>30528.26885695762</v>
      </c>
      <c r="AA48" s="286">
        <f t="shared" si="32"/>
        <v>30627.573031481938</v>
      </c>
      <c r="AB48" s="286">
        <f t="shared" si="32"/>
        <v>30795.803989434244</v>
      </c>
      <c r="AC48" s="286">
        <f t="shared" si="32"/>
        <v>31104.207462694525</v>
      </c>
      <c r="AD48" s="286">
        <f t="shared" si="32"/>
        <v>31364.318761355455</v>
      </c>
      <c r="AE48" s="286">
        <f t="shared" si="32"/>
        <v>31832.47815110963</v>
      </c>
      <c r="AF48" s="286">
        <f t="shared" si="32"/>
        <v>32352.475535483522</v>
      </c>
      <c r="AG48" s="286">
        <f t="shared" si="32"/>
        <v>32706.758349868163</v>
      </c>
      <c r="AH48" s="287">
        <f t="shared" si="32"/>
        <v>32926.585837187464</v>
      </c>
      <c r="AI48" s="292"/>
    </row>
    <row r="49" spans="1:35" s="252" customFormat="1">
      <c r="A49" s="10" t="s">
        <v>334</v>
      </c>
      <c r="B49" s="37"/>
      <c r="C49" s="330">
        <f>SUM(C43,C46:C48)</f>
        <v>48676.999999999993</v>
      </c>
      <c r="D49" s="330">
        <f t="shared" ref="D49:M49" si="33">SUM(D43,D46:D48)+D30</f>
        <v>54485</v>
      </c>
      <c r="E49" s="330">
        <f t="shared" si="33"/>
        <v>49560.130125971227</v>
      </c>
      <c r="F49" s="330">
        <f t="shared" si="33"/>
        <v>51477.932797920483</v>
      </c>
      <c r="G49" s="330">
        <f t="shared" si="33"/>
        <v>49488.636793042482</v>
      </c>
      <c r="H49" s="286">
        <f>SUM(H43,H46:H48)+H30</f>
        <v>48872.968046548725</v>
      </c>
      <c r="I49" s="286">
        <f t="shared" si="33"/>
        <v>50342.96585844965</v>
      </c>
      <c r="J49" s="286">
        <f t="shared" si="33"/>
        <v>52574.314600899721</v>
      </c>
      <c r="K49" s="286">
        <f t="shared" si="33"/>
        <v>52617.008392190808</v>
      </c>
      <c r="L49" s="286">
        <f t="shared" si="33"/>
        <v>52978.415965488552</v>
      </c>
      <c r="M49" s="286">
        <f t="shared" si="33"/>
        <v>53665.984763085697</v>
      </c>
      <c r="N49" s="287">
        <f t="shared" ref="N49:AH49" si="34">SUM(N43,N46:N48)+N30</f>
        <v>54516.171004693366</v>
      </c>
      <c r="O49" s="286">
        <f t="shared" si="34"/>
        <v>55203.201279681649</v>
      </c>
      <c r="P49" s="286">
        <f t="shared" si="34"/>
        <v>55991.210997473398</v>
      </c>
      <c r="Q49" s="286">
        <f t="shared" si="34"/>
        <v>57370.615061375764</v>
      </c>
      <c r="R49" s="286">
        <f t="shared" si="34"/>
        <v>58330.641599853792</v>
      </c>
      <c r="S49" s="286">
        <f t="shared" si="34"/>
        <v>59217.53905632544</v>
      </c>
      <c r="T49" s="286">
        <f t="shared" si="34"/>
        <v>59798.314663598787</v>
      </c>
      <c r="U49" s="286">
        <f t="shared" si="34"/>
        <v>60345.142354459102</v>
      </c>
      <c r="V49" s="286">
        <f t="shared" si="34"/>
        <v>60959.915468945714</v>
      </c>
      <c r="W49" s="286">
        <f t="shared" si="34"/>
        <v>61601.910555426199</v>
      </c>
      <c r="X49" s="287">
        <f t="shared" si="34"/>
        <v>62166.168274382529</v>
      </c>
      <c r="Y49" s="286">
        <f t="shared" si="34"/>
        <v>62424.095977072691</v>
      </c>
      <c r="Z49" s="286">
        <f t="shared" si="34"/>
        <v>62810.478900876486</v>
      </c>
      <c r="AA49" s="286">
        <f t="shared" si="34"/>
        <v>63104.221199951658</v>
      </c>
      <c r="AB49" s="286">
        <f t="shared" si="34"/>
        <v>63506.175258751129</v>
      </c>
      <c r="AC49" s="286">
        <f t="shared" si="34"/>
        <v>64099.91586004787</v>
      </c>
      <c r="AD49" s="286">
        <f t="shared" si="34"/>
        <v>64657.000939779537</v>
      </c>
      <c r="AE49" s="286">
        <f t="shared" si="34"/>
        <v>65509.636679428026</v>
      </c>
      <c r="AF49" s="286">
        <f t="shared" si="34"/>
        <v>66459.580878160516</v>
      </c>
      <c r="AG49" s="286">
        <f t="shared" si="34"/>
        <v>67231.176964589293</v>
      </c>
      <c r="AH49" s="287">
        <f t="shared" si="34"/>
        <v>67843.410203351668</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0.18954301900368753</v>
      </c>
      <c r="E51" s="332">
        <f t="shared" ref="E51:X51" si="36">E44/D44-1</f>
        <v>-3.3094834938298789E-2</v>
      </c>
      <c r="F51" s="332">
        <f t="shared" si="36"/>
        <v>0.10384133595470857</v>
      </c>
      <c r="G51" s="332">
        <f>G44/F44-1</f>
        <v>2.1670784843129454E-2</v>
      </c>
      <c r="H51" s="284"/>
      <c r="I51" s="164">
        <f t="shared" ref="I51:N51" si="37">I44/H44-1</f>
        <v>9.5232877780315084E-2</v>
      </c>
      <c r="J51" s="172">
        <f t="shared" si="37"/>
        <v>0.11025454765918408</v>
      </c>
      <c r="K51" s="172">
        <f t="shared" si="37"/>
        <v>6.3984098064565176E-2</v>
      </c>
      <c r="L51" s="172">
        <f t="shared" si="37"/>
        <v>7.0356757007574044E-2</v>
      </c>
      <c r="M51" s="172">
        <f t="shared" si="37"/>
        <v>7.6787325857771149E-2</v>
      </c>
      <c r="N51" s="172">
        <f t="shared" si="37"/>
        <v>7.9775109463660066E-2</v>
      </c>
      <c r="O51" s="172">
        <f t="shared" ref="O51:R51" si="38">O44/N44-1</f>
        <v>8.5427776737561745E-2</v>
      </c>
      <c r="P51" s="172">
        <f t="shared" si="38"/>
        <v>8.7175008071708415E-2</v>
      </c>
      <c r="Q51" s="172">
        <f t="shared" si="38"/>
        <v>9.8213856156889268E-2</v>
      </c>
      <c r="R51" s="172">
        <f t="shared" si="38"/>
        <v>8.973733030691089E-2</v>
      </c>
      <c r="S51" s="164">
        <f t="shared" si="36"/>
        <v>8.8077505123798527E-2</v>
      </c>
      <c r="T51" s="164">
        <f t="shared" si="36"/>
        <v>8.2287869493810284E-2</v>
      </c>
      <c r="U51" s="164">
        <f t="shared" si="36"/>
        <v>8.1561026541719261E-2</v>
      </c>
      <c r="V51" s="164">
        <f t="shared" si="36"/>
        <v>8.2660198374303828E-2</v>
      </c>
      <c r="W51" s="164">
        <f t="shared" si="36"/>
        <v>8.3014562059073871E-2</v>
      </c>
      <c r="X51" s="185">
        <f t="shared" si="36"/>
        <v>8.1537637028940013E-2</v>
      </c>
      <c r="Y51" s="172">
        <f t="shared" ref="Y51:AH51" si="39">Y44/X44-1</f>
        <v>4.5736221716899284E-2</v>
      </c>
      <c r="Z51" s="172">
        <f t="shared" si="39"/>
        <v>4.7846858554646987E-2</v>
      </c>
      <c r="AA51" s="172">
        <f t="shared" si="39"/>
        <v>4.6267658360714226E-2</v>
      </c>
      <c r="AB51" s="172">
        <f t="shared" si="39"/>
        <v>4.8018566339036894E-2</v>
      </c>
      <c r="AC51" s="172">
        <f t="shared" si="39"/>
        <v>5.1106148992015044E-2</v>
      </c>
      <c r="AD51" s="172">
        <f t="shared" si="39"/>
        <v>5.0416352298520151E-2</v>
      </c>
      <c r="AE51" s="172">
        <f t="shared" si="39"/>
        <v>5.5080122715414737E-2</v>
      </c>
      <c r="AF51" s="172">
        <f t="shared" si="39"/>
        <v>5.6439867136164334E-2</v>
      </c>
      <c r="AG51" s="172">
        <f t="shared" si="39"/>
        <v>5.343363386422606E-2</v>
      </c>
      <c r="AH51" s="185">
        <f t="shared" si="39"/>
        <v>5.0829746039844803E-2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-2.0543583211783802E-7</v>
      </c>
      <c r="D56" s="336">
        <f t="shared" si="40"/>
        <v>-2.0343546660139791E-7</v>
      </c>
      <c r="E56" s="336">
        <f t="shared" si="40"/>
        <v>-2.0143510108495785E-7</v>
      </c>
      <c r="F56" s="336">
        <f t="shared" si="40"/>
        <v>-1.9943473556851774E-7</v>
      </c>
      <c r="G56" s="336">
        <f t="shared" si="40"/>
        <v>-1.9743437005207766E-7</v>
      </c>
      <c r="H56" s="396">
        <f t="shared" si="40"/>
        <v>-2.046120872068905E-7</v>
      </c>
      <c r="I56" s="173">
        <f t="shared" si="40"/>
        <v>-2.0108204124524157E-7</v>
      </c>
      <c r="J56" s="173">
        <f t="shared" si="40"/>
        <v>-1.9755199528359267E-7</v>
      </c>
      <c r="K56" s="173">
        <f t="shared" si="40"/>
        <v>-1.9402194932194379E-7</v>
      </c>
      <c r="L56" s="173">
        <f t="shared" si="40"/>
        <v>-1.9049190336029489E-7</v>
      </c>
      <c r="M56" s="173">
        <f t="shared" si="40"/>
        <v>-1.8696185739864599E-7</v>
      </c>
      <c r="N56" s="178">
        <f>N26</f>
        <v>-1.8343181143699706E-7</v>
      </c>
      <c r="O56" s="116">
        <f t="shared" ref="O56:AH56" si="41">O31/O$49</f>
        <v>-1.8117454987094666E-7</v>
      </c>
      <c r="P56" s="116">
        <f t="shared" si="41"/>
        <v>-1.7891728830489626E-7</v>
      </c>
      <c r="Q56" s="116">
        <f t="shared" si="41"/>
        <v>-1.7666002673884586E-7</v>
      </c>
      <c r="R56" s="116">
        <f t="shared" si="41"/>
        <v>-1.7440276517279546E-7</v>
      </c>
      <c r="S56" s="116">
        <f t="shared" si="41"/>
        <v>-1.7214550360674506E-7</v>
      </c>
      <c r="T56" s="116">
        <f t="shared" si="41"/>
        <v>-1.6988824204069466E-7</v>
      </c>
      <c r="U56" s="116">
        <f t="shared" si="41"/>
        <v>-1.6763098047464426E-7</v>
      </c>
      <c r="V56" s="116">
        <f t="shared" si="41"/>
        <v>-1.6537371890859386E-7</v>
      </c>
      <c r="W56" s="116">
        <f t="shared" si="41"/>
        <v>-1.6311645734254347E-7</v>
      </c>
      <c r="X56" s="178">
        <f t="shared" si="41"/>
        <v>-1.6085919577649301E-7</v>
      </c>
      <c r="Y56" s="173">
        <f t="shared" si="41"/>
        <v>-1.5951310104424818E-7</v>
      </c>
      <c r="Z56" s="173">
        <f t="shared" si="41"/>
        <v>-1.5816700631200335E-7</v>
      </c>
      <c r="AA56" s="173">
        <f t="shared" si="41"/>
        <v>-1.5682091157975852E-7</v>
      </c>
      <c r="AB56" s="173">
        <f t="shared" si="41"/>
        <v>-1.5547481684751369E-7</v>
      </c>
      <c r="AC56" s="173">
        <f t="shared" si="41"/>
        <v>-1.5412872211526886E-7</v>
      </c>
      <c r="AD56" s="173">
        <f t="shared" si="41"/>
        <v>-1.5278262738302403E-7</v>
      </c>
      <c r="AE56" s="173">
        <f t="shared" si="41"/>
        <v>-1.514365326507792E-7</v>
      </c>
      <c r="AF56" s="173">
        <f t="shared" si="41"/>
        <v>-1.5009043791853437E-7</v>
      </c>
      <c r="AG56" s="173">
        <f t="shared" si="41"/>
        <v>-1.4874434318628954E-7</v>
      </c>
      <c r="AH56" s="178">
        <f t="shared" si="41"/>
        <v>-1.4739824845404482E-7</v>
      </c>
      <c r="AI56" s="127"/>
    </row>
    <row r="57" spans="1:35">
      <c r="A57" s="9" t="s">
        <v>59</v>
      </c>
      <c r="B57" s="37"/>
      <c r="C57" s="336">
        <f t="shared" ref="C57:M57" si="42">C32/C$49</f>
        <v>0.22595887174641005</v>
      </c>
      <c r="D57" s="336">
        <f t="shared" si="42"/>
        <v>0.22464626955121603</v>
      </c>
      <c r="E57" s="336">
        <f t="shared" si="42"/>
        <v>0.22333366735602203</v>
      </c>
      <c r="F57" s="336">
        <f t="shared" si="42"/>
        <v>0.22202106516082801</v>
      </c>
      <c r="G57" s="336">
        <f t="shared" si="42"/>
        <v>0.22070846296563404</v>
      </c>
      <c r="H57" s="396">
        <f t="shared" si="42"/>
        <v>0.20275825860884744</v>
      </c>
      <c r="I57" s="116">
        <f t="shared" si="42"/>
        <v>0.20421859010725224</v>
      </c>
      <c r="J57" s="116">
        <f t="shared" si="42"/>
        <v>0.20567892160565698</v>
      </c>
      <c r="K57" s="116">
        <f t="shared" si="42"/>
        <v>0.20713925310406175</v>
      </c>
      <c r="L57" s="116">
        <f t="shared" si="42"/>
        <v>0.20859958460246655</v>
      </c>
      <c r="M57" s="116">
        <f t="shared" si="42"/>
        <v>0.2100599161008713</v>
      </c>
      <c r="N57" s="178">
        <f>N18</f>
        <v>0.21152024759927612</v>
      </c>
      <c r="O57" s="116">
        <f t="shared" ref="O57:AH57" si="43">O32/O$49</f>
        <v>0.20891733744096205</v>
      </c>
      <c r="P57" s="116">
        <f t="shared" si="43"/>
        <v>0.20631442728264798</v>
      </c>
      <c r="Q57" s="116">
        <f t="shared" si="43"/>
        <v>0.20371151712433389</v>
      </c>
      <c r="R57" s="116">
        <f t="shared" si="43"/>
        <v>0.20110860696601984</v>
      </c>
      <c r="S57" s="116">
        <f t="shared" si="43"/>
        <v>0.1985056968077058</v>
      </c>
      <c r="T57" s="116">
        <f t="shared" si="43"/>
        <v>0.1959027866493917</v>
      </c>
      <c r="U57" s="116">
        <f t="shared" si="43"/>
        <v>0.19329987649107763</v>
      </c>
      <c r="V57" s="116">
        <f t="shared" si="43"/>
        <v>0.19069696633276356</v>
      </c>
      <c r="W57" s="116">
        <f>W32/W$49</f>
        <v>0.18809405617444949</v>
      </c>
      <c r="X57" s="178">
        <f t="shared" si="43"/>
        <v>0.18549114601613539</v>
      </c>
      <c r="Y57" s="173">
        <f t="shared" si="43"/>
        <v>0.18393892729885852</v>
      </c>
      <c r="Z57" s="173">
        <f t="shared" si="43"/>
        <v>0.18238670858158168</v>
      </c>
      <c r="AA57" s="173">
        <f t="shared" si="43"/>
        <v>0.18083448986430486</v>
      </c>
      <c r="AB57" s="173">
        <f t="shared" si="43"/>
        <v>0.17928227114702799</v>
      </c>
      <c r="AC57" s="173">
        <f t="shared" si="43"/>
        <v>0.17773005242975115</v>
      </c>
      <c r="AD57" s="173">
        <f t="shared" si="43"/>
        <v>0.17617783371247431</v>
      </c>
      <c r="AE57" s="173">
        <f t="shared" si="43"/>
        <v>0.17462561499519746</v>
      </c>
      <c r="AF57" s="173">
        <f t="shared" si="43"/>
        <v>0.17307339627792062</v>
      </c>
      <c r="AG57" s="173">
        <f t="shared" si="43"/>
        <v>0.17152117756064378</v>
      </c>
      <c r="AH57" s="178">
        <f t="shared" si="43"/>
        <v>0.16996895884336682</v>
      </c>
      <c r="AI57" s="127"/>
    </row>
    <row r="58" spans="1:35">
      <c r="A58" s="9" t="s">
        <v>121</v>
      </c>
      <c r="B58" s="37"/>
      <c r="C58" s="336">
        <f>C34/C$49</f>
        <v>2.9110257411097649E-2</v>
      </c>
      <c r="D58" s="336">
        <f t="shared" ref="D58:G59" si="44">C58*($N71)</f>
        <v>3.0936643977741513E-2</v>
      </c>
      <c r="E58" s="336">
        <f t="shared" si="44"/>
        <v>3.2877618603285377E-2</v>
      </c>
      <c r="F58" s="336">
        <f t="shared" si="44"/>
        <v>3.494037057803738E-2</v>
      </c>
      <c r="G58" s="336">
        <f t="shared" si="44"/>
        <v>3.7132540250606402E-2</v>
      </c>
      <c r="H58" s="396">
        <f>H34/H$49</f>
        <v>3.4699747372698916E-2</v>
      </c>
      <c r="I58" s="116">
        <f t="shared" ref="I58:N59" si="45">H58*($N71)</f>
        <v>3.6876820270833874E-2</v>
      </c>
      <c r="J58" s="116">
        <f t="shared" si="45"/>
        <v>3.9190483396928898E-2</v>
      </c>
      <c r="K58" s="116">
        <f t="shared" si="45"/>
        <v>4.1649306464193944E-2</v>
      </c>
      <c r="L58" s="116">
        <f t="shared" si="45"/>
        <v>4.426239685230017E-2</v>
      </c>
      <c r="M58" s="116">
        <f t="shared" si="45"/>
        <v>4.7039433340740219E-2</v>
      </c>
      <c r="N58" s="178">
        <f t="shared" si="45"/>
        <v>4.9990701958630049E-2</v>
      </c>
      <c r="O58" s="116">
        <f t="shared" ref="O58:W58" si="46">N58*$X71</f>
        <v>5.3578707732820779E-2</v>
      </c>
      <c r="P58" s="116">
        <f t="shared" si="46"/>
        <v>5.7424237105025394E-2</v>
      </c>
      <c r="Q58" s="116">
        <f t="shared" si="46"/>
        <v>6.154577343555815E-2</v>
      </c>
      <c r="R58" s="116">
        <f t="shared" si="46"/>
        <v>6.596312669950237E-2</v>
      </c>
      <c r="S58" s="116">
        <f t="shared" si="46"/>
        <v>7.0697528702445861E-2</v>
      </c>
      <c r="T58" s="116">
        <f t="shared" si="46"/>
        <v>7.5771735130179374E-2</v>
      </c>
      <c r="U58" s="116">
        <f t="shared" si="46"/>
        <v>8.1210134922855226E-2</v>
      </c>
      <c r="V58" s="116">
        <f t="shared" si="46"/>
        <v>8.7038867499308087E-2</v>
      </c>
      <c r="W58" s="116">
        <f t="shared" si="46"/>
        <v>9.3285948394971063E-2</v>
      </c>
      <c r="X58" s="178">
        <f t="shared" ref="X58:X66" si="47">X34/X$49</f>
        <v>9.9981403917260167E-2</v>
      </c>
      <c r="Y58" s="173">
        <f>X58*$AH71</f>
        <v>0.1041186088153582</v>
      </c>
      <c r="Z58" s="173">
        <f t="shared" ref="Z58:AG58" si="48">Y58*$AH71</f>
        <v>0.10842701019298367</v>
      </c>
      <c r="AA58" s="173">
        <f t="shared" si="48"/>
        <v>0.11291369211663184</v>
      </c>
      <c r="AB58" s="173">
        <f t="shared" si="48"/>
        <v>0.11758603178965593</v>
      </c>
      <c r="AC58" s="173">
        <f t="shared" si="48"/>
        <v>0.12245171168219535</v>
      </c>
      <c r="AD58" s="173">
        <f t="shared" si="48"/>
        <v>0.12751873216303708</v>
      </c>
      <c r="AE58" s="173">
        <f t="shared" si="48"/>
        <v>0.13279542465418034</v>
      </c>
      <c r="AF58" s="173">
        <f t="shared" si="48"/>
        <v>0.13829046532973377</v>
      </c>
      <c r="AG58" s="173">
        <f t="shared" si="48"/>
        <v>0.14401288938166948</v>
      </c>
      <c r="AH58" s="178">
        <f t="shared" ref="AH58:AH66" si="49">AH34/AH$49</f>
        <v>0.14997210587589024</v>
      </c>
      <c r="AI58" s="127"/>
    </row>
    <row r="59" spans="1:35">
      <c r="A59" s="9" t="s">
        <v>50</v>
      </c>
      <c r="B59" s="37"/>
      <c r="C59" s="336">
        <f t="shared" ref="C59:C65" si="50">C35/C$49</f>
        <v>0</v>
      </c>
      <c r="D59" s="336">
        <f t="shared" si="44"/>
        <v>0</v>
      </c>
      <c r="E59" s="336">
        <f t="shared" si="44"/>
        <v>0</v>
      </c>
      <c r="F59" s="336">
        <f t="shared" si="44"/>
        <v>0</v>
      </c>
      <c r="G59" s="336">
        <f t="shared" si="44"/>
        <v>0</v>
      </c>
      <c r="H59" s="396">
        <f>H35/H$49</f>
        <v>8.4076538917921754E-7</v>
      </c>
      <c r="I59" s="116">
        <f t="shared" si="45"/>
        <v>8.7496975757079959E-7</v>
      </c>
      <c r="J59" s="116">
        <f t="shared" si="45"/>
        <v>9.1056564234985944E-7</v>
      </c>
      <c r="K59" s="116">
        <f t="shared" si="45"/>
        <v>9.4760965376671518E-7</v>
      </c>
      <c r="L59" s="116">
        <f t="shared" si="45"/>
        <v>9.861607051135103E-7</v>
      </c>
      <c r="M59" s="116">
        <f t="shared" si="45"/>
        <v>1.0262801064175223E-6</v>
      </c>
      <c r="N59" s="178">
        <f t="shared" si="45"/>
        <v>1.0680316619461413E-6</v>
      </c>
      <c r="O59" s="116">
        <f t="shared" ref="O59:V59" si="51">N59*$X72</f>
        <v>1.1446879924224076E-6</v>
      </c>
      <c r="P59" s="116">
        <f t="shared" si="51"/>
        <v>1.2268462131622819E-6</v>
      </c>
      <c r="Q59" s="116">
        <f t="shared" si="51"/>
        <v>1.314901213880478E-6</v>
      </c>
      <c r="R59" s="116">
        <f t="shared" si="51"/>
        <v>1.4092762268938548E-6</v>
      </c>
      <c r="S59" s="116">
        <f t="shared" si="51"/>
        <v>1.5104248613681093E-6</v>
      </c>
      <c r="T59" s="116">
        <f t="shared" si="51"/>
        <v>1.618833283569399E-6</v>
      </c>
      <c r="U59" s="116">
        <f t="shared" si="51"/>
        <v>1.7350225536001716E-6</v>
      </c>
      <c r="V59" s="116">
        <f t="shared" si="51"/>
        <v>1.8595511298506172E-6</v>
      </c>
      <c r="W59" s="116">
        <f>V59*$X72</f>
        <v>1.9930175532032721E-6</v>
      </c>
      <c r="X59" s="178">
        <f t="shared" si="47"/>
        <v>2.1360633238922825E-6</v>
      </c>
      <c r="Y59" s="173">
        <f>X59*$AH72</f>
        <v>2.2244530773865227E-6</v>
      </c>
      <c r="Z59" s="173">
        <f t="shared" ref="Z59:AG59" si="52">Y59*$AH72</f>
        <v>2.316500376251907E-6</v>
      </c>
      <c r="AA59" s="173">
        <f t="shared" si="52"/>
        <v>2.4123565687795337E-6</v>
      </c>
      <c r="AB59" s="173">
        <f t="shared" si="52"/>
        <v>2.5121792660140411E-6</v>
      </c>
      <c r="AC59" s="173">
        <f t="shared" si="52"/>
        <v>2.6161326009047442E-6</v>
      </c>
      <c r="AD59" s="173">
        <f t="shared" si="52"/>
        <v>2.7243874981803819E-6</v>
      </c>
      <c r="AE59" s="173">
        <f t="shared" si="52"/>
        <v>2.8371219553912102E-6</v>
      </c>
      <c r="AF59" s="173">
        <f t="shared" si="52"/>
        <v>2.954521335580546E-6</v>
      </c>
      <c r="AG59" s="173">
        <f t="shared" si="52"/>
        <v>3.0767786720669843E-6</v>
      </c>
      <c r="AH59" s="178">
        <f t="shared" si="49"/>
        <v>3.2040949858384236E-6</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0</v>
      </c>
      <c r="D61" s="336">
        <f t="shared" ref="D61:M61" si="56">C61*($N74)</f>
        <v>0</v>
      </c>
      <c r="E61" s="336">
        <f t="shared" si="56"/>
        <v>0</v>
      </c>
      <c r="F61" s="336">
        <f t="shared" si="56"/>
        <v>0</v>
      </c>
      <c r="G61" s="336">
        <f t="shared" si="56"/>
        <v>0</v>
      </c>
      <c r="H61" s="396">
        <f t="shared" si="53"/>
        <v>2.4835303614954351E-8</v>
      </c>
      <c r="I61" s="116">
        <f t="shared" si="56"/>
        <v>2.5374300732609118E-8</v>
      </c>
      <c r="J61" s="116">
        <f t="shared" si="56"/>
        <v>2.5924995629253998E-8</v>
      </c>
      <c r="K61" s="116">
        <f t="shared" si="56"/>
        <v>2.648764218014884E-8</v>
      </c>
      <c r="L61" s="116">
        <f t="shared" si="56"/>
        <v>2.7062499770372718E-8</v>
      </c>
      <c r="M61" s="116">
        <f t="shared" si="56"/>
        <v>2.7649833414402762E-8</v>
      </c>
      <c r="N61" s="178">
        <f>M61*($N74)</f>
        <v>2.8249913878288202E-8</v>
      </c>
      <c r="O61" s="116">
        <f t="shared" ref="O61:W61" si="57">N61*$X74</f>
        <v>3.0277508013685025E-8</v>
      </c>
      <c r="P61" s="116">
        <f t="shared" si="57"/>
        <v>3.2450629600797559E-8</v>
      </c>
      <c r="Q61" s="116">
        <f t="shared" si="57"/>
        <v>3.477972364872953E-8</v>
      </c>
      <c r="R61" s="116">
        <f t="shared" si="57"/>
        <v>3.7275984841054249E-8</v>
      </c>
      <c r="S61" s="116">
        <f t="shared" si="57"/>
        <v>3.9951411342547086E-8</v>
      </c>
      <c r="T61" s="116">
        <f t="shared" si="57"/>
        <v>4.2818862467813428E-8</v>
      </c>
      <c r="U61" s="116">
        <f t="shared" si="57"/>
        <v>4.5892120488993725E-8</v>
      </c>
      <c r="V61" s="116">
        <f t="shared" si="57"/>
        <v>4.9185956879621568E-8</v>
      </c>
      <c r="W61" s="116">
        <f t="shared" si="57"/>
        <v>5.2716203313032814E-8</v>
      </c>
      <c r="X61" s="178">
        <f t="shared" si="47"/>
        <v>5.6499827756576397E-8</v>
      </c>
      <c r="Y61" s="173">
        <f t="shared" si="55"/>
        <v>5.8837776164758822E-8</v>
      </c>
      <c r="Z61" s="173">
        <f t="shared" si="55"/>
        <v>6.1272468279539307E-8</v>
      </c>
      <c r="AA61" s="173">
        <f t="shared" si="55"/>
        <v>6.380790733072975E-8</v>
      </c>
      <c r="AB61" s="173">
        <f t="shared" si="55"/>
        <v>6.6448262200766804E-8</v>
      </c>
      <c r="AC61" s="173">
        <f t="shared" si="55"/>
        <v>6.9197874279375105E-8</v>
      </c>
      <c r="AD61" s="173">
        <f t="shared" si="55"/>
        <v>7.2061264601874657E-8</v>
      </c>
      <c r="AE61" s="173">
        <f t="shared" si="55"/>
        <v>7.5043141282869592E-8</v>
      </c>
      <c r="AF61" s="173">
        <f t="shared" si="55"/>
        <v>7.8148407257541043E-8</v>
      </c>
      <c r="AG61" s="173">
        <f t="shared" si="55"/>
        <v>8.1382168343272736E-8</v>
      </c>
      <c r="AH61" s="178">
        <f t="shared" si="49"/>
        <v>8.4749741634864589E-8</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4.0922417441378099E-6</v>
      </c>
      <c r="I62" s="116">
        <f t="shared" si="58"/>
        <v>4.1335766124076752E-6</v>
      </c>
      <c r="J62" s="116">
        <f t="shared" si="58"/>
        <v>4.1753289954388163E-6</v>
      </c>
      <c r="K62" s="116">
        <f t="shared" si="58"/>
        <v>4.2175031104595242E-6</v>
      </c>
      <c r="L62" s="116">
        <f t="shared" si="58"/>
        <v>4.2601032172954216E-6</v>
      </c>
      <c r="M62" s="116">
        <f t="shared" si="58"/>
        <v>4.3031336187997288E-6</v>
      </c>
      <c r="N62" s="178">
        <f t="shared" si="58"/>
        <v>4.3465986612878745E-6</v>
      </c>
      <c r="O62" s="116">
        <f t="shared" ref="O62:W62" si="59">N62*$X75</f>
        <v>4.6585690974641213E-6</v>
      </c>
      <c r="P62" s="116">
        <f t="shared" si="59"/>
        <v>4.9929307320536953E-6</v>
      </c>
      <c r="Q62" s="116">
        <f t="shared" si="59"/>
        <v>5.3512906588970576E-6</v>
      </c>
      <c r="R62" s="116">
        <f t="shared" si="59"/>
        <v>5.7353713185242208E-6</v>
      </c>
      <c r="S62" s="116">
        <f t="shared" si="59"/>
        <v>6.1470187769860489E-6</v>
      </c>
      <c r="T62" s="116">
        <f t="shared" si="59"/>
        <v>6.5882115988859471E-6</v>
      </c>
      <c r="U62" s="116">
        <f t="shared" si="59"/>
        <v>7.0610703572597596E-6</v>
      </c>
      <c r="V62" s="116">
        <f t="shared" si="59"/>
        <v>7.5678678260126733E-6</v>
      </c>
      <c r="W62" s="116">
        <f t="shared" si="59"/>
        <v>8.1110399039026114E-6</v>
      </c>
      <c r="X62" s="178">
        <f t="shared" si="47"/>
        <v>8.6931973225757489E-6</v>
      </c>
      <c r="Y62" s="173">
        <f t="shared" si="55"/>
        <v>9.0529196022594427E-6</v>
      </c>
      <c r="Z62" s="173">
        <f t="shared" si="55"/>
        <v>9.4275270977848136E-6</v>
      </c>
      <c r="AA62" s="173">
        <f t="shared" si="55"/>
        <v>9.8176357555726638E-6</v>
      </c>
      <c r="AB62" s="173">
        <f t="shared" si="55"/>
        <v>1.0223887009748997E-5</v>
      </c>
      <c r="AC62" s="173">
        <f t="shared" si="55"/>
        <v>1.0646948836819743E-5</v>
      </c>
      <c r="AD62" s="173">
        <f t="shared" si="55"/>
        <v>1.1087516853987639E-5</v>
      </c>
      <c r="AE62" s="173">
        <f t="shared" si="55"/>
        <v>1.1546315462917186E-5</v>
      </c>
      <c r="AF62" s="173">
        <f t="shared" si="55"/>
        <v>1.2024099040828311E-5</v>
      </c>
      <c r="AG62" s="173">
        <f t="shared" si="55"/>
        <v>1.2521653180877176E-5</v>
      </c>
      <c r="AH62" s="178">
        <f t="shared" si="49"/>
        <v>1.3039795983863622E-5</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2.046120872068905E-6</v>
      </c>
      <c r="I63" s="116">
        <f t="shared" si="60"/>
        <v>2.0667883062038376E-6</v>
      </c>
      <c r="J63" s="116">
        <f t="shared" si="60"/>
        <v>2.0876644977194082E-6</v>
      </c>
      <c r="K63" s="116">
        <f t="shared" si="60"/>
        <v>2.1087515552297621E-6</v>
      </c>
      <c r="L63" s="116">
        <f t="shared" si="60"/>
        <v>2.1300516086477108E-6</v>
      </c>
      <c r="M63" s="116">
        <f t="shared" si="60"/>
        <v>2.1515668093998644E-6</v>
      </c>
      <c r="N63" s="178">
        <f t="shared" si="60"/>
        <v>2.1732993306439372E-6</v>
      </c>
      <c r="O63" s="116">
        <f t="shared" ref="O63:W63" si="61">N63*$X76</f>
        <v>2.3292845487320607E-6</v>
      </c>
      <c r="P63" s="116">
        <f t="shared" si="61"/>
        <v>2.4964653660268476E-6</v>
      </c>
      <c r="Q63" s="116">
        <f t="shared" si="61"/>
        <v>2.6756453294485288E-6</v>
      </c>
      <c r="R63" s="116">
        <f t="shared" si="61"/>
        <v>2.8676856592621104E-6</v>
      </c>
      <c r="S63" s="116">
        <f t="shared" si="61"/>
        <v>3.0735093884930245E-6</v>
      </c>
      <c r="T63" s="116">
        <f t="shared" si="61"/>
        <v>3.2941057994429736E-6</v>
      </c>
      <c r="U63" s="116">
        <f t="shared" si="61"/>
        <v>3.5305351786298798E-6</v>
      </c>
      <c r="V63" s="116">
        <f t="shared" si="61"/>
        <v>3.7839339130063366E-6</v>
      </c>
      <c r="W63" s="116">
        <f t="shared" si="61"/>
        <v>4.0555199519513057E-6</v>
      </c>
      <c r="X63" s="178">
        <f t="shared" si="47"/>
        <v>4.3465986612878745E-6</v>
      </c>
      <c r="Y63" s="173">
        <f t="shared" si="55"/>
        <v>4.5264598011297214E-6</v>
      </c>
      <c r="Z63" s="173">
        <f t="shared" si="55"/>
        <v>4.7137635488924068E-6</v>
      </c>
      <c r="AA63" s="173">
        <f t="shared" si="55"/>
        <v>4.9088178777863319E-6</v>
      </c>
      <c r="AB63" s="173">
        <f t="shared" si="55"/>
        <v>5.1119435048744984E-6</v>
      </c>
      <c r="AC63" s="173">
        <f t="shared" si="55"/>
        <v>5.3234744184098717E-6</v>
      </c>
      <c r="AD63" s="173">
        <f t="shared" si="55"/>
        <v>5.5437584269938195E-6</v>
      </c>
      <c r="AE63" s="173">
        <f t="shared" si="55"/>
        <v>5.7731577314585931E-6</v>
      </c>
      <c r="AF63" s="173">
        <f t="shared" si="55"/>
        <v>6.0120495204141553E-6</v>
      </c>
      <c r="AG63" s="173">
        <f t="shared" si="55"/>
        <v>6.2608265904385881E-6</v>
      </c>
      <c r="AH63" s="178">
        <f t="shared" si="49"/>
        <v>6.5198979919318108E-6</v>
      </c>
      <c r="AI63" s="127"/>
    </row>
    <row r="64" spans="1:35">
      <c r="A64" s="9" t="s">
        <v>344</v>
      </c>
      <c r="B64" s="37"/>
      <c r="C64" s="336">
        <f t="shared" si="50"/>
        <v>2.0543583211783802E-7</v>
      </c>
      <c r="D64" s="336">
        <f t="shared" ref="D64:N64" si="62">C64*($N77)</f>
        <v>2.0751089600443891E-7</v>
      </c>
      <c r="E64" s="336">
        <f t="shared" si="62"/>
        <v>2.0960691967244249E-7</v>
      </c>
      <c r="F64" s="336">
        <f t="shared" si="62"/>
        <v>2.1172411483216735E-7</v>
      </c>
      <c r="G64" s="336">
        <f t="shared" si="62"/>
        <v>2.1386269533237318E-7</v>
      </c>
      <c r="H64" s="396">
        <f t="shared" si="53"/>
        <v>2.046120872068905E-7</v>
      </c>
      <c r="I64" s="116">
        <f t="shared" si="62"/>
        <v>2.0667883062038375E-7</v>
      </c>
      <c r="J64" s="116">
        <f t="shared" si="62"/>
        <v>2.087664497719408E-7</v>
      </c>
      <c r="K64" s="116">
        <f t="shared" si="62"/>
        <v>2.1087515552297621E-7</v>
      </c>
      <c r="L64" s="116">
        <f t="shared" si="62"/>
        <v>2.1300516086477111E-7</v>
      </c>
      <c r="M64" s="116">
        <f t="shared" si="62"/>
        <v>2.1515668093998645E-7</v>
      </c>
      <c r="N64" s="178">
        <f t="shared" si="62"/>
        <v>2.1732993306439374E-7</v>
      </c>
      <c r="O64" s="116">
        <f t="shared" ref="O64:W64" si="63">N64*$X77</f>
        <v>2.3292845487320609E-7</v>
      </c>
      <c r="P64" s="116">
        <f t="shared" si="63"/>
        <v>2.496465366026848E-7</v>
      </c>
      <c r="Q64" s="116">
        <f t="shared" si="63"/>
        <v>2.6756453294485294E-7</v>
      </c>
      <c r="R64" s="116">
        <f t="shared" si="63"/>
        <v>2.867685659262111E-7</v>
      </c>
      <c r="S64" s="116">
        <f t="shared" si="63"/>
        <v>3.0735093884930254E-7</v>
      </c>
      <c r="T64" s="116">
        <f t="shared" si="63"/>
        <v>3.2941057994429749E-7</v>
      </c>
      <c r="U64" s="116">
        <f t="shared" si="63"/>
        <v>3.5305351786298814E-7</v>
      </c>
      <c r="V64" s="116">
        <f t="shared" si="63"/>
        <v>3.7839339130063381E-7</v>
      </c>
      <c r="W64" s="116">
        <f t="shared" si="63"/>
        <v>4.0555199519513078E-7</v>
      </c>
      <c r="X64" s="178">
        <f t="shared" si="47"/>
        <v>4.3465986612878738E-7</v>
      </c>
      <c r="Y64" s="173">
        <f t="shared" si="55"/>
        <v>4.5264598011297206E-7</v>
      </c>
      <c r="Z64" s="173">
        <f t="shared" si="55"/>
        <v>4.7137635488924064E-7</v>
      </c>
      <c r="AA64" s="173">
        <f t="shared" si="55"/>
        <v>4.9088178777863306E-7</v>
      </c>
      <c r="AB64" s="173">
        <f t="shared" si="55"/>
        <v>5.1119435048744969E-7</v>
      </c>
      <c r="AC64" s="173">
        <f t="shared" si="55"/>
        <v>5.3234744184098694E-7</v>
      </c>
      <c r="AD64" s="173">
        <f t="shared" si="55"/>
        <v>5.5437584269938173E-7</v>
      </c>
      <c r="AE64" s="173">
        <f t="shared" si="55"/>
        <v>5.7731577314585908E-7</v>
      </c>
      <c r="AF64" s="173">
        <f t="shared" si="55"/>
        <v>6.0120495204141539E-7</v>
      </c>
      <c r="AG64" s="173">
        <f t="shared" si="55"/>
        <v>6.2608265904385864E-7</v>
      </c>
      <c r="AH64" s="178">
        <f t="shared" si="49"/>
        <v>6.5198979919318102E-7</v>
      </c>
      <c r="AI64" s="127"/>
    </row>
    <row r="65" spans="1:35">
      <c r="A65" s="9" t="s">
        <v>120</v>
      </c>
      <c r="B65" s="37"/>
      <c r="C65" s="336">
        <f t="shared" si="50"/>
        <v>0</v>
      </c>
      <c r="D65" s="336">
        <v>0</v>
      </c>
      <c r="E65" s="336">
        <v>0</v>
      </c>
      <c r="F65" s="336">
        <v>0</v>
      </c>
      <c r="G65" s="336">
        <v>0</v>
      </c>
      <c r="H65" s="396">
        <f t="shared" si="53"/>
        <v>2.0461208720689047E-5</v>
      </c>
      <c r="I65" s="173">
        <v>0</v>
      </c>
      <c r="J65" s="173">
        <v>0</v>
      </c>
      <c r="K65" s="173">
        <v>0</v>
      </c>
      <c r="L65" s="173">
        <v>0</v>
      </c>
      <c r="M65" s="173">
        <v>0</v>
      </c>
      <c r="N65" s="178">
        <v>0</v>
      </c>
      <c r="O65" s="116">
        <f t="shared" ref="O65:AG65" si="64">O41/O$49</f>
        <v>1.4491913176318849E-4</v>
      </c>
      <c r="P65" s="116">
        <f t="shared" si="64"/>
        <v>1.6073951321406721E-4</v>
      </c>
      <c r="Q65" s="116">
        <f t="shared" si="64"/>
        <v>1.7430526044215984E-4</v>
      </c>
      <c r="R65" s="116">
        <f t="shared" si="64"/>
        <v>1.8858013041343904E-4</v>
      </c>
      <c r="S65" s="116">
        <f t="shared" si="64"/>
        <v>2.0264266619702084E-4</v>
      </c>
      <c r="T65" s="116">
        <f t="shared" si="64"/>
        <v>2.1739743123418712E-4</v>
      </c>
      <c r="U65" s="116">
        <f t="shared" si="64"/>
        <v>2.3199878985728325E-4</v>
      </c>
      <c r="V65" s="116">
        <f t="shared" si="64"/>
        <v>2.4606333333321832E-4</v>
      </c>
      <c r="W65" s="116">
        <f t="shared" si="64"/>
        <v>2.5973220401344583E-4</v>
      </c>
      <c r="X65" s="178">
        <f t="shared" si="47"/>
        <v>2.7346063738345878E-4</v>
      </c>
      <c r="Y65" s="173">
        <f t="shared" si="64"/>
        <v>2.8835019103217921E-4</v>
      </c>
      <c r="Z65" s="173">
        <f t="shared" si="64"/>
        <v>3.0249729555452995E-4</v>
      </c>
      <c r="AA65" s="173">
        <f t="shared" si="64"/>
        <v>3.1693600871212908E-4</v>
      </c>
      <c r="AB65" s="173">
        <f t="shared" si="64"/>
        <v>3.3067650373270129E-4</v>
      </c>
      <c r="AC65" s="173">
        <f t="shared" si="64"/>
        <v>3.432141790643463E-4</v>
      </c>
      <c r="AD65" s="173">
        <f t="shared" si="64"/>
        <v>3.5572327305161925E-4</v>
      </c>
      <c r="AE65" s="173">
        <f t="shared" si="64"/>
        <v>3.6635831331875961E-4</v>
      </c>
      <c r="AF65" s="173">
        <f t="shared" si="64"/>
        <v>3.7616848721679682E-4</v>
      </c>
      <c r="AG65" s="173">
        <f t="shared" si="64"/>
        <v>3.8672534341759653E-4</v>
      </c>
      <c r="AH65" s="178">
        <f t="shared" si="49"/>
        <v>3.9797527746720076E-4</v>
      </c>
      <c r="AI65" s="127"/>
    </row>
    <row r="66" spans="1:35">
      <c r="A66" s="9" t="s">
        <v>53</v>
      </c>
      <c r="B66" s="37"/>
      <c r="C66" s="336">
        <f>C42/C$49</f>
        <v>0</v>
      </c>
      <c r="D66" s="336">
        <f t="shared" ref="D66:N66" si="65">C66*($N79)</f>
        <v>0</v>
      </c>
      <c r="E66" s="336">
        <f t="shared" si="65"/>
        <v>0</v>
      </c>
      <c r="F66" s="336">
        <f t="shared" si="65"/>
        <v>0</v>
      </c>
      <c r="G66" s="336">
        <f t="shared" si="65"/>
        <v>0</v>
      </c>
      <c r="H66" s="396">
        <f t="shared" si="53"/>
        <v>9.6251066551137956E-7</v>
      </c>
      <c r="I66" s="116">
        <f t="shared" si="65"/>
        <v>1.0322568256508968E-6</v>
      </c>
      <c r="J66" s="116">
        <f t="shared" si="65"/>
        <v>1.1070569836613079E-6</v>
      </c>
      <c r="K66" s="116">
        <f t="shared" si="65"/>
        <v>1.1872773660764882E-6</v>
      </c>
      <c r="L66" s="116">
        <f t="shared" si="65"/>
        <v>1.2733107372084324E-6</v>
      </c>
      <c r="M66" s="116">
        <f t="shared" si="65"/>
        <v>1.3655783221473717E-6</v>
      </c>
      <c r="N66" s="178">
        <f t="shared" si="65"/>
        <v>1.4645318691077487E-6</v>
      </c>
      <c r="O66" s="116">
        <f t="shared" ref="O66:W66" si="66">N66*$X79</f>
        <v>1.5696463923483611E-6</v>
      </c>
      <c r="P66" s="116">
        <f t="shared" si="66"/>
        <v>1.6823053488848037E-6</v>
      </c>
      <c r="Q66" s="116">
        <f t="shared" si="66"/>
        <v>1.8030502288175926E-6</v>
      </c>
      <c r="R66" s="116">
        <f t="shared" si="66"/>
        <v>1.9324613868666867E-6</v>
      </c>
      <c r="S66" s="116">
        <f t="shared" si="66"/>
        <v>2.0711608318197958E-6</v>
      </c>
      <c r="T66" s="116">
        <f t="shared" si="66"/>
        <v>2.2198152161890519E-6</v>
      </c>
      <c r="U66" s="116">
        <f t="shared" si="66"/>
        <v>2.3791390404456901E-6</v>
      </c>
      <c r="V66" s="116">
        <f t="shared" si="66"/>
        <v>2.5498980872337513E-6</v>
      </c>
      <c r="W66" s="116">
        <f t="shared" si="66"/>
        <v>2.7329131020691886E-6</v>
      </c>
      <c r="X66" s="178">
        <f t="shared" si="47"/>
        <v>2.9290637382154996E-6</v>
      </c>
      <c r="Y66" s="173">
        <f t="shared" si="55"/>
        <v>3.0502676458403101E-6</v>
      </c>
      <c r="Z66" s="173">
        <f t="shared" si="55"/>
        <v>3.1764869401335153E-6</v>
      </c>
      <c r="AA66" s="173">
        <f t="shared" si="55"/>
        <v>3.3079291565114758E-6</v>
      </c>
      <c r="AB66" s="173">
        <f t="shared" si="55"/>
        <v>3.4448104181529516E-6</v>
      </c>
      <c r="AC66" s="173">
        <f t="shared" si="55"/>
        <v>3.5873557913585096E-6</v>
      </c>
      <c r="AD66" s="173">
        <f t="shared" si="55"/>
        <v>3.7357996556146164E-6</v>
      </c>
      <c r="AE66" s="173">
        <f t="shared" si="55"/>
        <v>3.8903860889708848E-6</v>
      </c>
      <c r="AF66" s="173">
        <f t="shared" si="55"/>
        <v>4.0513692693641353E-6</v>
      </c>
      <c r="AG66" s="173">
        <f t="shared" si="55"/>
        <v>4.2190138925491431E-6</v>
      </c>
      <c r="AH66" s="178">
        <f t="shared" si="49"/>
        <v>4.3935956073232485E-6</v>
      </c>
      <c r="AI66" s="127"/>
    </row>
    <row r="67" spans="1:35" s="1" customFormat="1">
      <c r="A67" s="11" t="s">
        <v>541</v>
      </c>
      <c r="B67" s="36"/>
      <c r="C67" s="340">
        <f t="shared" ref="C67:AG67" si="67">SUM(C58:C66)</f>
        <v>2.9110462846929766E-2</v>
      </c>
      <c r="D67" s="340">
        <f t="shared" si="67"/>
        <v>3.0936851488637517E-2</v>
      </c>
      <c r="E67" s="340">
        <f t="shared" si="67"/>
        <v>3.2877828210205053E-2</v>
      </c>
      <c r="F67" s="340">
        <f t="shared" si="67"/>
        <v>3.4940582302152211E-2</v>
      </c>
      <c r="G67" s="340">
        <f t="shared" si="67"/>
        <v>3.7132754113301733E-2</v>
      </c>
      <c r="H67" s="403">
        <f t="shared" si="67"/>
        <v>3.472837966748131E-2</v>
      </c>
      <c r="I67" s="85">
        <f t="shared" si="67"/>
        <v>3.6885159915467057E-2</v>
      </c>
      <c r="J67" s="85">
        <f t="shared" si="67"/>
        <v>3.9198998704493469E-2</v>
      </c>
      <c r="K67" s="85">
        <f t="shared" si="67"/>
        <v>4.1658004968677172E-2</v>
      </c>
      <c r="L67" s="85">
        <f t="shared" si="67"/>
        <v>4.4271286546229069E-2</v>
      </c>
      <c r="M67" s="85">
        <f t="shared" si="67"/>
        <v>4.7048522706111338E-2</v>
      </c>
      <c r="N67" s="183">
        <f>SUM(N58:N66)</f>
        <v>4.9999999999999982E-2</v>
      </c>
      <c r="O67" s="85">
        <f t="shared" si="67"/>
        <v>5.3733592258577823E-2</v>
      </c>
      <c r="P67" s="85">
        <f t="shared" si="67"/>
        <v>5.75956572630658E-2</v>
      </c>
      <c r="Q67" s="85">
        <f t="shared" si="67"/>
        <v>6.1731525927687957E-2</v>
      </c>
      <c r="R67" s="85">
        <f t="shared" si="67"/>
        <v>6.6163975669058114E-2</v>
      </c>
      <c r="S67" s="85">
        <f t="shared" si="67"/>
        <v>7.0913320784851755E-2</v>
      </c>
      <c r="T67" s="85">
        <f t="shared" si="67"/>
        <v>7.6003225756754042E-2</v>
      </c>
      <c r="U67" s="85">
        <f t="shared" si="67"/>
        <v>8.1457238425480805E-2</v>
      </c>
      <c r="V67" s="85">
        <f t="shared" si="67"/>
        <v>8.7301119662945598E-2</v>
      </c>
      <c r="W67" s="85">
        <f t="shared" si="67"/>
        <v>9.3563031357694143E-2</v>
      </c>
      <c r="X67" s="183">
        <f t="shared" si="67"/>
        <v>0.10027346063738349</v>
      </c>
      <c r="Y67" s="85">
        <f t="shared" si="67"/>
        <v>0.10442632459027329</v>
      </c>
      <c r="Z67" s="85">
        <f t="shared" si="67"/>
        <v>0.10874967441532445</v>
      </c>
      <c r="AA67" s="85">
        <f t="shared" si="67"/>
        <v>0.11325162955439773</v>
      </c>
      <c r="AB67" s="85">
        <f t="shared" si="67"/>
        <v>0.1179385787562001</v>
      </c>
      <c r="AC67" s="85">
        <f t="shared" si="67"/>
        <v>0.12281770131822328</v>
      </c>
      <c r="AD67" s="85">
        <f t="shared" si="67"/>
        <v>0.12789817333563078</v>
      </c>
      <c r="AE67" s="85">
        <f t="shared" si="67"/>
        <v>0.13318648230765229</v>
      </c>
      <c r="AF67" s="85">
        <f t="shared" si="67"/>
        <v>0.13869235520947606</v>
      </c>
      <c r="AG67" s="85">
        <f t="shared" si="67"/>
        <v>0.14442640046225041</v>
      </c>
      <c r="AH67" s="183">
        <f>SUM(AH58:AH66)</f>
        <v>0.15039797527746726</v>
      </c>
      <c r="AI67" s="196"/>
    </row>
    <row r="68" spans="1:35" s="252" customFormat="1">
      <c r="A68" s="10" t="s">
        <v>549</v>
      </c>
      <c r="B68" s="37"/>
      <c r="C68" s="332"/>
      <c r="D68" s="332">
        <f>D67/C67-1</f>
        <v>6.2739938259015915E-2</v>
      </c>
      <c r="E68" s="332">
        <f t="shared" ref="E68:W68" si="68">E67/D67-1</f>
        <v>6.2739956659145335E-2</v>
      </c>
      <c r="F68" s="332">
        <f t="shared" si="68"/>
        <v>6.2739974147893784E-2</v>
      </c>
      <c r="G68" s="332">
        <f t="shared" si="68"/>
        <v>6.2739990770402709E-2</v>
      </c>
      <c r="H68" s="284"/>
      <c r="I68" s="284">
        <f t="shared" si="68"/>
        <v>6.210425791921681E-2</v>
      </c>
      <c r="J68" s="284">
        <f t="shared" si="68"/>
        <v>6.2730886739524427E-2</v>
      </c>
      <c r="K68" s="284">
        <f t="shared" si="68"/>
        <v>6.2731354000167938E-2</v>
      </c>
      <c r="L68" s="284">
        <f t="shared" si="68"/>
        <v>6.2731798594695798E-2</v>
      </c>
      <c r="M68" s="284">
        <f t="shared" si="68"/>
        <v>6.2732221639464125E-2</v>
      </c>
      <c r="N68" s="283">
        <f t="shared" si="68"/>
        <v>6.2732624195770192E-2</v>
      </c>
      <c r="O68" s="284">
        <f t="shared" si="68"/>
        <v>7.4671845171556894E-2</v>
      </c>
      <c r="P68" s="284">
        <f t="shared" si="68"/>
        <v>7.1874312551129638E-2</v>
      </c>
      <c r="Q68" s="284">
        <f t="shared" si="68"/>
        <v>7.1808689424824879E-2</v>
      </c>
      <c r="R68" s="284">
        <f t="shared" si="68"/>
        <v>7.1802044008474786E-2</v>
      </c>
      <c r="S68" s="284">
        <f t="shared" si="68"/>
        <v>7.1781434954107493E-2</v>
      </c>
      <c r="T68" s="284">
        <f t="shared" si="68"/>
        <v>7.1776429527885988E-2</v>
      </c>
      <c r="U68" s="284">
        <f t="shared" si="68"/>
        <v>7.1760278783194797E-2</v>
      </c>
      <c r="V68" s="284">
        <f t="shared" si="68"/>
        <v>7.1741705837608638E-2</v>
      </c>
      <c r="W68" s="284">
        <f t="shared" si="68"/>
        <v>7.1727736355784444E-2</v>
      </c>
      <c r="X68" s="284">
        <f>X67/W67-1</f>
        <v>7.1720947711016114E-2</v>
      </c>
      <c r="Y68" s="289">
        <f t="shared" ref="Y68:AG68" si="69">Y67/X67-1</f>
        <v>4.1415384753775486E-2</v>
      </c>
      <c r="Z68" s="289">
        <f t="shared" si="69"/>
        <v>4.1400957488585632E-2</v>
      </c>
      <c r="AA68" s="289">
        <f t="shared" si="69"/>
        <v>4.1397412574128101E-2</v>
      </c>
      <c r="AB68" s="289">
        <f t="shared" si="69"/>
        <v>4.1385269423881654E-2</v>
      </c>
      <c r="AC68" s="289">
        <f t="shared" si="69"/>
        <v>4.1370030175700068E-2</v>
      </c>
      <c r="AD68" s="289">
        <f t="shared" si="69"/>
        <v>4.136595916450081E-2</v>
      </c>
      <c r="AE68" s="289">
        <f t="shared" si="69"/>
        <v>4.1347806884965532E-2</v>
      </c>
      <c r="AF68" s="289">
        <f t="shared" si="69"/>
        <v>4.1339577458811227E-2</v>
      </c>
      <c r="AG68" s="289">
        <f t="shared" si="69"/>
        <v>4.134362881150766E-2</v>
      </c>
      <c r="AH68" s="283">
        <f>AH67/AG67-1</f>
        <v>4.134683683941609E-2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1.0627403097420771</v>
      </c>
      <c r="O71" s="164"/>
      <c r="P71" s="164"/>
      <c r="Q71" s="164"/>
      <c r="R71" s="164"/>
      <c r="S71" s="164"/>
      <c r="T71" s="164"/>
      <c r="U71" s="164"/>
      <c r="V71" s="164"/>
      <c r="W71" s="164"/>
      <c r="X71" s="186">
        <f>(X86/N86)^(1/10)</f>
        <v>1.0717734625362931</v>
      </c>
      <c r="Y71" s="20"/>
      <c r="Z71" s="20"/>
      <c r="AA71" s="20"/>
      <c r="AB71" s="20"/>
      <c r="AC71" s="20"/>
      <c r="AD71" s="20"/>
      <c r="AE71" s="20"/>
      <c r="AF71" s="20"/>
      <c r="AG71" s="20"/>
      <c r="AH71" s="186">
        <f>(AH86/X86)^(1/10)</f>
        <v>1.0413797439924106</v>
      </c>
      <c r="AI71" s="127"/>
    </row>
    <row r="72" spans="1:35">
      <c r="A72" s="9" t="s">
        <v>50</v>
      </c>
      <c r="B72" s="37"/>
      <c r="C72" s="332"/>
      <c r="D72" s="332"/>
      <c r="E72" s="332"/>
      <c r="F72" s="332"/>
      <c r="G72" s="332"/>
      <c r="H72" s="284"/>
      <c r="I72" s="164"/>
      <c r="J72" s="164"/>
      <c r="K72" s="395"/>
      <c r="L72" s="395"/>
      <c r="M72" s="164"/>
      <c r="N72" s="186">
        <f>(N87/H87)^(1/6)</f>
        <v>1.0406824172733531</v>
      </c>
      <c r="O72" s="164"/>
      <c r="P72" s="164"/>
      <c r="Q72" s="164"/>
      <c r="R72" s="164"/>
      <c r="S72" s="164"/>
      <c r="T72" s="164"/>
      <c r="U72" s="164"/>
      <c r="V72" s="164"/>
      <c r="W72" s="164"/>
      <c r="X72" s="186">
        <f>(X87/N87)^(1/10)</f>
        <v>1.0717734625362931</v>
      </c>
      <c r="Y72" s="20"/>
      <c r="Z72" s="20"/>
      <c r="AA72" s="20"/>
      <c r="AB72" s="20"/>
      <c r="AC72" s="20"/>
      <c r="AD72" s="20"/>
      <c r="AE72" s="20"/>
      <c r="AF72" s="20"/>
      <c r="AG72" s="20"/>
      <c r="AH72" s="186">
        <f>(AH87/X87)^(1/10)</f>
        <v>1.0413797439924106</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1.0217028600097409</v>
      </c>
      <c r="O74" s="164"/>
      <c r="P74" s="164"/>
      <c r="Q74" s="164"/>
      <c r="R74" s="164"/>
      <c r="S74" s="164"/>
      <c r="T74" s="164"/>
      <c r="U74" s="164"/>
      <c r="V74" s="164"/>
      <c r="W74" s="164"/>
      <c r="X74" s="186">
        <f>(X89/N89)^(1/10)</f>
        <v>1.0717734625362931</v>
      </c>
      <c r="AH74" s="186">
        <f>(AH89/X89)^(1/10)</f>
        <v>1.0413797439924106</v>
      </c>
      <c r="AI74" s="127"/>
    </row>
    <row r="75" spans="1:35">
      <c r="A75" s="9" t="s">
        <v>347</v>
      </c>
      <c r="B75" s="37"/>
      <c r="C75" s="332"/>
      <c r="D75" s="332"/>
      <c r="E75" s="332"/>
      <c r="F75" s="332"/>
      <c r="G75" s="332"/>
      <c r="H75" s="284"/>
      <c r="I75" s="164"/>
      <c r="J75" s="164"/>
      <c r="K75" s="395"/>
      <c r="L75" s="395"/>
      <c r="M75" s="164"/>
      <c r="N75" s="179">
        <f>(N90/H90)^(1/6)</f>
        <v>1.0101007884808071</v>
      </c>
      <c r="O75" s="164"/>
      <c r="P75" s="164"/>
      <c r="Q75" s="164"/>
      <c r="R75" s="164"/>
      <c r="S75" s="164"/>
      <c r="T75" s="164"/>
      <c r="U75" s="164"/>
      <c r="V75" s="164"/>
      <c r="W75" s="164"/>
      <c r="X75" s="186">
        <f>(X90/N90)^(1/10)</f>
        <v>1.0717734625362931</v>
      </c>
      <c r="AH75" s="186">
        <f>(AH90/X90)^(1/10)</f>
        <v>1.0413797439924106</v>
      </c>
      <c r="AI75" s="127"/>
    </row>
    <row r="76" spans="1:35">
      <c r="A76" s="9" t="s">
        <v>348</v>
      </c>
      <c r="B76" s="37"/>
      <c r="C76" s="332"/>
      <c r="D76" s="332"/>
      <c r="E76" s="332"/>
      <c r="F76" s="332"/>
      <c r="G76" s="332"/>
      <c r="H76" s="284"/>
      <c r="I76" s="164"/>
      <c r="J76" s="164"/>
      <c r="K76" s="395"/>
      <c r="L76" s="395"/>
      <c r="M76" s="164"/>
      <c r="N76" s="179">
        <f>(N91/H91)^(1/6)</f>
        <v>1.0101007884808071</v>
      </c>
      <c r="O76" s="164"/>
      <c r="P76" s="164"/>
      <c r="Q76" s="164"/>
      <c r="R76" s="164"/>
      <c r="S76" s="164"/>
      <c r="T76" s="164"/>
      <c r="U76" s="164"/>
      <c r="V76" s="164"/>
      <c r="W76" s="164"/>
      <c r="X76" s="186">
        <f>(X91/N91)^(1/10)</f>
        <v>1.0717734625362931</v>
      </c>
      <c r="AH76" s="186">
        <f>(AH91/X91)^(1/10)</f>
        <v>1.0413797439924106</v>
      </c>
      <c r="AI76" s="127"/>
    </row>
    <row r="77" spans="1:35">
      <c r="A77" s="9" t="s">
        <v>344</v>
      </c>
      <c r="B77" s="37"/>
      <c r="C77" s="332"/>
      <c r="D77" s="332"/>
      <c r="E77" s="332"/>
      <c r="F77" s="332"/>
      <c r="G77" s="332"/>
      <c r="H77" s="284"/>
      <c r="I77" s="164"/>
      <c r="J77" s="164"/>
      <c r="K77" s="395"/>
      <c r="L77" s="395"/>
      <c r="M77" s="164"/>
      <c r="N77" s="179">
        <f>(N92/H92)^(1/6)</f>
        <v>1.0101007884808071</v>
      </c>
      <c r="O77" s="164"/>
      <c r="P77" s="164"/>
      <c r="Q77" s="164"/>
      <c r="R77" s="164"/>
      <c r="S77" s="164"/>
      <c r="T77" s="164"/>
      <c r="U77" s="164"/>
      <c r="V77" s="164"/>
      <c r="W77" s="164"/>
      <c r="X77" s="186">
        <f>(X92/N92)^(1/10)</f>
        <v>1.0717734625362931</v>
      </c>
      <c r="AH77" s="186">
        <f>(AH92/X92)^(1/10)</f>
        <v>1.0413797439924106</v>
      </c>
      <c r="AI77" s="127"/>
    </row>
    <row r="78" spans="1:35">
      <c r="A78" s="9" t="s">
        <v>120</v>
      </c>
      <c r="B78" s="37"/>
      <c r="C78" s="332"/>
      <c r="D78" s="332"/>
      <c r="E78" s="332"/>
      <c r="F78" s="332"/>
      <c r="G78" s="332"/>
      <c r="H78" s="284"/>
      <c r="I78" s="164"/>
      <c r="J78" s="164"/>
      <c r="K78" s="395"/>
      <c r="L78" s="395"/>
      <c r="M78" s="164"/>
      <c r="N78" s="186">
        <f t="shared" ref="N78:N79" si="70">(N93/H93)^(1/6)</f>
        <v>1.3581265361511206</v>
      </c>
      <c r="O78" s="164"/>
      <c r="P78" s="164"/>
      <c r="Q78" s="164"/>
      <c r="R78" s="164"/>
      <c r="S78" s="164"/>
      <c r="T78" s="164"/>
      <c r="U78" s="164"/>
      <c r="V78" s="164"/>
      <c r="W78" s="164"/>
      <c r="X78" s="186">
        <f t="shared" ref="X78:X79" si="71">(X93/N93)^(1/10)</f>
        <v>1.078529957535332</v>
      </c>
      <c r="AH78" s="186">
        <f t="shared" ref="AH78:AH79" si="72">(AH93/X93)^(1/10)</f>
        <v>1.0382361043068302</v>
      </c>
      <c r="AI78" s="127"/>
    </row>
    <row r="79" spans="1:35">
      <c r="A79" s="9" t="s">
        <v>53</v>
      </c>
      <c r="B79" s="37"/>
      <c r="C79" s="332"/>
      <c r="D79" s="332"/>
      <c r="E79" s="332"/>
      <c r="F79" s="332"/>
      <c r="G79" s="332"/>
      <c r="H79" s="284"/>
      <c r="I79" s="164"/>
      <c r="J79" s="164"/>
      <c r="K79" s="395"/>
      <c r="L79" s="395"/>
      <c r="M79" s="164"/>
      <c r="N79" s="186">
        <f t="shared" si="70"/>
        <v>1.0724627400387936</v>
      </c>
      <c r="O79" s="164"/>
      <c r="P79" s="164"/>
      <c r="Q79" s="164"/>
      <c r="R79" s="164"/>
      <c r="S79" s="164"/>
      <c r="T79" s="164"/>
      <c r="U79" s="164"/>
      <c r="V79" s="164"/>
      <c r="W79" s="164"/>
      <c r="X79" s="186">
        <f t="shared" si="71"/>
        <v>1.0717734625362931</v>
      </c>
      <c r="AH79" s="186">
        <f t="shared" si="72"/>
        <v>1.0413797439924106</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-2.0543583211783802E-7</v>
      </c>
      <c r="D84" s="336">
        <f t="shared" si="73"/>
        <v>-2.0343546660139791E-7</v>
      </c>
      <c r="E84" s="336">
        <f t="shared" si="73"/>
        <v>-2.0143510108495785E-7</v>
      </c>
      <c r="F84" s="336">
        <f t="shared" si="73"/>
        <v>-1.9943473556851774E-7</v>
      </c>
      <c r="G84" s="336">
        <f t="shared" si="73"/>
        <v>-1.9743437005207766E-7</v>
      </c>
      <c r="H84" s="396">
        <f t="shared" si="73"/>
        <v>-2.046120872068905E-7</v>
      </c>
      <c r="I84" s="116">
        <f t="shared" si="73"/>
        <v>-2.0108204124524157E-7</v>
      </c>
      <c r="J84" s="116">
        <f t="shared" si="73"/>
        <v>-1.9755199528359267E-7</v>
      </c>
      <c r="K84" s="116">
        <f t="shared" si="73"/>
        <v>-1.9402194932194379E-7</v>
      </c>
      <c r="L84" s="116">
        <f t="shared" si="73"/>
        <v>-1.9049190336029489E-7</v>
      </c>
      <c r="M84" s="116">
        <f t="shared" si="73"/>
        <v>-1.8696185739864599E-7</v>
      </c>
      <c r="N84" s="178">
        <f t="shared" si="73"/>
        <v>-1.8343181143699706E-7</v>
      </c>
      <c r="O84" s="116">
        <f t="shared" si="73"/>
        <v>-1.8117454987094666E-7</v>
      </c>
      <c r="P84" s="116">
        <f t="shared" si="73"/>
        <v>-1.7891728830489626E-7</v>
      </c>
      <c r="Q84" s="116">
        <f t="shared" si="73"/>
        <v>-1.7666002673884586E-7</v>
      </c>
      <c r="R84" s="116">
        <f t="shared" si="73"/>
        <v>-1.7440276517279546E-7</v>
      </c>
      <c r="S84" s="116">
        <f t="shared" si="73"/>
        <v>-1.7214550360674506E-7</v>
      </c>
      <c r="T84" s="116">
        <f t="shared" si="73"/>
        <v>-1.6988824204069466E-7</v>
      </c>
      <c r="U84" s="116">
        <f t="shared" si="73"/>
        <v>-1.6763098047464426E-7</v>
      </c>
      <c r="V84" s="116">
        <f t="shared" si="73"/>
        <v>-1.6537371890859386E-7</v>
      </c>
      <c r="W84" s="116">
        <f t="shared" si="73"/>
        <v>-1.6311645734254347E-7</v>
      </c>
      <c r="X84" s="178">
        <f t="shared" si="73"/>
        <v>-1.6085919577649301E-7</v>
      </c>
      <c r="Y84" s="173">
        <f t="shared" si="73"/>
        <v>-1.5951310104424818E-7</v>
      </c>
      <c r="Z84" s="173">
        <f t="shared" si="73"/>
        <v>-1.5816700631200335E-7</v>
      </c>
      <c r="AA84" s="173">
        <f t="shared" si="73"/>
        <v>-1.5682091157975852E-7</v>
      </c>
      <c r="AB84" s="173">
        <f t="shared" si="73"/>
        <v>-1.5547481684751369E-7</v>
      </c>
      <c r="AC84" s="173">
        <f t="shared" si="73"/>
        <v>-1.5412872211526886E-7</v>
      </c>
      <c r="AD84" s="173">
        <f t="shared" si="73"/>
        <v>-1.5278262738302403E-7</v>
      </c>
      <c r="AE84" s="173">
        <f t="shared" si="73"/>
        <v>-1.514365326507792E-7</v>
      </c>
      <c r="AF84" s="173">
        <f t="shared" si="73"/>
        <v>-1.5009043791853437E-7</v>
      </c>
      <c r="AG84" s="173">
        <f t="shared" si="73"/>
        <v>-1.4874434318628954E-7</v>
      </c>
      <c r="AH84" s="178">
        <f t="shared" si="73"/>
        <v>-1.4739824845404482E-7</v>
      </c>
      <c r="AI84" s="127"/>
    </row>
    <row r="85" spans="1:35">
      <c r="A85" s="9" t="s">
        <v>59</v>
      </c>
      <c r="B85" s="37"/>
      <c r="C85" s="336">
        <f t="shared" ref="C85:AH85" si="74">C32/C$49</f>
        <v>0.22595887174641005</v>
      </c>
      <c r="D85" s="336">
        <f t="shared" si="74"/>
        <v>0.22464626955121603</v>
      </c>
      <c r="E85" s="336">
        <f t="shared" si="74"/>
        <v>0.22333366735602203</v>
      </c>
      <c r="F85" s="336">
        <f t="shared" si="74"/>
        <v>0.22202106516082801</v>
      </c>
      <c r="G85" s="336">
        <f t="shared" si="74"/>
        <v>0.22070846296563404</v>
      </c>
      <c r="H85" s="396">
        <f t="shared" si="74"/>
        <v>0.20275825860884744</v>
      </c>
      <c r="I85" s="116">
        <f t="shared" si="74"/>
        <v>0.20421859010725224</v>
      </c>
      <c r="J85" s="116">
        <f t="shared" si="74"/>
        <v>0.20567892160565698</v>
      </c>
      <c r="K85" s="116">
        <f t="shared" si="74"/>
        <v>0.20713925310406175</v>
      </c>
      <c r="L85" s="116">
        <f t="shared" si="74"/>
        <v>0.20859958460246655</v>
      </c>
      <c r="M85" s="116">
        <f t="shared" si="74"/>
        <v>0.2100599161008713</v>
      </c>
      <c r="N85" s="178">
        <f t="shared" si="74"/>
        <v>0.21152024759927612</v>
      </c>
      <c r="O85" s="116">
        <f t="shared" si="74"/>
        <v>0.20891733744096205</v>
      </c>
      <c r="P85" s="116">
        <f t="shared" si="74"/>
        <v>0.20631442728264798</v>
      </c>
      <c r="Q85" s="116">
        <f t="shared" si="74"/>
        <v>0.20371151712433389</v>
      </c>
      <c r="R85" s="116">
        <f t="shared" si="74"/>
        <v>0.20110860696601984</v>
      </c>
      <c r="S85" s="116">
        <f t="shared" si="74"/>
        <v>0.1985056968077058</v>
      </c>
      <c r="T85" s="116">
        <f t="shared" si="74"/>
        <v>0.1959027866493917</v>
      </c>
      <c r="U85" s="116">
        <f t="shared" si="74"/>
        <v>0.19329987649107763</v>
      </c>
      <c r="V85" s="116">
        <f t="shared" si="74"/>
        <v>0.19069696633276356</v>
      </c>
      <c r="W85" s="116">
        <f t="shared" si="74"/>
        <v>0.18809405617444949</v>
      </c>
      <c r="X85" s="178">
        <f t="shared" si="74"/>
        <v>0.18549114601613539</v>
      </c>
      <c r="Y85" s="173">
        <f t="shared" si="74"/>
        <v>0.18393892729885852</v>
      </c>
      <c r="Z85" s="173">
        <f t="shared" si="74"/>
        <v>0.18238670858158168</v>
      </c>
      <c r="AA85" s="173">
        <f t="shared" si="74"/>
        <v>0.18083448986430486</v>
      </c>
      <c r="AB85" s="173">
        <f t="shared" si="74"/>
        <v>0.17928227114702799</v>
      </c>
      <c r="AC85" s="173">
        <f t="shared" si="74"/>
        <v>0.17773005242975115</v>
      </c>
      <c r="AD85" s="173">
        <f t="shared" si="74"/>
        <v>0.17617783371247431</v>
      </c>
      <c r="AE85" s="173">
        <f t="shared" si="74"/>
        <v>0.17462561499519746</v>
      </c>
      <c r="AF85" s="173">
        <f t="shared" si="74"/>
        <v>0.17307339627792062</v>
      </c>
      <c r="AG85" s="173">
        <f t="shared" si="74"/>
        <v>0.17152117756064378</v>
      </c>
      <c r="AH85" s="178">
        <f t="shared" si="74"/>
        <v>0.16996895884336682</v>
      </c>
      <c r="AI85" s="127"/>
    </row>
    <row r="86" spans="1:35" s="252" customFormat="1">
      <c r="A86" s="10" t="s">
        <v>121</v>
      </c>
      <c r="B86" s="37"/>
      <c r="C86" s="410">
        <f t="shared" ref="C86:AH86" si="75">C34/C$49</f>
        <v>2.9110257411097649E-2</v>
      </c>
      <c r="D86" s="336">
        <f t="shared" si="75"/>
        <v>3.0936643977741513E-2</v>
      </c>
      <c r="E86" s="336">
        <f t="shared" si="75"/>
        <v>3.2877618603285377E-2</v>
      </c>
      <c r="F86" s="336">
        <f t="shared" si="75"/>
        <v>3.494037057803738E-2</v>
      </c>
      <c r="G86" s="336">
        <f t="shared" si="75"/>
        <v>3.7132540250606402E-2</v>
      </c>
      <c r="H86" s="409">
        <f t="shared" si="75"/>
        <v>3.4699747372698916E-2</v>
      </c>
      <c r="I86" s="396">
        <f t="shared" si="75"/>
        <v>3.6876820270833874E-2</v>
      </c>
      <c r="J86" s="396">
        <f t="shared" si="75"/>
        <v>3.9190483396928898E-2</v>
      </c>
      <c r="K86" s="396">
        <f t="shared" si="75"/>
        <v>4.1649306464193944E-2</v>
      </c>
      <c r="L86" s="396">
        <f t="shared" si="75"/>
        <v>4.426239685230017E-2</v>
      </c>
      <c r="M86" s="396">
        <f t="shared" si="75"/>
        <v>4.7039433340740219E-2</v>
      </c>
      <c r="N86" s="397">
        <f>N34/N$49</f>
        <v>4.999070195863007E-2</v>
      </c>
      <c r="O86" s="396">
        <f t="shared" si="75"/>
        <v>5.3578707732820779E-2</v>
      </c>
      <c r="P86" s="396">
        <f t="shared" si="75"/>
        <v>5.7424237105025394E-2</v>
      </c>
      <c r="Q86" s="396">
        <f t="shared" si="75"/>
        <v>6.154577343555815E-2</v>
      </c>
      <c r="R86" s="396">
        <f t="shared" si="75"/>
        <v>6.596312669950237E-2</v>
      </c>
      <c r="S86" s="396">
        <f t="shared" si="75"/>
        <v>7.0697528702445861E-2</v>
      </c>
      <c r="T86" s="396">
        <f t="shared" si="75"/>
        <v>7.5771735130179374E-2</v>
      </c>
      <c r="U86" s="396">
        <f t="shared" si="75"/>
        <v>8.1210134922855226E-2</v>
      </c>
      <c r="V86" s="396">
        <f t="shared" si="75"/>
        <v>8.7038867499308101E-2</v>
      </c>
      <c r="W86" s="396">
        <f t="shared" si="75"/>
        <v>9.3285948394971063E-2</v>
      </c>
      <c r="X86" s="397">
        <f t="shared" si="75"/>
        <v>9.9981403917260167E-2</v>
      </c>
      <c r="Y86" s="396">
        <f>Y34/Y$49</f>
        <v>0.1041186088153582</v>
      </c>
      <c r="Z86" s="396">
        <f t="shared" si="75"/>
        <v>0.10842701019298367</v>
      </c>
      <c r="AA86" s="396">
        <f t="shared" si="75"/>
        <v>0.11291369211663184</v>
      </c>
      <c r="AB86" s="396">
        <f t="shared" si="75"/>
        <v>0.11758603178965593</v>
      </c>
      <c r="AC86" s="396">
        <f t="shared" si="75"/>
        <v>0.12245171168219535</v>
      </c>
      <c r="AD86" s="396">
        <f t="shared" si="75"/>
        <v>0.12751873216303708</v>
      </c>
      <c r="AE86" s="396">
        <f t="shared" si="75"/>
        <v>0.13279542465418034</v>
      </c>
      <c r="AF86" s="396">
        <f t="shared" si="75"/>
        <v>0.13829046532973377</v>
      </c>
      <c r="AG86" s="396">
        <f t="shared" si="75"/>
        <v>0.14401288938166948</v>
      </c>
      <c r="AH86" s="397">
        <f t="shared" si="75"/>
        <v>0.14997210587589024</v>
      </c>
      <c r="AI86" s="292"/>
    </row>
    <row r="87" spans="1:35">
      <c r="A87" s="9" t="s">
        <v>50</v>
      </c>
      <c r="B87" s="37"/>
      <c r="C87" s="410">
        <f t="shared" ref="C87:AH87" si="76">C35/C$49</f>
        <v>0</v>
      </c>
      <c r="D87" s="336">
        <f t="shared" si="76"/>
        <v>0</v>
      </c>
      <c r="E87" s="336">
        <f t="shared" si="76"/>
        <v>8.0949807633730043E-7</v>
      </c>
      <c r="F87" s="336">
        <f t="shared" si="76"/>
        <v>7.3006020166991195E-7</v>
      </c>
      <c r="G87" s="336">
        <f t="shared" si="76"/>
        <v>8.3030252322037781E-7</v>
      </c>
      <c r="H87" s="409">
        <f t="shared" si="76"/>
        <v>8.4076538917921754E-7</v>
      </c>
      <c r="I87" s="116">
        <f t="shared" si="76"/>
        <v>8.7496975757079959E-7</v>
      </c>
      <c r="J87" s="116">
        <f>J35/J$49</f>
        <v>9.1056564234985944E-7</v>
      </c>
      <c r="K87" s="116">
        <f t="shared" si="76"/>
        <v>9.4760965376671518E-7</v>
      </c>
      <c r="L87" s="116">
        <f t="shared" si="76"/>
        <v>9.861607051135103E-7</v>
      </c>
      <c r="M87" s="116">
        <f t="shared" si="76"/>
        <v>1.0262801064175223E-6</v>
      </c>
      <c r="N87" s="178">
        <f t="shared" si="76"/>
        <v>1.0680316619461408E-6</v>
      </c>
      <c r="O87" s="116">
        <f t="shared" si="76"/>
        <v>1.1446879924224076E-6</v>
      </c>
      <c r="P87" s="116">
        <f t="shared" si="76"/>
        <v>1.2268462131622819E-6</v>
      </c>
      <c r="Q87" s="116">
        <f t="shared" si="76"/>
        <v>1.314901213880478E-6</v>
      </c>
      <c r="R87" s="116">
        <f t="shared" si="76"/>
        <v>1.4092762268938548E-6</v>
      </c>
      <c r="S87" s="116">
        <f t="shared" si="76"/>
        <v>1.5104248613681096E-6</v>
      </c>
      <c r="T87" s="116">
        <f t="shared" si="76"/>
        <v>1.618833283569399E-6</v>
      </c>
      <c r="U87" s="116">
        <f t="shared" si="76"/>
        <v>1.7350225536001716E-6</v>
      </c>
      <c r="V87" s="116">
        <f t="shared" si="76"/>
        <v>1.8595511298506172E-6</v>
      </c>
      <c r="W87" s="116">
        <f t="shared" si="76"/>
        <v>1.9930175532032721E-6</v>
      </c>
      <c r="X87" s="178">
        <f t="shared" si="76"/>
        <v>2.1360633238922825E-6</v>
      </c>
      <c r="Y87" s="173">
        <f t="shared" si="76"/>
        <v>2.2244530773865227E-6</v>
      </c>
      <c r="Z87" s="173">
        <f t="shared" si="76"/>
        <v>2.316500376251907E-6</v>
      </c>
      <c r="AA87" s="173">
        <f t="shared" si="76"/>
        <v>2.4123565687795337E-6</v>
      </c>
      <c r="AB87" s="173">
        <f t="shared" si="76"/>
        <v>2.5121792660140411E-6</v>
      </c>
      <c r="AC87" s="173">
        <f t="shared" si="76"/>
        <v>2.6161326009047442E-6</v>
      </c>
      <c r="AD87" s="173">
        <f t="shared" si="76"/>
        <v>2.7243874981803819E-6</v>
      </c>
      <c r="AE87" s="173">
        <f t="shared" si="76"/>
        <v>2.8371219553912102E-6</v>
      </c>
      <c r="AF87" s="173">
        <f t="shared" si="76"/>
        <v>2.954521335580546E-6</v>
      </c>
      <c r="AG87" s="173">
        <f t="shared" si="76"/>
        <v>3.0767786720669843E-6</v>
      </c>
      <c r="AH87" s="178">
        <f t="shared" si="76"/>
        <v>3.2040949858384236E-6</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0</v>
      </c>
      <c r="D89" s="336">
        <f t="shared" si="78"/>
        <v>0</v>
      </c>
      <c r="E89" s="336">
        <f t="shared" si="78"/>
        <v>2.7024807977615309E-8</v>
      </c>
      <c r="F89" s="336">
        <f t="shared" si="78"/>
        <v>2.6940475746066148E-8</v>
      </c>
      <c r="G89" s="336">
        <f t="shared" si="78"/>
        <v>2.2793333441720199E-8</v>
      </c>
      <c r="H89" s="409">
        <f t="shared" si="78"/>
        <v>2.4835303614954351E-8</v>
      </c>
      <c r="I89" s="116">
        <f t="shared" si="78"/>
        <v>2.5374300732609122E-8</v>
      </c>
      <c r="J89" s="116">
        <f t="shared" si="78"/>
        <v>2.5924995629253998E-8</v>
      </c>
      <c r="K89" s="116">
        <f t="shared" si="78"/>
        <v>2.648764218014884E-8</v>
      </c>
      <c r="L89" s="116">
        <f t="shared" si="78"/>
        <v>2.7062499770372721E-8</v>
      </c>
      <c r="M89" s="116">
        <f t="shared" si="78"/>
        <v>2.7649833414402766E-8</v>
      </c>
      <c r="N89" s="178">
        <f t="shared" si="78"/>
        <v>2.8249913878288189E-8</v>
      </c>
      <c r="O89" s="116">
        <f t="shared" si="78"/>
        <v>3.0277508013685025E-8</v>
      </c>
      <c r="P89" s="116">
        <f t="shared" si="78"/>
        <v>3.2450629600797559E-8</v>
      </c>
      <c r="Q89" s="116">
        <f t="shared" si="78"/>
        <v>3.477972364872953E-8</v>
      </c>
      <c r="R89" s="116">
        <f t="shared" si="78"/>
        <v>3.7275984841054249E-8</v>
      </c>
      <c r="S89" s="116">
        <f t="shared" si="78"/>
        <v>3.9951411342547086E-8</v>
      </c>
      <c r="T89" s="116">
        <f t="shared" si="78"/>
        <v>4.2818862467813428E-8</v>
      </c>
      <c r="U89" s="116">
        <f t="shared" si="78"/>
        <v>4.5892120488993725E-8</v>
      </c>
      <c r="V89" s="116">
        <f t="shared" si="78"/>
        <v>4.9185956879621568E-8</v>
      </c>
      <c r="W89" s="116">
        <f t="shared" si="78"/>
        <v>5.2716203313032814E-8</v>
      </c>
      <c r="X89" s="178">
        <f t="shared" si="78"/>
        <v>5.6499827756576397E-8</v>
      </c>
      <c r="Y89" s="173">
        <f t="shared" si="78"/>
        <v>5.8837776164758822E-8</v>
      </c>
      <c r="Z89" s="173">
        <f t="shared" si="78"/>
        <v>6.1272468279539307E-8</v>
      </c>
      <c r="AA89" s="173">
        <f t="shared" si="78"/>
        <v>6.380790733072975E-8</v>
      </c>
      <c r="AB89" s="173">
        <f t="shared" si="78"/>
        <v>6.6448262200766804E-8</v>
      </c>
      <c r="AC89" s="173">
        <f t="shared" si="78"/>
        <v>6.9197874279375105E-8</v>
      </c>
      <c r="AD89" s="173">
        <f t="shared" si="78"/>
        <v>7.2061264601874657E-8</v>
      </c>
      <c r="AE89" s="173">
        <f t="shared" si="78"/>
        <v>7.5043141282869592E-8</v>
      </c>
      <c r="AF89" s="173">
        <f t="shared" si="78"/>
        <v>7.8148407257541043E-8</v>
      </c>
      <c r="AG89" s="173">
        <f t="shared" si="78"/>
        <v>8.1382168343272736E-8</v>
      </c>
      <c r="AH89" s="178">
        <f t="shared" si="78"/>
        <v>8.4749741634864589E-8</v>
      </c>
      <c r="AI89" s="127"/>
    </row>
    <row r="90" spans="1:35" s="252" customFormat="1">
      <c r="A90" s="10" t="s">
        <v>347</v>
      </c>
      <c r="B90" s="37"/>
      <c r="C90" s="410">
        <f t="shared" ref="C90:AH90" si="79">C38/C$49</f>
        <v>0</v>
      </c>
      <c r="D90" s="336">
        <f t="shared" si="79"/>
        <v>0</v>
      </c>
      <c r="E90" s="336">
        <f t="shared" si="79"/>
        <v>4.0355019143743747E-6</v>
      </c>
      <c r="F90" s="336">
        <f t="shared" si="79"/>
        <v>3.8851598953110885E-6</v>
      </c>
      <c r="G90" s="336">
        <f t="shared" si="79"/>
        <v>4.0413317674597503E-6</v>
      </c>
      <c r="H90" s="409">
        <f t="shared" si="79"/>
        <v>4.0922417441378099E-6</v>
      </c>
      <c r="I90" s="396">
        <f t="shared" si="79"/>
        <v>4.1335766124076752E-6</v>
      </c>
      <c r="J90" s="396">
        <f t="shared" si="79"/>
        <v>4.1753289954388163E-6</v>
      </c>
      <c r="K90" s="396">
        <f t="shared" si="79"/>
        <v>4.2175031104595242E-6</v>
      </c>
      <c r="L90" s="396">
        <f t="shared" si="79"/>
        <v>4.2601032172954216E-6</v>
      </c>
      <c r="M90" s="396">
        <f t="shared" si="79"/>
        <v>4.3031336187997288E-6</v>
      </c>
      <c r="N90" s="397">
        <f t="shared" si="79"/>
        <v>4.3465986612878728E-6</v>
      </c>
      <c r="O90" s="396">
        <f t="shared" si="79"/>
        <v>4.6585690974641213E-6</v>
      </c>
      <c r="P90" s="396">
        <f t="shared" si="79"/>
        <v>4.9929307320536953E-6</v>
      </c>
      <c r="Q90" s="396">
        <f t="shared" si="79"/>
        <v>5.3512906588970567E-6</v>
      </c>
      <c r="R90" s="396">
        <f t="shared" si="79"/>
        <v>5.7353713185242208E-6</v>
      </c>
      <c r="S90" s="396">
        <f t="shared" si="79"/>
        <v>6.1470187769860489E-6</v>
      </c>
      <c r="T90" s="396">
        <f t="shared" si="79"/>
        <v>6.5882115988859471E-6</v>
      </c>
      <c r="U90" s="396">
        <f t="shared" si="79"/>
        <v>7.0610703572597596E-6</v>
      </c>
      <c r="V90" s="396">
        <f t="shared" si="79"/>
        <v>7.5678678260126733E-6</v>
      </c>
      <c r="W90" s="396">
        <f t="shared" si="79"/>
        <v>8.1110399039026114E-6</v>
      </c>
      <c r="X90" s="397">
        <f t="shared" si="79"/>
        <v>8.6931973225757489E-6</v>
      </c>
      <c r="Y90" s="396">
        <f t="shared" si="79"/>
        <v>9.0529196022594427E-6</v>
      </c>
      <c r="Z90" s="396">
        <f t="shared" si="79"/>
        <v>9.4275270977848136E-6</v>
      </c>
      <c r="AA90" s="396">
        <f t="shared" si="79"/>
        <v>9.8176357555726638E-6</v>
      </c>
      <c r="AB90" s="396">
        <f t="shared" si="79"/>
        <v>1.0223887009748997E-5</v>
      </c>
      <c r="AC90" s="396">
        <f t="shared" si="79"/>
        <v>1.0646948836819743E-5</v>
      </c>
      <c r="AD90" s="396">
        <f t="shared" si="79"/>
        <v>1.1087516853987639E-5</v>
      </c>
      <c r="AE90" s="396">
        <f t="shared" si="79"/>
        <v>1.1546315462917186E-5</v>
      </c>
      <c r="AF90" s="396">
        <f t="shared" si="79"/>
        <v>1.2024099040828311E-5</v>
      </c>
      <c r="AG90" s="396">
        <f t="shared" si="79"/>
        <v>1.2521653180877176E-5</v>
      </c>
      <c r="AH90" s="397">
        <f t="shared" si="79"/>
        <v>1.3039795983863622E-5</v>
      </c>
      <c r="AI90" s="292"/>
    </row>
    <row r="91" spans="1:35" s="252" customFormat="1">
      <c r="A91" s="10" t="s">
        <v>348</v>
      </c>
      <c r="B91" s="37"/>
      <c r="C91" s="410">
        <f t="shared" ref="C91:AH91" si="80">C39/C$49</f>
        <v>0</v>
      </c>
      <c r="D91" s="336">
        <f t="shared" si="80"/>
        <v>0</v>
      </c>
      <c r="E91" s="336">
        <f t="shared" si="80"/>
        <v>2.0177509571871873E-6</v>
      </c>
      <c r="F91" s="336">
        <f t="shared" si="80"/>
        <v>1.9425799476555442E-6</v>
      </c>
      <c r="G91" s="336">
        <f t="shared" si="80"/>
        <v>2.0206658837298752E-6</v>
      </c>
      <c r="H91" s="409">
        <f t="shared" si="80"/>
        <v>2.046120872068905E-6</v>
      </c>
      <c r="I91" s="396">
        <f t="shared" si="80"/>
        <v>2.0667883062038376E-6</v>
      </c>
      <c r="J91" s="396">
        <f t="shared" si="80"/>
        <v>2.0876644977194082E-6</v>
      </c>
      <c r="K91" s="396">
        <f t="shared" si="80"/>
        <v>2.1087515552297621E-6</v>
      </c>
      <c r="L91" s="396">
        <f t="shared" si="80"/>
        <v>2.1300516086477108E-6</v>
      </c>
      <c r="M91" s="396">
        <f t="shared" si="80"/>
        <v>2.1515668093998644E-6</v>
      </c>
      <c r="N91" s="397">
        <f t="shared" si="80"/>
        <v>2.1732993306439364E-6</v>
      </c>
      <c r="O91" s="396">
        <f t="shared" si="80"/>
        <v>2.3292845487320607E-6</v>
      </c>
      <c r="P91" s="396">
        <f t="shared" si="80"/>
        <v>2.4964653660268476E-6</v>
      </c>
      <c r="Q91" s="396">
        <f t="shared" si="80"/>
        <v>2.6756453294485284E-6</v>
      </c>
      <c r="R91" s="396">
        <f t="shared" si="80"/>
        <v>2.8676856592621104E-6</v>
      </c>
      <c r="S91" s="396">
        <f t="shared" si="80"/>
        <v>3.0735093884930245E-6</v>
      </c>
      <c r="T91" s="396">
        <f t="shared" si="80"/>
        <v>3.2941057994429736E-6</v>
      </c>
      <c r="U91" s="396">
        <f t="shared" si="80"/>
        <v>3.5305351786298798E-6</v>
      </c>
      <c r="V91" s="396">
        <f t="shared" si="80"/>
        <v>3.7839339130063366E-6</v>
      </c>
      <c r="W91" s="396">
        <f t="shared" si="80"/>
        <v>4.0555199519513057E-6</v>
      </c>
      <c r="X91" s="397">
        <f t="shared" si="80"/>
        <v>4.3465986612878745E-6</v>
      </c>
      <c r="Y91" s="396">
        <f t="shared" si="80"/>
        <v>4.5264598011297214E-6</v>
      </c>
      <c r="Z91" s="396">
        <f t="shared" si="80"/>
        <v>4.7137635488924068E-6</v>
      </c>
      <c r="AA91" s="396">
        <f t="shared" si="80"/>
        <v>4.9088178777863319E-6</v>
      </c>
      <c r="AB91" s="396">
        <f t="shared" si="80"/>
        <v>5.1119435048744984E-6</v>
      </c>
      <c r="AC91" s="396">
        <f t="shared" si="80"/>
        <v>5.3234744184098717E-6</v>
      </c>
      <c r="AD91" s="396">
        <f t="shared" si="80"/>
        <v>5.5437584269938195E-6</v>
      </c>
      <c r="AE91" s="396">
        <f t="shared" si="80"/>
        <v>5.7731577314585931E-6</v>
      </c>
      <c r="AF91" s="396">
        <f t="shared" si="80"/>
        <v>6.0120495204141553E-6</v>
      </c>
      <c r="AG91" s="396">
        <f t="shared" si="80"/>
        <v>6.2608265904385881E-6</v>
      </c>
      <c r="AH91" s="397">
        <f t="shared" si="80"/>
        <v>6.5198979919318108E-6</v>
      </c>
      <c r="AI91" s="292"/>
    </row>
    <row r="92" spans="1:35">
      <c r="A92" s="9" t="s">
        <v>344</v>
      </c>
      <c r="B92" s="37"/>
      <c r="C92" s="410">
        <f t="shared" ref="C92:AH92" si="81">C40/C$49</f>
        <v>2.0543583211783802E-7</v>
      </c>
      <c r="D92" s="336">
        <f t="shared" si="81"/>
        <v>2.0751089600443891E-7</v>
      </c>
      <c r="E92" s="336">
        <f t="shared" si="81"/>
        <v>2.0960691967244249E-7</v>
      </c>
      <c r="F92" s="336">
        <f t="shared" si="81"/>
        <v>2.1172411483216735E-7</v>
      </c>
      <c r="G92" s="336">
        <f t="shared" si="81"/>
        <v>2.1386269533237315E-7</v>
      </c>
      <c r="H92" s="409">
        <f t="shared" si="81"/>
        <v>2.046120872068905E-7</v>
      </c>
      <c r="I92" s="116">
        <f t="shared" si="81"/>
        <v>2.0667883062038375E-7</v>
      </c>
      <c r="J92" s="116">
        <f t="shared" si="81"/>
        <v>2.0876644977194082E-7</v>
      </c>
      <c r="K92" s="116">
        <f t="shared" si="81"/>
        <v>2.1087515552297621E-7</v>
      </c>
      <c r="L92" s="116">
        <f t="shared" si="81"/>
        <v>2.1300516086477111E-7</v>
      </c>
      <c r="M92" s="116">
        <f t="shared" si="81"/>
        <v>2.1515668093998645E-7</v>
      </c>
      <c r="N92" s="178">
        <f t="shared" si="81"/>
        <v>2.1732993306439366E-7</v>
      </c>
      <c r="O92" s="116">
        <f t="shared" si="81"/>
        <v>2.3292845487320609E-7</v>
      </c>
      <c r="P92" s="116">
        <f t="shared" si="81"/>
        <v>2.496465366026848E-7</v>
      </c>
      <c r="Q92" s="116">
        <f t="shared" si="81"/>
        <v>2.6756453294485294E-7</v>
      </c>
      <c r="R92" s="116">
        <f t="shared" si="81"/>
        <v>2.867685659262111E-7</v>
      </c>
      <c r="S92" s="116">
        <f t="shared" si="81"/>
        <v>3.0735093884930254E-7</v>
      </c>
      <c r="T92" s="116">
        <f t="shared" si="81"/>
        <v>3.2941057994429749E-7</v>
      </c>
      <c r="U92" s="116">
        <f t="shared" si="81"/>
        <v>3.5305351786298814E-7</v>
      </c>
      <c r="V92" s="116">
        <f t="shared" si="81"/>
        <v>3.7839339130063381E-7</v>
      </c>
      <c r="W92" s="116">
        <f t="shared" si="81"/>
        <v>4.0555199519513078E-7</v>
      </c>
      <c r="X92" s="178">
        <f t="shared" si="81"/>
        <v>4.3465986612878738E-7</v>
      </c>
      <c r="Y92" s="173">
        <f t="shared" si="81"/>
        <v>4.5264598011297206E-7</v>
      </c>
      <c r="Z92" s="173">
        <f t="shared" si="81"/>
        <v>4.7137635488924064E-7</v>
      </c>
      <c r="AA92" s="173">
        <f t="shared" si="81"/>
        <v>4.9088178777863306E-7</v>
      </c>
      <c r="AB92" s="173">
        <f t="shared" si="81"/>
        <v>5.1119435048744969E-7</v>
      </c>
      <c r="AC92" s="173">
        <f t="shared" si="81"/>
        <v>5.3234744184098694E-7</v>
      </c>
      <c r="AD92" s="173">
        <f t="shared" si="81"/>
        <v>5.5437584269938173E-7</v>
      </c>
      <c r="AE92" s="173">
        <f t="shared" si="81"/>
        <v>5.7731577314585908E-7</v>
      </c>
      <c r="AF92" s="173">
        <f t="shared" si="81"/>
        <v>6.0120495204141539E-7</v>
      </c>
      <c r="AG92" s="173">
        <f t="shared" si="81"/>
        <v>6.2608265904385864E-7</v>
      </c>
      <c r="AH92" s="178">
        <f t="shared" si="81"/>
        <v>6.5198979919318102E-7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2.0461208720689047E-5</v>
      </c>
      <c r="I93" s="116">
        <f t="shared" si="82"/>
        <v>3.9727496501168427E-5</v>
      </c>
      <c r="J93" s="116">
        <f t="shared" si="82"/>
        <v>5.7062084836930236E-5</v>
      </c>
      <c r="K93" s="116">
        <f t="shared" si="82"/>
        <v>7.6021045707981816E-5</v>
      </c>
      <c r="L93" s="116">
        <f t="shared" si="82"/>
        <v>9.4378057721792281E-5</v>
      </c>
      <c r="M93" s="116">
        <f t="shared" si="82"/>
        <v>1.1180266283172944E-4</v>
      </c>
      <c r="N93" s="178">
        <f t="shared" si="82"/>
        <v>1.2840226800589795E-4</v>
      </c>
      <c r="O93" s="116">
        <f t="shared" si="82"/>
        <v>1.4491913176318849E-4</v>
      </c>
      <c r="P93" s="116">
        <f t="shared" si="82"/>
        <v>1.6073951321406721E-4</v>
      </c>
      <c r="Q93" s="116">
        <f t="shared" si="82"/>
        <v>1.7430526044215984E-4</v>
      </c>
      <c r="R93" s="116">
        <f t="shared" si="82"/>
        <v>1.8858013041343904E-4</v>
      </c>
      <c r="S93" s="116">
        <f t="shared" si="82"/>
        <v>2.0264266619702084E-4</v>
      </c>
      <c r="T93" s="116">
        <f t="shared" si="82"/>
        <v>2.1739743123418712E-4</v>
      </c>
      <c r="U93" s="116">
        <f t="shared" si="82"/>
        <v>2.3199878985728325E-4</v>
      </c>
      <c r="V93" s="116">
        <f t="shared" si="82"/>
        <v>2.4606333333321832E-4</v>
      </c>
      <c r="W93" s="116">
        <f t="shared" si="82"/>
        <v>2.5973220401344583E-4</v>
      </c>
      <c r="X93" s="178">
        <f t="shared" si="82"/>
        <v>2.7346063738345878E-4</v>
      </c>
      <c r="Y93" s="173">
        <f t="shared" si="82"/>
        <v>2.8835019103217921E-4</v>
      </c>
      <c r="Z93" s="173">
        <f t="shared" si="82"/>
        <v>3.0249729555452995E-4</v>
      </c>
      <c r="AA93" s="173">
        <f t="shared" si="82"/>
        <v>3.1693600871212908E-4</v>
      </c>
      <c r="AB93" s="173">
        <f t="shared" si="82"/>
        <v>3.3067650373270129E-4</v>
      </c>
      <c r="AC93" s="173">
        <f t="shared" si="82"/>
        <v>3.432141790643463E-4</v>
      </c>
      <c r="AD93" s="173">
        <f t="shared" si="82"/>
        <v>3.5572327305161925E-4</v>
      </c>
      <c r="AE93" s="173">
        <f t="shared" si="82"/>
        <v>3.6635831331875961E-4</v>
      </c>
      <c r="AF93" s="173">
        <f t="shared" si="82"/>
        <v>3.7616848721679682E-4</v>
      </c>
      <c r="AG93" s="173">
        <f t="shared" si="82"/>
        <v>3.8672534341759653E-4</v>
      </c>
      <c r="AH93" s="178">
        <f t="shared" si="82"/>
        <v>3.9797527746720076E-4</v>
      </c>
      <c r="AI93" s="127"/>
    </row>
    <row r="94" spans="1:35">
      <c r="A94" s="9" t="s">
        <v>53</v>
      </c>
      <c r="B94" s="37"/>
      <c r="C94" s="410">
        <f t="shared" ref="C94:AH94" si="83">C42/C$49</f>
        <v>0</v>
      </c>
      <c r="D94" s="336">
        <f t="shared" si="83"/>
        <v>0</v>
      </c>
      <c r="E94" s="336">
        <f t="shared" si="83"/>
        <v>7.8659843912659698E-7</v>
      </c>
      <c r="F94" s="336">
        <f t="shared" si="83"/>
        <v>8.4707991618811702E-7</v>
      </c>
      <c r="G94" s="336">
        <f t="shared" si="83"/>
        <v>9.4528564598847135E-7</v>
      </c>
      <c r="H94" s="409">
        <f t="shared" si="83"/>
        <v>9.6251066551137956E-7</v>
      </c>
      <c r="I94" s="116">
        <f t="shared" si="83"/>
        <v>1.179369411149517E-6</v>
      </c>
      <c r="J94" s="116">
        <f t="shared" si="83"/>
        <v>1.2816265986822184E-6</v>
      </c>
      <c r="K94" s="116">
        <f t="shared" si="83"/>
        <v>1.2805929500545376E-6</v>
      </c>
      <c r="L94" s="116">
        <f t="shared" si="83"/>
        <v>1.2733107372084324E-6</v>
      </c>
      <c r="M94" s="116">
        <f t="shared" si="83"/>
        <v>1.3655783221473715E-6</v>
      </c>
      <c r="N94" s="178">
        <f t="shared" si="83"/>
        <v>1.4645318691077494E-6</v>
      </c>
      <c r="O94" s="116">
        <f t="shared" si="83"/>
        <v>1.5696463923483613E-6</v>
      </c>
      <c r="P94" s="116">
        <f t="shared" si="83"/>
        <v>1.6823053488848037E-6</v>
      </c>
      <c r="Q94" s="116">
        <f t="shared" si="83"/>
        <v>1.8030502288175926E-6</v>
      </c>
      <c r="R94" s="116">
        <f t="shared" si="83"/>
        <v>1.9324613868666867E-6</v>
      </c>
      <c r="S94" s="116">
        <f t="shared" si="83"/>
        <v>2.0711608318197958E-6</v>
      </c>
      <c r="T94" s="116">
        <f t="shared" si="83"/>
        <v>2.2198152161890519E-6</v>
      </c>
      <c r="U94" s="116">
        <f t="shared" si="83"/>
        <v>2.3791390404456896E-6</v>
      </c>
      <c r="V94" s="116">
        <f t="shared" si="83"/>
        <v>2.5498980872337513E-6</v>
      </c>
      <c r="W94" s="116">
        <f t="shared" si="83"/>
        <v>2.7329131020691886E-6</v>
      </c>
      <c r="X94" s="178">
        <f t="shared" si="83"/>
        <v>2.9290637382154996E-6</v>
      </c>
      <c r="Y94" s="173">
        <f t="shared" si="83"/>
        <v>3.0502676458403101E-6</v>
      </c>
      <c r="Z94" s="173">
        <f t="shared" si="83"/>
        <v>3.1764869401335153E-6</v>
      </c>
      <c r="AA94" s="173">
        <f t="shared" si="83"/>
        <v>3.3079291565114758E-6</v>
      </c>
      <c r="AB94" s="173">
        <f t="shared" si="83"/>
        <v>3.444810418152952E-6</v>
      </c>
      <c r="AC94" s="173">
        <f t="shared" si="83"/>
        <v>3.5873557913585096E-6</v>
      </c>
      <c r="AD94" s="173">
        <f t="shared" si="83"/>
        <v>3.7357996556146164E-6</v>
      </c>
      <c r="AE94" s="173">
        <f t="shared" si="83"/>
        <v>3.8903860889708848E-6</v>
      </c>
      <c r="AF94" s="173">
        <f t="shared" si="83"/>
        <v>4.0513692693641353E-6</v>
      </c>
      <c r="AG94" s="173">
        <f t="shared" si="83"/>
        <v>4.2190138925491431E-6</v>
      </c>
      <c r="AH94" s="178">
        <f t="shared" si="83"/>
        <v>4.3935956073232485E-6</v>
      </c>
      <c r="AI94" s="127"/>
    </row>
    <row r="95" spans="1:35" s="378" customFormat="1">
      <c r="A95" s="373" t="s">
        <v>541</v>
      </c>
      <c r="B95" s="374"/>
      <c r="C95" s="375">
        <f>SUM(C86:C94)</f>
        <v>2.9110462846929766E-2</v>
      </c>
      <c r="D95" s="375">
        <f>SUM(D86:D94)</f>
        <v>3.0936851488637517E-2</v>
      </c>
      <c r="E95" s="375">
        <f>SUM(E86:E94)</f>
        <v>3.2885504584400052E-2</v>
      </c>
      <c r="F95" s="375">
        <f>SUM(F86:F94)</f>
        <v>3.4948014122588786E-2</v>
      </c>
      <c r="G95" s="375">
        <f t="shared" ref="G95:AH95" si="84">SUM(G86:G94)</f>
        <v>3.7140614492455572E-2</v>
      </c>
      <c r="H95" s="375">
        <f t="shared" si="84"/>
        <v>3.472837966748131E-2</v>
      </c>
      <c r="I95" s="375">
        <f t="shared" si="84"/>
        <v>3.6925034524553729E-2</v>
      </c>
      <c r="J95" s="375">
        <f t="shared" si="84"/>
        <v>3.9256235358945422E-2</v>
      </c>
      <c r="K95" s="375">
        <f t="shared" si="84"/>
        <v>4.1734119329969135E-2</v>
      </c>
      <c r="L95" s="375">
        <f t="shared" si="84"/>
        <v>4.4365664603950861E-2</v>
      </c>
      <c r="M95" s="375">
        <f t="shared" si="84"/>
        <v>4.7160325368943067E-2</v>
      </c>
      <c r="N95" s="376">
        <f t="shared" si="84"/>
        <v>5.0128402268005898E-2</v>
      </c>
      <c r="O95" s="375">
        <f t="shared" si="84"/>
        <v>5.3733592258577823E-2</v>
      </c>
      <c r="P95" s="375">
        <f t="shared" si="84"/>
        <v>5.75956572630658E-2</v>
      </c>
      <c r="Q95" s="375">
        <f t="shared" si="84"/>
        <v>6.1731525927687957E-2</v>
      </c>
      <c r="R95" s="375">
        <f t="shared" si="84"/>
        <v>6.6163975669058114E-2</v>
      </c>
      <c r="S95" s="375">
        <f t="shared" si="84"/>
        <v>7.0913320784851755E-2</v>
      </c>
      <c r="T95" s="375">
        <f t="shared" si="84"/>
        <v>7.6003225756754042E-2</v>
      </c>
      <c r="U95" s="375">
        <f t="shared" si="84"/>
        <v>8.1457238425480805E-2</v>
      </c>
      <c r="V95" s="375">
        <f t="shared" si="84"/>
        <v>8.7301119662945612E-2</v>
      </c>
      <c r="W95" s="375">
        <f t="shared" si="84"/>
        <v>9.3563031357694143E-2</v>
      </c>
      <c r="X95" s="376">
        <f t="shared" si="84"/>
        <v>0.10027346063738349</v>
      </c>
      <c r="Y95" s="375">
        <f t="shared" si="84"/>
        <v>0.10442632459027329</v>
      </c>
      <c r="Z95" s="375">
        <f t="shared" si="84"/>
        <v>0.10874967441532445</v>
      </c>
      <c r="AA95" s="375">
        <f t="shared" si="84"/>
        <v>0.11325162955439773</v>
      </c>
      <c r="AB95" s="375">
        <f t="shared" si="84"/>
        <v>0.1179385787562001</v>
      </c>
      <c r="AC95" s="375">
        <f t="shared" si="84"/>
        <v>0.12281770131822328</v>
      </c>
      <c r="AD95" s="375">
        <f t="shared" si="84"/>
        <v>0.12789817333563078</v>
      </c>
      <c r="AE95" s="375">
        <f t="shared" si="84"/>
        <v>0.13318648230765229</v>
      </c>
      <c r="AF95" s="375">
        <f t="shared" si="84"/>
        <v>0.13869235520947606</v>
      </c>
      <c r="AG95" s="375">
        <f t="shared" si="84"/>
        <v>0.14442640046225041</v>
      </c>
      <c r="AH95" s="376">
        <f t="shared" si="84"/>
        <v>0.15039797527746726</v>
      </c>
      <c r="AI95" s="377"/>
    </row>
    <row r="96" spans="1:35">
      <c r="A96" s="10" t="s">
        <v>544</v>
      </c>
      <c r="B96" s="37"/>
      <c r="C96" s="332"/>
      <c r="D96" s="332">
        <f>D95/C95-1</f>
        <v>6.2739938259015915E-2</v>
      </c>
      <c r="E96" s="332">
        <f t="shared" ref="E96:O96" si="85">E95/D95-1</f>
        <v>6.2988087086956357E-2</v>
      </c>
      <c r="F96" s="332">
        <f t="shared" si="85"/>
        <v>6.2717892404397846E-2</v>
      </c>
      <c r="G96" s="332">
        <f t="shared" si="85"/>
        <v>6.2738911635313421E-2</v>
      </c>
      <c r="H96" s="284"/>
      <c r="I96" s="164">
        <f t="shared" si="85"/>
        <v>6.325244304816513E-2</v>
      </c>
      <c r="J96" s="164">
        <f t="shared" si="85"/>
        <v>6.3133342037677398E-2</v>
      </c>
      <c r="K96" s="164">
        <f t="shared" si="85"/>
        <v>6.3120774276157698E-2</v>
      </c>
      <c r="L96" s="164">
        <f t="shared" si="85"/>
        <v>6.30550090964066E-2</v>
      </c>
      <c r="M96" s="164">
        <f t="shared" si="85"/>
        <v>6.2991522609656458E-2</v>
      </c>
      <c r="N96" s="164">
        <f t="shared" si="85"/>
        <v>6.2935886804068364E-2</v>
      </c>
      <c r="O96" s="172">
        <f t="shared" si="85"/>
        <v>7.1919108279118404E-2</v>
      </c>
      <c r="P96" s="172">
        <f t="shared" ref="P96:AH96" si="86">P95/O95-1</f>
        <v>7.1874312551129638E-2</v>
      </c>
      <c r="Q96" s="172">
        <f t="shared" si="86"/>
        <v>7.1808689424824879E-2</v>
      </c>
      <c r="R96" s="172">
        <f t="shared" si="86"/>
        <v>7.1802044008474786E-2</v>
      </c>
      <c r="S96" s="172">
        <f t="shared" si="86"/>
        <v>7.1781434954107493E-2</v>
      </c>
      <c r="T96" s="172">
        <f t="shared" si="86"/>
        <v>7.1776429527885988E-2</v>
      </c>
      <c r="U96" s="172">
        <f t="shared" si="86"/>
        <v>7.1760278783194797E-2</v>
      </c>
      <c r="V96" s="172">
        <f t="shared" si="86"/>
        <v>7.174170583760886E-2</v>
      </c>
      <c r="W96" s="172">
        <f t="shared" si="86"/>
        <v>7.1727736355784222E-2</v>
      </c>
      <c r="X96" s="185">
        <f t="shared" si="86"/>
        <v>7.1720947711016114E-2</v>
      </c>
      <c r="Y96" s="172">
        <f t="shared" si="86"/>
        <v>4.1415384753775486E-2</v>
      </c>
      <c r="Z96" s="172">
        <f t="shared" si="86"/>
        <v>4.1400957488585632E-2</v>
      </c>
      <c r="AA96" s="172">
        <f t="shared" si="86"/>
        <v>4.1397412574128101E-2</v>
      </c>
      <c r="AB96" s="172">
        <f t="shared" si="86"/>
        <v>4.1385269423881654E-2</v>
      </c>
      <c r="AC96" s="172">
        <f t="shared" si="86"/>
        <v>4.1370030175700068E-2</v>
      </c>
      <c r="AD96" s="172">
        <f t="shared" si="86"/>
        <v>4.136595916450081E-2</v>
      </c>
      <c r="AE96" s="172">
        <f t="shared" si="86"/>
        <v>4.1347806884965532E-2</v>
      </c>
      <c r="AF96" s="172">
        <f t="shared" si="86"/>
        <v>4.1339577458811227E-2</v>
      </c>
      <c r="AG96" s="172">
        <f t="shared" si="86"/>
        <v>4.134362881150766E-2</v>
      </c>
      <c r="AH96" s="185">
        <f t="shared" si="86"/>
        <v>4.134683683941609E-2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-1.5E-3</v>
      </c>
      <c r="D102" s="331">
        <f>D31*Inputs!$C$48</f>
        <v>-1.6626272096665748E-3</v>
      </c>
      <c r="E102" s="331">
        <f>E31*Inputs!$C$48</f>
        <v>-1.4974724732563017E-3</v>
      </c>
      <c r="F102" s="331">
        <f>F31*Inputs!$C$48</f>
        <v>-1.5399731872750798E-3</v>
      </c>
      <c r="G102" s="331">
        <f>G31*Inputs!$C$48</f>
        <v>-1.4656136744955622E-3</v>
      </c>
      <c r="H102" s="402">
        <f>H31*Inputs!$C$48</f>
        <v>-1.5E-3</v>
      </c>
      <c r="I102" s="14">
        <f>I31*Inputs!$C$48</f>
        <v>-1.5184599505734841E-3</v>
      </c>
      <c r="J102" s="14">
        <f>J31*Inputs!$C$48</f>
        <v>-1.5579241125112588E-3</v>
      </c>
      <c r="K102" s="14">
        <f>K31*Inputs!$C$48</f>
        <v>-1.5313281803612906E-3</v>
      </c>
      <c r="L102" s="14">
        <f>L31*Inputs!$C$48</f>
        <v>-1.5137938941419023E-3</v>
      </c>
      <c r="M102" s="14">
        <f>M31*Inputs!$C$48</f>
        <v>-1.5050238285650903E-3</v>
      </c>
      <c r="N102" s="182">
        <f>N31*Inputs!$C$48</f>
        <v>-1.5E-3</v>
      </c>
      <c r="O102" s="14">
        <f>O31*Inputs!$C$48</f>
        <v>-1.5002122714922383E-3</v>
      </c>
      <c r="P102" s="14">
        <f>P31*Inputs!$C$48</f>
        <v>-1.5026693460862839E-3</v>
      </c>
      <c r="Q102" s="14">
        <f>Q31*Inputs!$C$48</f>
        <v>-1.5202641586150012E-3</v>
      </c>
      <c r="R102" s="14">
        <f>R31*Inputs!$C$48</f>
        <v>-1.5259537783976691E-3</v>
      </c>
      <c r="S102" s="14">
        <f>S31*Inputs!$C$48</f>
        <v>-1.5291049624804856E-3</v>
      </c>
      <c r="T102" s="14">
        <f>T31*Inputs!$C$48</f>
        <v>-1.5238545832792635E-3</v>
      </c>
      <c r="U102" s="14">
        <f>U31*Inputs!$C$48</f>
        <v>-1.5173573069639944E-3</v>
      </c>
      <c r="V102" s="14">
        <f>V31*Inputs!$C$48</f>
        <v>-1.5121751888179608E-3</v>
      </c>
      <c r="W102" s="14">
        <f>W31*Inputs!$C$48</f>
        <v>-1.5072428123000033E-3</v>
      </c>
      <c r="X102" s="187">
        <f>X31*Inputs!$C$48</f>
        <v>-1.4999999749684963E-3</v>
      </c>
      <c r="Y102" s="158">
        <f>Y31*Inputs!$C$48</f>
        <v>-1.4936191693779965E-3</v>
      </c>
      <c r="Z102" s="158">
        <f>Z31*Inputs!$C$48</f>
        <v>-1.4901818119162327E-3</v>
      </c>
      <c r="AA102" s="158">
        <f>AA31*Inputs!$C$48</f>
        <v>-1.4844092239660715E-3</v>
      </c>
      <c r="AB102" s="158">
        <f>AB31*Inputs!$C$48</f>
        <v>-1.4810416450560654E-3</v>
      </c>
      <c r="AC102" s="158">
        <f>AC31*Inputs!$C$48</f>
        <v>-1.481945717880815E-3</v>
      </c>
      <c r="AD102" s="158">
        <f>AD31*Inputs!$C$48</f>
        <v>-1.4817699723429258E-3</v>
      </c>
      <c r="AE102" s="158">
        <f>AE31*Inputs!$C$48</f>
        <v>-1.4880828350917327E-3</v>
      </c>
      <c r="AF102" s="158">
        <f>AF31*Inputs!$C$48</f>
        <v>-1.4962421396828047E-3</v>
      </c>
      <c r="AG102" s="158">
        <f>AG31*Inputs!$C$48</f>
        <v>-1.500038588885855E-3</v>
      </c>
      <c r="AH102" s="187">
        <f>AH31*Inputs!$C$48</f>
        <v>-1.4999999749684963E-3</v>
      </c>
    </row>
    <row r="103" spans="1:36">
      <c r="A103" s="10" t="s">
        <v>59</v>
      </c>
      <c r="B103" s="35">
        <v>0</v>
      </c>
      <c r="C103" s="331">
        <f>C32*Inputs!$C$53</f>
        <v>1539.8600000000001</v>
      </c>
      <c r="D103" s="331">
        <f>D32*Inputs!$C$53</f>
        <v>1713.5792795097209</v>
      </c>
      <c r="E103" s="331">
        <f>E32*Inputs!$C$53</f>
        <v>1549.5823861944755</v>
      </c>
      <c r="F103" s="331">
        <f>F32*Inputs!$C$53</f>
        <v>1600.0859660900562</v>
      </c>
      <c r="G103" s="331">
        <f>G32*Inputs!$C$53</f>
        <v>1529.1585345199703</v>
      </c>
      <c r="H103" s="402">
        <f>H32*Inputs!$C$53</f>
        <v>1387.3157051829689</v>
      </c>
      <c r="I103" s="14">
        <f>I32*Inputs!$C$53</f>
        <v>1439.3357313202173</v>
      </c>
      <c r="J103" s="14">
        <f>J32*Inputs!$C$53</f>
        <v>1513.8799663777443</v>
      </c>
      <c r="K103" s="14">
        <f>K32*Inputs!$C$53</f>
        <v>1525.8666946499975</v>
      </c>
      <c r="L103" s="14">
        <f>L32*Inputs!$C$53</f>
        <v>1547.1785788616633</v>
      </c>
      <c r="M103" s="14">
        <f>M32*Inputs!$C$53</f>
        <v>1578.2301159526187</v>
      </c>
      <c r="N103" s="182">
        <f>N32*Inputs!$C$53</f>
        <v>1614.3783584708108</v>
      </c>
      <c r="O103" s="14">
        <f>O32*Inputs!$C$53</f>
        <v>1614.606816139604</v>
      </c>
      <c r="P103" s="14">
        <f>P32*Inputs!$C$53</f>
        <v>1617.2512481727877</v>
      </c>
      <c r="Q103" s="14">
        <f>Q32*Inputs!$C$53</f>
        <v>1636.1877045512626</v>
      </c>
      <c r="R103" s="14">
        <f>R32*Inputs!$C$53</f>
        <v>1642.3111705813069</v>
      </c>
      <c r="S103" s="14">
        <f>S32*Inputs!$C$53</f>
        <v>1645.7026395058781</v>
      </c>
      <c r="T103" s="14">
        <f>T32*Inputs!$C$53</f>
        <v>1640.0519071350659</v>
      </c>
      <c r="U103" s="14">
        <f>U32*Inputs!$C$53</f>
        <v>1633.0591989534819</v>
      </c>
      <c r="V103" s="14">
        <f>V32*Inputs!$C$53</f>
        <v>1627.4819326961517</v>
      </c>
      <c r="W103" s="14">
        <f>W32*Inputs!$C$53</f>
        <v>1622.173451425205</v>
      </c>
      <c r="X103" s="187">
        <f>X32*Inputs!$C$53</f>
        <v>1614.3783315305989</v>
      </c>
      <c r="Y103" s="158">
        <f>Y32*Inputs!$C$53</f>
        <v>1607.510975227324</v>
      </c>
      <c r="Z103" s="158">
        <f>Z32*Inputs!$C$53</f>
        <v>1603.8115115629244</v>
      </c>
      <c r="AA103" s="158">
        <f>AA32*Inputs!$C$53</f>
        <v>1597.5987508568514</v>
      </c>
      <c r="AB103" s="158">
        <f>AB32*Inputs!$C$53</f>
        <v>1593.9743865150142</v>
      </c>
      <c r="AC103" s="158">
        <f>AC32*Inputs!$C$53</f>
        <v>1594.9473969168523</v>
      </c>
      <c r="AD103" s="158">
        <f>AD32*Inputs!$C$53</f>
        <v>1594.7582503882086</v>
      </c>
      <c r="AE103" s="158">
        <f>AE32*Inputs!$C$53</f>
        <v>1601.5524830559891</v>
      </c>
      <c r="AF103" s="158">
        <f>AF32*Inputs!$C$53</f>
        <v>1610.3339528906549</v>
      </c>
      <c r="AG103" s="158">
        <f>AG32*Inputs!$C$53</f>
        <v>1614.4198898456139</v>
      </c>
      <c r="AH103" s="187">
        <f>AH32*Inputs!$C$53</f>
        <v>1614.3783315305986</v>
      </c>
    </row>
    <row r="104" spans="1:36">
      <c r="A104" s="10" t="s">
        <v>121</v>
      </c>
      <c r="B104" s="35">
        <v>1</v>
      </c>
      <c r="C104" s="331">
        <f>C34*Inputs!$C$46</f>
        <v>297.57</v>
      </c>
      <c r="D104" s="331">
        <f>D34*Inputs!$C$46</f>
        <v>353.97243989672171</v>
      </c>
      <c r="E104" s="331">
        <f>E34*Inputs!$C$46</f>
        <v>342.17800180428389</v>
      </c>
      <c r="F104" s="331">
        <f>F34*Inputs!$C$46</f>
        <v>377.71819019563571</v>
      </c>
      <c r="G104" s="331">
        <f>G34*Inputs!$C$46</f>
        <v>385.90414750971109</v>
      </c>
      <c r="H104" s="402">
        <f>H34*Inputs!$C$46</f>
        <v>356.13472535953775</v>
      </c>
      <c r="I104" s="14">
        <f>I34*Inputs!$C$46</f>
        <v>389.8625858111825</v>
      </c>
      <c r="J104" s="14">
        <f>J34*Inputs!$C$46</f>
        <v>432.6866887290102</v>
      </c>
      <c r="K104" s="14">
        <f>K34*Inputs!$C$46</f>
        <v>460.20700062863813</v>
      </c>
      <c r="L104" s="14">
        <f>L34*Inputs!$C$46</f>
        <v>492.43985113484484</v>
      </c>
      <c r="M104" s="14">
        <f>M34*Inputs!$C$46</f>
        <v>530.12767771495351</v>
      </c>
      <c r="N104" s="182">
        <f>N34*Inputs!$C$46</f>
        <v>572.3133478904806</v>
      </c>
      <c r="O104" s="14">
        <f>O34*Inputs!$C$46</f>
        <v>621.12039932882965</v>
      </c>
      <c r="P104" s="14">
        <f>P34*Inputs!$C$46</f>
        <v>675.20304098444774</v>
      </c>
      <c r="Q104" s="14">
        <f>Q34*Inputs!$C$46</f>
        <v>741.49296404947108</v>
      </c>
      <c r="R104" s="14">
        <f>R34*Inputs!$C$46</f>
        <v>808.01101548602799</v>
      </c>
      <c r="S104" s="14">
        <f>S34*Inputs!$C$46</f>
        <v>879.17207009578317</v>
      </c>
      <c r="T104" s="14">
        <f>T34*Inputs!$C$46</f>
        <v>951.51463258347906</v>
      </c>
      <c r="U104" s="14">
        <f>U34*Inputs!$C$46</f>
        <v>1029.1338020343512</v>
      </c>
      <c r="V104" s="14">
        <f>V34*Inputs!$C$46</f>
        <v>1114.2352211068235</v>
      </c>
      <c r="W104" s="14">
        <f>W34*Inputs!$C$46</f>
        <v>1206.7844563120734</v>
      </c>
      <c r="X104" s="187">
        <f>X34*Inputs!$C$46</f>
        <v>1305.2467638481749</v>
      </c>
      <c r="Y104" s="158">
        <f>Y34*Inputs!$C$46</f>
        <v>1364.8971062347334</v>
      </c>
      <c r="Z104" s="158">
        <f>Z34*Inputs!$C$46</f>
        <v>1430.1740115624193</v>
      </c>
      <c r="AA104" s="158">
        <f>AA34*Inputs!$C$46</f>
        <v>1496.3194268045463</v>
      </c>
      <c r="AB104" s="158">
        <f>AB34*Inputs!$C$46</f>
        <v>1568.162219991144</v>
      </c>
      <c r="AC104" s="158">
        <f>AC34*Inputs!$C$46</f>
        <v>1648.320327306988</v>
      </c>
      <c r="AD104" s="158">
        <f>AD34*Inputs!$C$46</f>
        <v>1731.4455449140466</v>
      </c>
      <c r="AE104" s="158">
        <f>AE34*Inputs!$C$46</f>
        <v>1826.8698045749998</v>
      </c>
      <c r="AF104" s="158">
        <f>AF34*Inputs!$C$46</f>
        <v>1930.0525367045777</v>
      </c>
      <c r="AG104" s="158">
        <f>AG34*Inputs!$C$46</f>
        <v>2033.2527707521772</v>
      </c>
      <c r="AH104" s="187">
        <f>AH34*Inputs!$C$46</f>
        <v>2136.6700105796867</v>
      </c>
    </row>
    <row r="105" spans="1:36">
      <c r="A105" s="10" t="s">
        <v>50</v>
      </c>
      <c r="B105" s="35">
        <v>1</v>
      </c>
      <c r="C105" s="331">
        <f>C35*Inputs!$C$49</f>
        <v>0</v>
      </c>
      <c r="D105" s="331">
        <f>D35*Inputs!$C$49</f>
        <v>0</v>
      </c>
      <c r="E105" s="331">
        <f>E35*Inputs!$C$49</f>
        <v>1.00297075E-2</v>
      </c>
      <c r="F105" s="331">
        <f>F35*Inputs!$C$49</f>
        <v>9.3954975000000007E-3</v>
      </c>
      <c r="G105" s="331">
        <f>G35*Inputs!$C$49</f>
        <v>1.0272635E-2</v>
      </c>
      <c r="H105" s="402">
        <f>H35*Inputs!$C$49</f>
        <v>1.0272675E-2</v>
      </c>
      <c r="I105" s="14">
        <f>I35*Inputs!$C$49</f>
        <v>1.1012143158140683E-2</v>
      </c>
      <c r="J105" s="14">
        <f>J35*Inputs!$C$49</f>
        <v>1.1968091136417962E-2</v>
      </c>
      <c r="K105" s="14">
        <f>K35*Inputs!$C$49</f>
        <v>1.246509627619107E-2</v>
      </c>
      <c r="L105" s="14">
        <f>L35*Inputs!$C$49</f>
        <v>1.306130801108076E-2</v>
      </c>
      <c r="M105" s="14">
        <f>M35*Inputs!$C$49</f>
        <v>1.376908313841518E-2</v>
      </c>
      <c r="N105" s="182">
        <f>N35*Inputs!$C$49</f>
        <v>1.4556249180270668E-2</v>
      </c>
      <c r="O105" s="14">
        <f>O35*Inputs!$C$49</f>
        <v>1.5797610412032217E-2</v>
      </c>
      <c r="P105" s="14">
        <f>P35*Inputs!$C$49</f>
        <v>1.7173151295655137E-2</v>
      </c>
      <c r="Q105" s="14">
        <f>Q35*Inputs!$C$49</f>
        <v>1.8859172846318155E-2</v>
      </c>
      <c r="R105" s="14">
        <f>R35*Inputs!$C$49</f>
        <v>2.055099662653492E-2</v>
      </c>
      <c r="S105" s="14">
        <f>S35*Inputs!$C$49</f>
        <v>2.236091080492774E-2</v>
      </c>
      <c r="T105" s="14">
        <f>T35*Inputs!$C$49</f>
        <v>2.4200875519697441E-2</v>
      </c>
      <c r="U105" s="14">
        <f>U35*Inputs!$C$49</f>
        <v>2.6175045746299877E-2</v>
      </c>
      <c r="V105" s="14">
        <f>V35*Inputs!$C$49</f>
        <v>2.833951992146903E-2</v>
      </c>
      <c r="W105" s="14">
        <f>W35*Inputs!$C$49</f>
        <v>3.0693422261955587E-2</v>
      </c>
      <c r="X105" s="187">
        <f>X35*Inputs!$C$49</f>
        <v>3.3197718009456124E-2</v>
      </c>
      <c r="Y105" s="158">
        <f>Y35*Inputs!$C$49</f>
        <v>3.4714868099817747E-2</v>
      </c>
      <c r="Z105" s="158">
        <f>Z35*Inputs!$C$49</f>
        <v>3.6375124501610713E-2</v>
      </c>
      <c r="AA105" s="158">
        <f>AA35*Inputs!$C$49</f>
        <v>3.8057470632355025E-2</v>
      </c>
      <c r="AB105" s="158">
        <f>AB35*Inputs!$C$49</f>
        <v>3.9884724187222116E-2</v>
      </c>
      <c r="AC105" s="158">
        <f>AC35*Inputs!$C$49</f>
        <v>4.1923469899180575E-2</v>
      </c>
      <c r="AD105" s="158">
        <f>AD35*Inputs!$C$49</f>
        <v>4.4037681257543142E-2</v>
      </c>
      <c r="AE105" s="158">
        <f>AE35*Inputs!$C$49</f>
        <v>4.6464707128226646E-2</v>
      </c>
      <c r="AF105" s="158">
        <f>AF35*Inputs!$C$49</f>
        <v>4.908906241456653E-2</v>
      </c>
      <c r="AG105" s="158">
        <f>AG35*Inputs!$C$49</f>
        <v>5.1713862845652367E-2</v>
      </c>
      <c r="AH105" s="187">
        <f>AH35*Inputs!$C$49</f>
        <v>5.4344182613684608E-2</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0</v>
      </c>
      <c r="D107" s="331">
        <f>D37*Inputs!$C$52</f>
        <v>0</v>
      </c>
      <c r="E107" s="331">
        <f>E37*Inputs!$C$52</f>
        <v>2.0090294999999998E-4</v>
      </c>
      <c r="F107" s="331">
        <f>F37*Inputs!$C$52</f>
        <v>2.0802599999999996E-4</v>
      </c>
      <c r="G107" s="331">
        <f>G37*Inputs!$C$52</f>
        <v>1.6920164999999999E-4</v>
      </c>
      <c r="H107" s="402">
        <f>H37*Inputs!$C$52</f>
        <v>1.8206624999999999E-4</v>
      </c>
      <c r="I107" s="14">
        <f>I37*Inputs!$C$52</f>
        <v>1.9161263331956622E-4</v>
      </c>
      <c r="J107" s="14">
        <f>J37*Inputs!$C$52</f>
        <v>2.0444833143590246E-4</v>
      </c>
      <c r="K107" s="14">
        <f>K37*Inputs!$C$52</f>
        <v>2.0905507363233581E-4</v>
      </c>
      <c r="L107" s="14">
        <f>L37*Inputs!$C$52</f>
        <v>2.1505925548511164E-4</v>
      </c>
      <c r="M107" s="14">
        <f>M37*Inputs!$C$52</f>
        <v>2.2257833080787946E-4</v>
      </c>
      <c r="N107" s="182">
        <f>N37*Inputs!$C$52</f>
        <v>2.3101157037849288E-4</v>
      </c>
      <c r="O107" s="14">
        <f>O37*Inputs!$C$52</f>
        <v>2.507123053689943E-4</v>
      </c>
      <c r="P107" s="14">
        <f>P37*Inputs!$C$52</f>
        <v>2.725425073468668E-4</v>
      </c>
      <c r="Q107" s="14">
        <f>Q37*Inputs!$C$52</f>
        <v>2.9930012060884334E-4</v>
      </c>
      <c r="R107" s="14">
        <f>R37*Inputs!$C$52</f>
        <v>3.261498168067677E-4</v>
      </c>
      <c r="S107" s="14">
        <f>S37*Inputs!$C$52</f>
        <v>3.5487363922989077E-4</v>
      </c>
      <c r="T107" s="14">
        <f>T37*Inputs!$C$52</f>
        <v>3.8407437170815008E-4</v>
      </c>
      <c r="U107" s="14">
        <f>U37*Inputs!$C$52</f>
        <v>4.1540498157844734E-4</v>
      </c>
      <c r="V107" s="14">
        <f>V37*Inputs!$C$52</f>
        <v>4.4975576604614094E-4</v>
      </c>
      <c r="W107" s="14">
        <f>W37*Inputs!$C$52</f>
        <v>4.8711282619666641E-4</v>
      </c>
      <c r="X107" s="187">
        <f>X37*Inputs!$C$52</f>
        <v>5.2685666996834352E-4</v>
      </c>
      <c r="Y107" s="158">
        <f>Y37*Inputs!$C$52</f>
        <v>5.5093424795796373E-4</v>
      </c>
      <c r="Z107" s="158">
        <f>Z37*Inputs!$C$52</f>
        <v>5.7728296141149407E-4</v>
      </c>
      <c r="AA107" s="158">
        <f>AA37*Inputs!$C$52</f>
        <v>6.0398224477565805E-4</v>
      </c>
      <c r="AB107" s="158">
        <f>AB37*Inputs!$C$52</f>
        <v>6.3298124774420169E-4</v>
      </c>
      <c r="AC107" s="158">
        <f>AC37*Inputs!$C$52</f>
        <v>6.6533668785031717E-4</v>
      </c>
      <c r="AD107" s="158">
        <f>AD37*Inputs!$C$52</f>
        <v>6.9888978796276661E-4</v>
      </c>
      <c r="AE107" s="158">
        <f>AE37*Inputs!$C$52</f>
        <v>7.3740733810856603E-4</v>
      </c>
      <c r="AF107" s="158">
        <f>AF37*Inputs!$C$52</f>
        <v>7.790565588947963E-4</v>
      </c>
      <c r="AG107" s="158">
        <f>AG37*Inputs!$C$52</f>
        <v>8.2071284424728485E-4</v>
      </c>
      <c r="AH107" s="187">
        <f>AH37*Inputs!$C$52</f>
        <v>8.6245672295432851E-4</v>
      </c>
    </row>
    <row r="108" spans="1:36">
      <c r="A108" s="9" t="s">
        <v>347</v>
      </c>
      <c r="B108" s="35">
        <v>1</v>
      </c>
      <c r="C108" s="331">
        <f>C38*Inputs!$C$54</f>
        <v>0</v>
      </c>
      <c r="D108" s="331">
        <f>D38*Inputs!$C$54</f>
        <v>0</v>
      </c>
      <c r="E108" s="331">
        <f>E38*Inputs!$C$54</f>
        <v>0.15800000000000003</v>
      </c>
      <c r="F108" s="331">
        <f>F38*Inputs!$C$54</f>
        <v>0.15800000000000003</v>
      </c>
      <c r="G108" s="331">
        <f>G38*Inputs!$C$54</f>
        <v>0.15800000000000003</v>
      </c>
      <c r="H108" s="402">
        <f>H38*Inputs!$C$54</f>
        <v>0.15800000000000003</v>
      </c>
      <c r="I108" s="14">
        <f>I38*Inputs!$C$54</f>
        <v>0.16439623995466318</v>
      </c>
      <c r="J108" s="14">
        <f>J38*Inputs!$C$54</f>
        <v>0.17341689753308256</v>
      </c>
      <c r="K108" s="14">
        <f>K38*Inputs!$C$54</f>
        <v>0.17531079328014032</v>
      </c>
      <c r="L108" s="14">
        <f>L38*Inputs!$C$54</f>
        <v>0.1782978810384164</v>
      </c>
      <c r="M108" s="14">
        <f>M38*Inputs!$C$54</f>
        <v>0.18243620354382217</v>
      </c>
      <c r="N108" s="182">
        <f>N38*Inputs!$C$54</f>
        <v>0.18719833356695736</v>
      </c>
      <c r="O108" s="14">
        <f>O38*Inputs!$C$54</f>
        <v>0.20316266277446723</v>
      </c>
      <c r="P108" s="14">
        <f>P38*Inputs!$C$54</f>
        <v>0.22085258811020836</v>
      </c>
      <c r="Q108" s="14">
        <f>Q38*Inputs!$C$54</f>
        <v>0.24253540081376398</v>
      </c>
      <c r="R108" s="14">
        <f>R38*Inputs!$C$54</f>
        <v>0.26429283217010457</v>
      </c>
      <c r="S108" s="14">
        <f>S38*Inputs!$C$54</f>
        <v>0.28756894635984842</v>
      </c>
      <c r="T108" s="14">
        <f>T38*Inputs!$C$54</f>
        <v>0.31123152070583698</v>
      </c>
      <c r="U108" s="14">
        <f>U38*Inputs!$C$54</f>
        <v>0.33662002374811634</v>
      </c>
      <c r="V108" s="14">
        <f>V38*Inputs!$C$54</f>
        <v>0.36445590053357035</v>
      </c>
      <c r="W108" s="14">
        <f>W38*Inputs!$C$54</f>
        <v>0.39472788819064408</v>
      </c>
      <c r="X108" s="187">
        <f>X38*Inputs!$C$54</f>
        <v>0.42693398640214797</v>
      </c>
      <c r="Y108" s="158">
        <f>Y38*Inputs!$C$54</f>
        <v>0.4464450544780913</v>
      </c>
      <c r="Z108" s="158">
        <f>Z38*Inputs!$C$54</f>
        <v>0.46779651857165494</v>
      </c>
      <c r="AA108" s="158">
        <f>AA38*Inputs!$C$54</f>
        <v>0.48943206412036744</v>
      </c>
      <c r="AB108" s="158">
        <f>AB38*Inputs!$C$54</f>
        <v>0.51293116861076316</v>
      </c>
      <c r="AC108" s="158">
        <f>AC38*Inputs!$C$54</f>
        <v>0.53915013443904025</v>
      </c>
      <c r="AD108" s="158">
        <f>AD38*Inputs!$C$54</f>
        <v>0.56633961424199919</v>
      </c>
      <c r="AE108" s="158">
        <f>AE38*Inputs!$C$54</f>
        <v>0.59755199545979576</v>
      </c>
      <c r="AF108" s="158">
        <f>AF38*Inputs!$C$54</f>
        <v>0.63130210032584377</v>
      </c>
      <c r="AG108" s="158">
        <f>AG38*Inputs!$C$54</f>
        <v>0.66505792990528512</v>
      </c>
      <c r="AH108" s="187">
        <f>AH38*Inputs!$C$54</f>
        <v>0.69888474004200907</v>
      </c>
    </row>
    <row r="109" spans="1:36">
      <c r="A109" s="9" t="s">
        <v>348</v>
      </c>
      <c r="B109" s="35">
        <v>1</v>
      </c>
      <c r="C109" s="331">
        <f>C39*Inputs!$C$54</f>
        <v>0</v>
      </c>
      <c r="D109" s="331">
        <f>D39*Inputs!$C$55</f>
        <v>0</v>
      </c>
      <c r="E109" s="331">
        <f>E39*Inputs!$C$55</f>
        <v>2.3000000000000003E-2</v>
      </c>
      <c r="F109" s="331">
        <f>F39*Inputs!$C$55</f>
        <v>2.3000000000000003E-2</v>
      </c>
      <c r="G109" s="331">
        <f>G39*Inputs!$C$55</f>
        <v>2.3000000000000003E-2</v>
      </c>
      <c r="H109" s="402">
        <f>H39*Inputs!$C$55</f>
        <v>2.3000000000000003E-2</v>
      </c>
      <c r="I109" s="14">
        <f>I39*Inputs!$C$55</f>
        <v>2.3931098221248438E-2</v>
      </c>
      <c r="J109" s="14">
        <f>J39*Inputs!$C$55</f>
        <v>2.5244231919372778E-2</v>
      </c>
      <c r="K109" s="14">
        <f>K39*Inputs!$C$55</f>
        <v>2.5519925604071059E-2</v>
      </c>
      <c r="L109" s="14">
        <f>L39*Inputs!$C$55</f>
        <v>2.5954754834706186E-2</v>
      </c>
      <c r="M109" s="14">
        <f>M39*Inputs!$C$55</f>
        <v>2.6557168870303228E-2</v>
      </c>
      <c r="N109" s="182">
        <f>N39*Inputs!$C$55</f>
        <v>2.725039032936721E-2</v>
      </c>
      <c r="O109" s="14">
        <f>O39*Inputs!$C$55</f>
        <v>2.9574311669700929E-2</v>
      </c>
      <c r="P109" s="14">
        <f>P39*Inputs!$C$55</f>
        <v>3.2149427383131597E-2</v>
      </c>
      <c r="Q109" s="14">
        <f>Q39*Inputs!$C$55</f>
        <v>3.5305786194408682E-2</v>
      </c>
      <c r="R109" s="14">
        <f>R39*Inputs!$C$55</f>
        <v>3.847300721463548E-2</v>
      </c>
      <c r="S109" s="14">
        <f>S39*Inputs!$C$55</f>
        <v>4.1861302318205784E-2</v>
      </c>
      <c r="T109" s="14">
        <f>T39*Inputs!$C$55</f>
        <v>4.5305854279963614E-2</v>
      </c>
      <c r="U109" s="14">
        <f>U39*Inputs!$C$55</f>
        <v>4.900164902662453E-2</v>
      </c>
      <c r="V109" s="14">
        <f>V39*Inputs!$C$55</f>
        <v>5.3053707039696953E-2</v>
      </c>
      <c r="W109" s="14">
        <f>W39*Inputs!$C$55</f>
        <v>5.7460388787245659E-2</v>
      </c>
      <c r="X109" s="187">
        <f>X39*Inputs!$C$55</f>
        <v>6.2148618273730402E-2</v>
      </c>
      <c r="Y109" s="158">
        <f>Y39*Inputs!$C$55</f>
        <v>6.4988837044279116E-2</v>
      </c>
      <c r="Z109" s="158">
        <f>Z39*Inputs!$C$55</f>
        <v>6.8096961564228245E-2</v>
      </c>
      <c r="AA109" s="158">
        <f>AA39*Inputs!$C$55</f>
        <v>7.124643971372438E-2</v>
      </c>
      <c r="AB109" s="158">
        <f>AB39*Inputs!$C$55</f>
        <v>7.4667195430680719E-2</v>
      </c>
      <c r="AC109" s="158">
        <f>AC39*Inputs!$C$55</f>
        <v>7.8483880329733718E-2</v>
      </c>
      <c r="AD109" s="158">
        <f>AD39*Inputs!$C$55</f>
        <v>8.2441842579531521E-2</v>
      </c>
      <c r="AE109" s="158">
        <f>AE39*Inputs!$C$55</f>
        <v>8.6985417060603171E-2</v>
      </c>
      <c r="AF109" s="158">
        <f>AF39*Inputs!$C$55</f>
        <v>9.1898407009458269E-2</v>
      </c>
      <c r="AG109" s="158">
        <f>AG39*Inputs!$C$55</f>
        <v>9.6812230302668084E-2</v>
      </c>
      <c r="AH109" s="187">
        <f>AH39*Inputs!$C$55</f>
        <v>0.10173638620864689</v>
      </c>
    </row>
    <row r="110" spans="1:36">
      <c r="A110" s="9" t="s">
        <v>344</v>
      </c>
      <c r="B110" s="35">
        <v>1</v>
      </c>
      <c r="C110" s="331">
        <f>C40*Inputs!$C$51</f>
        <v>2.7000000000000001E-3</v>
      </c>
      <c r="D110" s="331">
        <f>D40*Inputs!$C$51</f>
        <v>3.0526824155765009E-3</v>
      </c>
      <c r="E110" s="331">
        <f>E40*Inputs!$C$51</f>
        <v>2.804799477852967E-3</v>
      </c>
      <c r="F110" s="331">
        <f>F40*Inputs!$C$51</f>
        <v>2.942762333857968E-3</v>
      </c>
      <c r="G110" s="331">
        <f>G40*Inputs!$C$51</f>
        <v>2.857618778278928E-3</v>
      </c>
      <c r="H110" s="402">
        <f>H40*Inputs!$C$51</f>
        <v>2.7000000000000001E-3</v>
      </c>
      <c r="I110" s="14">
        <f>I40*Inputs!$C$51</f>
        <v>2.809302834668295E-3</v>
      </c>
      <c r="J110" s="14">
        <f>J40*Inputs!$C$51</f>
        <v>2.9634533122741957E-3</v>
      </c>
      <c r="K110" s="14">
        <f>K40*Inputs!$C$51</f>
        <v>2.9958173535213854E-3</v>
      </c>
      <c r="L110" s="14">
        <f>L40*Inputs!$C$51</f>
        <v>3.046862524074205E-3</v>
      </c>
      <c r="M110" s="14">
        <f>M40*Inputs!$C$51</f>
        <v>3.1175806934703792E-3</v>
      </c>
      <c r="N110" s="182">
        <f>N40*Inputs!$C$51</f>
        <v>3.1989588647518032E-3</v>
      </c>
      <c r="O110" s="14">
        <f>O40*Inputs!$C$51</f>
        <v>3.471767022095327E-3</v>
      </c>
      <c r="P110" s="14">
        <f>P40*Inputs!$C$51</f>
        <v>3.7740632145415354E-3</v>
      </c>
      <c r="Q110" s="14">
        <f>Q40*Inputs!$C$51</f>
        <v>4.1445922923871075E-3</v>
      </c>
      <c r="R110" s="14">
        <f>R40*Inputs!$C$51</f>
        <v>4.5163964991093829E-3</v>
      </c>
      <c r="S110" s="14">
        <f>S40*Inputs!$C$51</f>
        <v>4.9141528808328535E-3</v>
      </c>
      <c r="T110" s="14">
        <f>T40*Inputs!$C$51</f>
        <v>5.3185133285174706E-3</v>
      </c>
      <c r="U110" s="14">
        <f>U40*Inputs!$C$51</f>
        <v>5.7523674944298395E-3</v>
      </c>
      <c r="V110" s="14">
        <f>V40*Inputs!$C$51</f>
        <v>6.2280438698774712E-3</v>
      </c>
      <c r="W110" s="14">
        <f>W40*Inputs!$C$51</f>
        <v>6.7453499880679724E-3</v>
      </c>
      <c r="X110" s="187">
        <f>X40*Inputs!$C$51</f>
        <v>7.2957073625683506E-3</v>
      </c>
      <c r="Y110" s="158">
        <f>Y40*Inputs!$C$51</f>
        <v>7.6291243486762425E-3</v>
      </c>
      <c r="Z110" s="158">
        <f>Z40*Inputs!$C$51</f>
        <v>7.993991140148534E-3</v>
      </c>
      <c r="AA110" s="158">
        <f>AA40*Inputs!$C$51</f>
        <v>8.3637124881328594E-3</v>
      </c>
      <c r="AB110" s="158">
        <f>AB40*Inputs!$C$51</f>
        <v>8.7652794636016457E-3</v>
      </c>
      <c r="AC110" s="158">
        <f>AC40*Inputs!$C$51</f>
        <v>9.2133250821861291E-3</v>
      </c>
      <c r="AD110" s="158">
        <f>AD40*Inputs!$C$51</f>
        <v>9.6779554332493498E-3</v>
      </c>
      <c r="AE110" s="158">
        <f>AE40*Inputs!$C$51</f>
        <v>1.0211331567983846E-2</v>
      </c>
      <c r="AF110" s="158">
        <f>AF40*Inputs!$C$51</f>
        <v>1.0788073866327706E-2</v>
      </c>
      <c r="AG110" s="158">
        <f>AG40*Inputs!$C$51</f>
        <v>1.1364913992052335E-2</v>
      </c>
      <c r="AH110" s="187">
        <f>AH40*Inputs!$C$51</f>
        <v>1.1942967076667244E-2</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0</v>
      </c>
      <c r="D112" s="331">
        <f>D42*Inputs!$C$57</f>
        <v>0</v>
      </c>
      <c r="E112" s="331">
        <f>E42*Inputs!$C$57</f>
        <v>6.6272665700000009E-3</v>
      </c>
      <c r="F112" s="331">
        <f>F42*Inputs!$C$57</f>
        <v>7.4130069100000013E-3</v>
      </c>
      <c r="G112" s="331">
        <f>G42*Inputs!$C$57</f>
        <v>7.9527526599999995E-3</v>
      </c>
      <c r="H112" s="402">
        <f>H42*Inputs!$C$57</f>
        <v>7.9969280100000012E-3</v>
      </c>
      <c r="I112" s="14">
        <f>I42*Inputs!$C$57</f>
        <v>1.0093402180000001E-2</v>
      </c>
      <c r="J112" s="14">
        <f>J42*Inputs!$C$57</f>
        <v>1.1454708800000001E-2</v>
      </c>
      <c r="K112" s="14">
        <f>K42*Inputs!$C$57</f>
        <v>1.1454764899999997E-2</v>
      </c>
      <c r="L112" s="14">
        <f>L42*Inputs!$C$57</f>
        <v>1.1467857601155707E-2</v>
      </c>
      <c r="M112" s="14">
        <f>M42*Inputs!$C$57</f>
        <v>1.2458467922957366E-2</v>
      </c>
      <c r="N112" s="182">
        <f>N42*Inputs!$C$57</f>
        <v>1.3572913869077217E-2</v>
      </c>
      <c r="O112" s="14">
        <f>O42*Inputs!$C$57</f>
        <v>1.4730415974904565E-2</v>
      </c>
      <c r="P112" s="14">
        <f>P42*Inputs!$C$57</f>
        <v>1.6013033337769815E-2</v>
      </c>
      <c r="Q112" s="14">
        <f>Q42*Inputs!$C$57</f>
        <v>1.7585157104349332E-2</v>
      </c>
      <c r="R112" s="14">
        <f>R42*Inputs!$C$57</f>
        <v>1.9162691135689108E-2</v>
      </c>
      <c r="S112" s="14">
        <f>S42*Inputs!$C$57</f>
        <v>2.0850338066537445E-2</v>
      </c>
      <c r="T112" s="14">
        <f>T42*Inputs!$C$57</f>
        <v>2.2566005494761978E-2</v>
      </c>
      <c r="U112" s="14">
        <f>U42*Inputs!$C$57</f>
        <v>2.4406812293046889E-2</v>
      </c>
      <c r="V112" s="14">
        <f>V42*Inputs!$C$57</f>
        <v>2.6425067214873296E-2</v>
      </c>
      <c r="W112" s="14">
        <f>W42*Inputs!$C$57</f>
        <v>2.861995363980115E-2</v>
      </c>
      <c r="X112" s="187">
        <f>X42*Inputs!$C$57</f>
        <v>3.0955073770170437E-2</v>
      </c>
      <c r="Y112" s="158">
        <f>Y42*Inputs!$C$57</f>
        <v>3.2369734047548171E-2</v>
      </c>
      <c r="Z112" s="158">
        <f>Z42*Inputs!$C$57</f>
        <v>3.3917833208468202E-2</v>
      </c>
      <c r="AA112" s="158">
        <f>AA42*Inputs!$C$57</f>
        <v>3.5486529845065846E-2</v>
      </c>
      <c r="AB112" s="158">
        <f>AB42*Inputs!$C$57</f>
        <v>3.7190344805226837E-2</v>
      </c>
      <c r="AC112" s="158">
        <f>AC42*Inputs!$C$57</f>
        <v>3.9091364745643106E-2</v>
      </c>
      <c r="AD112" s="158">
        <f>AD42*Inputs!$C$57</f>
        <v>4.1062752313463402E-2</v>
      </c>
      <c r="AE112" s="158">
        <f>AE42*Inputs!$C$57</f>
        <v>4.3325822469301223E-2</v>
      </c>
      <c r="AF112" s="158">
        <f>AF42*Inputs!$C$57</f>
        <v>4.5772891616181977E-2</v>
      </c>
      <c r="AG112" s="158">
        <f>AG42*Inputs!$C$57</f>
        <v>4.8220375836425466E-2</v>
      </c>
      <c r="AH112" s="187">
        <f>AH42*Inputs!$C$57</f>
        <v>5.0673006539396784E-2</v>
      </c>
      <c r="AI112" s="31" t="s">
        <v>0</v>
      </c>
    </row>
    <row r="113" spans="1:35" s="20" customFormat="1">
      <c r="A113" s="10" t="s">
        <v>384</v>
      </c>
      <c r="B113" s="37"/>
      <c r="C113" s="334">
        <f>SUM(C100:C112)</f>
        <v>1837.4312</v>
      </c>
      <c r="D113" s="334">
        <f t="shared" ref="D113:AH113" si="87">SUM(D100:D112)</f>
        <v>2067.5531094616485</v>
      </c>
      <c r="E113" s="334">
        <f t="shared" si="87"/>
        <v>1891.9595532027838</v>
      </c>
      <c r="F113" s="334">
        <f t="shared" si="87"/>
        <v>1978.0035756052484</v>
      </c>
      <c r="G113" s="334">
        <f t="shared" si="87"/>
        <v>1915.2634686240949</v>
      </c>
      <c r="H113" s="404">
        <f t="shared" si="87"/>
        <v>1743.6510822117664</v>
      </c>
      <c r="I113" s="19">
        <f t="shared" si="87"/>
        <v>1829.4092324704311</v>
      </c>
      <c r="J113" s="19">
        <f t="shared" si="87"/>
        <v>1946.7903490136746</v>
      </c>
      <c r="K113" s="19">
        <f t="shared" si="87"/>
        <v>1986.300119402943</v>
      </c>
      <c r="L113" s="19">
        <f t="shared" si="87"/>
        <v>2039.8489599258789</v>
      </c>
      <c r="M113" s="19">
        <f t="shared" si="87"/>
        <v>2108.5948497262434</v>
      </c>
      <c r="N113" s="182">
        <f t="shared" si="87"/>
        <v>2186.9362142186724</v>
      </c>
      <c r="O113" s="19">
        <f t="shared" si="87"/>
        <v>2235.9927027363206</v>
      </c>
      <c r="P113" s="19">
        <f t="shared" si="87"/>
        <v>2292.7430212937379</v>
      </c>
      <c r="Q113" s="19">
        <f t="shared" si="87"/>
        <v>2377.9978777459473</v>
      </c>
      <c r="R113" s="19">
        <f t="shared" si="87"/>
        <v>2450.6679821870198</v>
      </c>
      <c r="S113" s="19">
        <f t="shared" si="87"/>
        <v>2525.2510910207675</v>
      </c>
      <c r="T113" s="19">
        <f t="shared" si="87"/>
        <v>2591.9740227076622</v>
      </c>
      <c r="U113" s="19">
        <f t="shared" si="87"/>
        <v>2662.6338549338161</v>
      </c>
      <c r="V113" s="19">
        <f t="shared" si="87"/>
        <v>2742.1945936221318</v>
      </c>
      <c r="W113" s="19">
        <f t="shared" si="87"/>
        <v>2829.4751346101602</v>
      </c>
      <c r="X113" s="182">
        <f t="shared" si="87"/>
        <v>2920.1846533392868</v>
      </c>
      <c r="Y113" s="206">
        <f t="shared" si="87"/>
        <v>2972.9932863951553</v>
      </c>
      <c r="Z113" s="206">
        <f t="shared" si="87"/>
        <v>3034.5987906554792</v>
      </c>
      <c r="AA113" s="206">
        <f t="shared" si="87"/>
        <v>3094.5598834512184</v>
      </c>
      <c r="AB113" s="206">
        <f t="shared" si="87"/>
        <v>3162.8091971582589</v>
      </c>
      <c r="AC113" s="206">
        <f t="shared" si="87"/>
        <v>3243.9747697893058</v>
      </c>
      <c r="AD113" s="206">
        <f t="shared" si="87"/>
        <v>3326.946572267897</v>
      </c>
      <c r="AE113" s="206">
        <f t="shared" si="87"/>
        <v>3429.2060762291776</v>
      </c>
      <c r="AF113" s="206">
        <f t="shared" si="87"/>
        <v>3541.214622944884</v>
      </c>
      <c r="AG113" s="206">
        <f t="shared" si="87"/>
        <v>3648.5451505849287</v>
      </c>
      <c r="AH113" s="182">
        <f t="shared" si="87"/>
        <v>3751.9652858495142</v>
      </c>
      <c r="AI113" s="31" t="s">
        <v>0</v>
      </c>
    </row>
    <row r="114" spans="1:35" s="20" customFormat="1">
      <c r="A114" s="10" t="s">
        <v>385</v>
      </c>
      <c r="B114" s="37"/>
      <c r="C114" s="334">
        <f>SUM(C101:C103)</f>
        <v>1539.8585</v>
      </c>
      <c r="D114" s="334">
        <f t="shared" ref="D114:AH114" si="88">SUM(D101:D103)</f>
        <v>1713.5776168825112</v>
      </c>
      <c r="E114" s="334">
        <f t="shared" si="88"/>
        <v>1549.5808887220023</v>
      </c>
      <c r="F114" s="334">
        <f t="shared" si="88"/>
        <v>1600.0844261168691</v>
      </c>
      <c r="G114" s="334">
        <f t="shared" si="88"/>
        <v>1529.1570689062958</v>
      </c>
      <c r="H114" s="404">
        <f t="shared" si="88"/>
        <v>1387.3142051829689</v>
      </c>
      <c r="I114" s="19">
        <f t="shared" si="88"/>
        <v>1439.3342128602667</v>
      </c>
      <c r="J114" s="19">
        <f t="shared" si="88"/>
        <v>1513.8784084536317</v>
      </c>
      <c r="K114" s="19">
        <f t="shared" si="88"/>
        <v>1525.8651633218171</v>
      </c>
      <c r="L114" s="19">
        <f t="shared" si="88"/>
        <v>1547.177065067769</v>
      </c>
      <c r="M114" s="19">
        <f t="shared" si="88"/>
        <v>1578.2286109287902</v>
      </c>
      <c r="N114" s="182">
        <f t="shared" si="88"/>
        <v>1614.3768584708107</v>
      </c>
      <c r="O114" s="19">
        <f t="shared" si="88"/>
        <v>1614.6053159273324</v>
      </c>
      <c r="P114" s="19">
        <f t="shared" si="88"/>
        <v>1617.2497455034415</v>
      </c>
      <c r="Q114" s="19">
        <f t="shared" si="88"/>
        <v>1636.186184287104</v>
      </c>
      <c r="R114" s="19">
        <f t="shared" si="88"/>
        <v>1642.3096446275285</v>
      </c>
      <c r="S114" s="19">
        <f t="shared" si="88"/>
        <v>1645.7011104009157</v>
      </c>
      <c r="T114" s="19">
        <f t="shared" si="88"/>
        <v>1640.0503832804827</v>
      </c>
      <c r="U114" s="19">
        <f t="shared" si="88"/>
        <v>1633.0576815961749</v>
      </c>
      <c r="V114" s="19">
        <f t="shared" si="88"/>
        <v>1627.480420520963</v>
      </c>
      <c r="W114" s="19">
        <f t="shared" si="88"/>
        <v>1622.1719441823927</v>
      </c>
      <c r="X114" s="182">
        <f t="shared" si="88"/>
        <v>1614.3768315306238</v>
      </c>
      <c r="Y114" s="206">
        <f t="shared" si="88"/>
        <v>1607.5094816081546</v>
      </c>
      <c r="Z114" s="206">
        <f t="shared" si="88"/>
        <v>1603.8100213811124</v>
      </c>
      <c r="AA114" s="206">
        <f t="shared" si="88"/>
        <v>1597.5972664476274</v>
      </c>
      <c r="AB114" s="206">
        <f t="shared" si="88"/>
        <v>1593.9729054733691</v>
      </c>
      <c r="AC114" s="206">
        <f t="shared" si="88"/>
        <v>1594.9459149711345</v>
      </c>
      <c r="AD114" s="206">
        <f t="shared" si="88"/>
        <v>1594.7567686182363</v>
      </c>
      <c r="AE114" s="206">
        <f t="shared" si="88"/>
        <v>1601.550994973154</v>
      </c>
      <c r="AF114" s="206">
        <f t="shared" si="88"/>
        <v>1610.3324566485153</v>
      </c>
      <c r="AG114" s="206">
        <f t="shared" si="88"/>
        <v>1614.4183898070251</v>
      </c>
      <c r="AH114" s="182">
        <f t="shared" si="88"/>
        <v>1614.3768315306236</v>
      </c>
      <c r="AI114" s="31"/>
    </row>
    <row r="115" spans="1:35" s="20" customFormat="1">
      <c r="A115" s="10" t="s">
        <v>386</v>
      </c>
      <c r="B115" s="37"/>
      <c r="C115" s="334">
        <f>SUMPRODUCT($B104:$B112,C104:C112)</f>
        <v>297.5727</v>
      </c>
      <c r="D115" s="334">
        <f t="shared" ref="D115:AH115" si="89">SUMPRODUCT($B104:$B112,D104:D112)</f>
        <v>353.97549257913727</v>
      </c>
      <c r="E115" s="334">
        <f t="shared" si="89"/>
        <v>342.37866448078177</v>
      </c>
      <c r="F115" s="334">
        <f t="shared" si="89"/>
        <v>377.91914948837962</v>
      </c>
      <c r="G115" s="334">
        <f t="shared" si="89"/>
        <v>386.10639971779938</v>
      </c>
      <c r="H115" s="404">
        <f t="shared" si="89"/>
        <v>356.3368770287978</v>
      </c>
      <c r="I115" s="19">
        <f t="shared" si="89"/>
        <v>390.07501961016459</v>
      </c>
      <c r="J115" s="19">
        <f t="shared" si="89"/>
        <v>432.91194056004269</v>
      </c>
      <c r="K115" s="19">
        <f t="shared" si="89"/>
        <v>460.43495608112562</v>
      </c>
      <c r="L115" s="19">
        <f t="shared" si="89"/>
        <v>492.67189485810968</v>
      </c>
      <c r="M115" s="19">
        <f t="shared" si="89"/>
        <v>530.36623879745343</v>
      </c>
      <c r="N115" s="182">
        <f t="shared" si="89"/>
        <v>572.55935574786145</v>
      </c>
      <c r="O115" s="19">
        <f t="shared" si="89"/>
        <v>621.38738680898825</v>
      </c>
      <c r="P115" s="19">
        <f t="shared" si="89"/>
        <v>675.49327579029648</v>
      </c>
      <c r="Q115" s="19">
        <f t="shared" si="89"/>
        <v>741.8116934588428</v>
      </c>
      <c r="R115" s="19">
        <f t="shared" si="89"/>
        <v>808.35833755949079</v>
      </c>
      <c r="S115" s="19">
        <f t="shared" si="89"/>
        <v>879.54998061985282</v>
      </c>
      <c r="T115" s="19">
        <f t="shared" si="89"/>
        <v>951.92363942717952</v>
      </c>
      <c r="U115" s="19">
        <f t="shared" si="89"/>
        <v>1029.5761733376414</v>
      </c>
      <c r="V115" s="19">
        <f t="shared" si="89"/>
        <v>1114.7141731011691</v>
      </c>
      <c r="W115" s="19">
        <f t="shared" si="89"/>
        <v>1207.303190427767</v>
      </c>
      <c r="X115" s="182">
        <f t="shared" si="89"/>
        <v>1305.807821808663</v>
      </c>
      <c r="Y115" s="206">
        <f t="shared" si="89"/>
        <v>1365.4838047869996</v>
      </c>
      <c r="Z115" s="206">
        <f t="shared" si="89"/>
        <v>1430.7887692743668</v>
      </c>
      <c r="AA115" s="206">
        <f t="shared" si="89"/>
        <v>1496.9626170035906</v>
      </c>
      <c r="AB115" s="206">
        <f t="shared" si="89"/>
        <v>1568.8362916848891</v>
      </c>
      <c r="AC115" s="206">
        <f t="shared" si="89"/>
        <v>1649.0288548181716</v>
      </c>
      <c r="AD115" s="206">
        <f t="shared" si="89"/>
        <v>1732.1898036496607</v>
      </c>
      <c r="AE115" s="206">
        <f t="shared" si="89"/>
        <v>1827.6550812560238</v>
      </c>
      <c r="AF115" s="206">
        <f t="shared" si="89"/>
        <v>1930.8821662963692</v>
      </c>
      <c r="AG115" s="206">
        <f t="shared" si="89"/>
        <v>2034.1267607779037</v>
      </c>
      <c r="AH115" s="182">
        <f t="shared" si="89"/>
        <v>2137.5884543188904</v>
      </c>
    </row>
    <row r="116" spans="1:35" s="20" customFormat="1">
      <c r="A116" s="10" t="s">
        <v>142</v>
      </c>
      <c r="B116" s="37"/>
      <c r="C116" s="334">
        <f>C47*Inputs!$C$60</f>
        <v>2789.8639999999996</v>
      </c>
      <c r="D116" s="334">
        <f>D47*Inputs!$C$60</f>
        <v>1402.8756648643332</v>
      </c>
      <c r="E116" s="334">
        <f>E47*Inputs!$C$60</f>
        <v>1632.2714027865766</v>
      </c>
      <c r="F116" s="334">
        <f>F47*Inputs!$C$60</f>
        <v>1383.7395435426072</v>
      </c>
      <c r="G116" s="334">
        <f>G47*Inputs!$C$60</f>
        <v>1495.2920251552409</v>
      </c>
      <c r="H116" s="404">
        <f>H47*Inputs!$C$60</f>
        <v>1592.048903039248</v>
      </c>
      <c r="I116" s="19">
        <f>I47*Inputs!$C$60</f>
        <v>1505.0124213509303</v>
      </c>
      <c r="J116" s="19">
        <f>J47*Inputs!$C$60</f>
        <v>1438.9332945726489</v>
      </c>
      <c r="K116" s="19">
        <f>K47*Inputs!$C$60</f>
        <v>1528.7227138113126</v>
      </c>
      <c r="L116" s="19">
        <f>L47*Inputs!$C$60</f>
        <v>1560.7359264799886</v>
      </c>
      <c r="M116" s="19">
        <f>M47*Inputs!$C$60</f>
        <v>1564.6769350494378</v>
      </c>
      <c r="N116" s="182">
        <f>N47*Inputs!$C$60</f>
        <v>1547.1773581126502</v>
      </c>
      <c r="O116" s="19">
        <f>O47*Inputs!$C$60</f>
        <v>1557.7201962212248</v>
      </c>
      <c r="P116" s="19">
        <f>P47*Inputs!$C$60</f>
        <v>1563.8602922107336</v>
      </c>
      <c r="Q116" s="19">
        <f>Q47*Inputs!$C$60</f>
        <v>1560.4000797164313</v>
      </c>
      <c r="R116" s="19">
        <f>R47*Inputs!$C$60</f>
        <v>1572.4894504700628</v>
      </c>
      <c r="S116" s="19">
        <f>S47*Inputs!$C$60</f>
        <v>1589.3713522817213</v>
      </c>
      <c r="T116" s="19">
        <f>T47*Inputs!$C$60</f>
        <v>1581.7158719088548</v>
      </c>
      <c r="U116" s="19">
        <f>U47*Inputs!$C$60</f>
        <v>1573.7734430585194</v>
      </c>
      <c r="V116" s="19">
        <f>V47*Inputs!$C$60</f>
        <v>1563.7275181021926</v>
      </c>
      <c r="W116" s="19">
        <f>W47*Inputs!$C$60</f>
        <v>1559.5832782417447</v>
      </c>
      <c r="X116" s="182">
        <f>X47*Inputs!$C$60</f>
        <v>1549.374024009817</v>
      </c>
      <c r="Y116" s="206">
        <f>Y47*Inputs!$C$60</f>
        <v>1542.7420833662518</v>
      </c>
      <c r="Z116" s="206">
        <f>Z47*Inputs!$C$60</f>
        <v>1534.3993746930475</v>
      </c>
      <c r="AA116" s="206">
        <f>AA47*Inputs!$C$60</f>
        <v>1525.9106881387709</v>
      </c>
      <c r="AB116" s="206">
        <f>AB47*Inputs!$C$60</f>
        <v>1516.7234213227439</v>
      </c>
      <c r="AC116" s="206">
        <f>AC47*Inputs!$C$60</f>
        <v>1505.2454292176108</v>
      </c>
      <c r="AD116" s="206">
        <f>AD47*Inputs!$C$60</f>
        <v>1494.4058894472234</v>
      </c>
      <c r="AE116" s="206">
        <f>AE47*Inputs!$C$60</f>
        <v>1481.2600767049216</v>
      </c>
      <c r="AF116" s="206">
        <f>AF47*Inputs!$C$60</f>
        <v>1467.4915908250555</v>
      </c>
      <c r="AG116" s="206">
        <f>AG47*Inputs!$C$60</f>
        <v>1456.0087521787539</v>
      </c>
      <c r="AH116" s="182">
        <f>AH47*Inputs!$C$60</f>
        <v>1444.9143597005093</v>
      </c>
      <c r="AI116" s="31"/>
    </row>
    <row r="117" spans="1:35" s="20" customFormat="1">
      <c r="A117" s="10" t="s">
        <v>222</v>
      </c>
      <c r="B117" s="37"/>
      <c r="C117" s="334">
        <f>C48*Inputs!$C$61</f>
        <v>1195.6559999999999</v>
      </c>
      <c r="D117" s="334">
        <f>D48*Inputs!$C$61</f>
        <v>3048.7764559114148</v>
      </c>
      <c r="E117" s="334">
        <f>E48*Inputs!$C$61</f>
        <v>2402.2924329107464</v>
      </c>
      <c r="F117" s="334">
        <f>F48*Inputs!$C$61</f>
        <v>2810.5604008935102</v>
      </c>
      <c r="G117" s="334">
        <f>G48*Inputs!$C$61</f>
        <v>2535.6177557430078</v>
      </c>
      <c r="H117" s="404">
        <f>H48*Inputs!$C$61</f>
        <v>2497.9238406235268</v>
      </c>
      <c r="I117" s="19">
        <f>I48*Inputs!$C$61</f>
        <v>2688.3210049781969</v>
      </c>
      <c r="J117" s="19">
        <f>J48*Inputs!$C$61</f>
        <v>2919.1783508479903</v>
      </c>
      <c r="K117" s="19">
        <f>K48*Inputs!$C$61</f>
        <v>2813.9286931125971</v>
      </c>
      <c r="L117" s="19">
        <f>L48*Inputs!$C$61</f>
        <v>2787.8315412032935</v>
      </c>
      <c r="M117" s="19">
        <f>M48*Inputs!$C$61</f>
        <v>2815.2190505439316</v>
      </c>
      <c r="N117" s="182">
        <f>N48*Inputs!$C$61</f>
        <v>2875.6347781848945</v>
      </c>
      <c r="O117" s="19">
        <f>O48*Inputs!$C$61</f>
        <v>2914.7489881961374</v>
      </c>
      <c r="P117" s="19">
        <f>P48*Inputs!$C$61</f>
        <v>2964.7261778072807</v>
      </c>
      <c r="Q117" s="19">
        <f>Q48*Inputs!$C$61</f>
        <v>3070.174544606436</v>
      </c>
      <c r="R117" s="19">
        <f>R48*Inputs!$C$61</f>
        <v>3123.8404125123002</v>
      </c>
      <c r="S117" s="19">
        <f>S48*Inputs!$C$61</f>
        <v>3164.3734319374457</v>
      </c>
      <c r="T117" s="19">
        <f>T48*Inputs!$C$61</f>
        <v>3202.4037193972422</v>
      </c>
      <c r="U117" s="19">
        <f>U48*Inputs!$C$61</f>
        <v>3235.2314077705551</v>
      </c>
      <c r="V117" s="19">
        <f>V48*Inputs!$C$61</f>
        <v>3272.5856427556178</v>
      </c>
      <c r="W117" s="19">
        <f>W48*Inputs!$C$61</f>
        <v>3302.9276521017891</v>
      </c>
      <c r="X117" s="182">
        <f>X48*Inputs!$C$61</f>
        <v>3329.627302861516</v>
      </c>
      <c r="Y117" s="206">
        <f>Y48*Inputs!$C$61</f>
        <v>3338.6662328869375</v>
      </c>
      <c r="Z117" s="206">
        <f>Z48*Inputs!$C$61</f>
        <v>3358.1095742653383</v>
      </c>
      <c r="AA117" s="206">
        <f>AA48*Inputs!$C$61</f>
        <v>3369.033033463013</v>
      </c>
      <c r="AB117" s="206">
        <f>AB48*Inputs!$C$61</f>
        <v>3387.538438837767</v>
      </c>
      <c r="AC117" s="206">
        <f>AC48*Inputs!$C$61</f>
        <v>3421.4628208963977</v>
      </c>
      <c r="AD117" s="206">
        <f>AD48*Inputs!$C$61</f>
        <v>3450.0750637491001</v>
      </c>
      <c r="AE117" s="206">
        <f>AE48*Inputs!$C$61</f>
        <v>3501.5725966220593</v>
      </c>
      <c r="AF117" s="206">
        <f>AF48*Inputs!$C$61</f>
        <v>3558.7723089031874</v>
      </c>
      <c r="AG117" s="206">
        <f>AG48*Inputs!$C$61</f>
        <v>3597.7434184854978</v>
      </c>
      <c r="AH117" s="182">
        <f>AH48*Inputs!$C$61</f>
        <v>3621.9244420906211</v>
      </c>
      <c r="AI117" s="31"/>
    </row>
    <row r="118" spans="1:35" s="20" customFormat="1">
      <c r="A118" s="10" t="s">
        <v>58</v>
      </c>
      <c r="B118" s="37"/>
      <c r="C118" s="334">
        <f>SUM(C113,C116,C117)</f>
        <v>5822.9511999999995</v>
      </c>
      <c r="D118" s="334">
        <f>SUM(D113,D116,D117)</f>
        <v>6519.2052302373968</v>
      </c>
      <c r="E118" s="334">
        <f t="shared" ref="E118:AH118" si="90">SUM(E113,E116,E117)</f>
        <v>5926.5233889001065</v>
      </c>
      <c r="F118" s="334">
        <f t="shared" si="90"/>
        <v>6172.3035200413651</v>
      </c>
      <c r="G118" s="334">
        <f t="shared" si="90"/>
        <v>5946.1732495223441</v>
      </c>
      <c r="H118" s="404">
        <f t="shared" si="90"/>
        <v>5833.6238258745416</v>
      </c>
      <c r="I118" s="19">
        <f t="shared" si="90"/>
        <v>6022.7426587995578</v>
      </c>
      <c r="J118" s="19">
        <f t="shared" si="90"/>
        <v>6304.9019944343136</v>
      </c>
      <c r="K118" s="19">
        <f t="shared" si="90"/>
        <v>6328.9515263268531</v>
      </c>
      <c r="L118" s="19">
        <f t="shared" si="90"/>
        <v>6388.4164276091615</v>
      </c>
      <c r="M118" s="19">
        <f t="shared" si="90"/>
        <v>6488.4908353196133</v>
      </c>
      <c r="N118" s="182">
        <f t="shared" si="90"/>
        <v>6609.7483505162172</v>
      </c>
      <c r="O118" s="19">
        <f t="shared" si="90"/>
        <v>6708.4618871536823</v>
      </c>
      <c r="P118" s="19">
        <f t="shared" si="90"/>
        <v>6821.3294913117525</v>
      </c>
      <c r="Q118" s="19">
        <f t="shared" si="90"/>
        <v>7008.5725020688151</v>
      </c>
      <c r="R118" s="19">
        <f t="shared" si="90"/>
        <v>7146.9978451693823</v>
      </c>
      <c r="S118" s="19">
        <f t="shared" si="90"/>
        <v>7278.9958752399343</v>
      </c>
      <c r="T118" s="19">
        <f t="shared" si="90"/>
        <v>7376.0936140137583</v>
      </c>
      <c r="U118" s="19">
        <f t="shared" si="90"/>
        <v>7471.6387057628908</v>
      </c>
      <c r="V118" s="19">
        <f t="shared" si="90"/>
        <v>7578.5077544799424</v>
      </c>
      <c r="W118" s="19">
        <f t="shared" si="90"/>
        <v>7691.986064953694</v>
      </c>
      <c r="X118" s="182">
        <f t="shared" si="90"/>
        <v>7799.1859802106201</v>
      </c>
      <c r="Y118" s="206">
        <f t="shared" si="90"/>
        <v>7854.4016026483441</v>
      </c>
      <c r="Z118" s="206">
        <f t="shared" si="90"/>
        <v>7927.1077396138644</v>
      </c>
      <c r="AA118" s="206">
        <f t="shared" si="90"/>
        <v>7989.5036050530016</v>
      </c>
      <c r="AB118" s="206">
        <f t="shared" si="90"/>
        <v>8067.0710573187698</v>
      </c>
      <c r="AC118" s="206">
        <f t="shared" si="90"/>
        <v>8170.6830199033147</v>
      </c>
      <c r="AD118" s="206">
        <f t="shared" si="90"/>
        <v>8271.4275254642198</v>
      </c>
      <c r="AE118" s="206">
        <f t="shared" si="90"/>
        <v>8412.038749556159</v>
      </c>
      <c r="AF118" s="206">
        <f t="shared" si="90"/>
        <v>8567.4785226731274</v>
      </c>
      <c r="AG118" s="206">
        <f t="shared" si="90"/>
        <v>8702.2973212491797</v>
      </c>
      <c r="AH118" s="182">
        <f t="shared" si="90"/>
        <v>8818.8040876406449</v>
      </c>
      <c r="AI118" s="31"/>
    </row>
    <row r="119" spans="1:35" s="1" customFormat="1">
      <c r="A119" s="1" t="s">
        <v>335</v>
      </c>
      <c r="B119" s="13"/>
      <c r="C119" s="341">
        <f>C118-'Output - Jobs vs Yr (BAU)'!C55</f>
        <v>0.76999999999952706</v>
      </c>
      <c r="D119" s="341">
        <f>D118-'Output - Jobs vs Yr (BAU)'!D55</f>
        <v>96.274030237395891</v>
      </c>
      <c r="E119" s="341">
        <f>E118-'Output - Jobs vs Yr (BAU)'!E55</f>
        <v>36.841676340212871</v>
      </c>
      <c r="F119" s="341">
        <f>F118-'Output - Jobs vs Yr (BAU)'!F55</f>
        <v>72.686729143651064</v>
      </c>
      <c r="G119" s="341">
        <f>G118-'Output - Jobs vs Yr (BAU)'!G55</f>
        <v>50.175196604797748</v>
      </c>
      <c r="H119" s="405">
        <f>H118-'Output - Jobs vs Yr (BAU)'!H55</f>
        <v>-0.14299999999821011</v>
      </c>
      <c r="I119" s="15">
        <f>I118-'Output - Jobs vs Yr (BAU)'!I55</f>
        <v>9.4492461946474577</v>
      </c>
      <c r="J119" s="15">
        <f>J118-'Output - Jobs vs Yr (BAU)'!J55</f>
        <v>22.434045839577266</v>
      </c>
      <c r="K119" s="15">
        <f>K118-'Output - Jobs vs Yr (BAU)'!K55</f>
        <v>9.5744247548109342</v>
      </c>
      <c r="L119" s="15">
        <f>L118-'Output - Jobs vs Yr (BAU)'!L55</f>
        <v>10.485187878771285</v>
      </c>
      <c r="M119" s="15">
        <f>M118-'Output - Jobs vs Yr (BAU)'!M55</f>
        <v>24.786941120441952</v>
      </c>
      <c r="N119" s="182">
        <f>N118-'Output - Jobs vs Yr (BAU)'!N55</f>
        <v>41.734673826697872</v>
      </c>
      <c r="O119" s="15">
        <f>O118-'Output - Jobs vs Yr (BAU)'!O55</f>
        <v>48.289558160218803</v>
      </c>
      <c r="P119" s="15">
        <f>P118-'Output - Jobs vs Yr (BAU)'!P55</f>
        <v>63.227615644314028</v>
      </c>
      <c r="Q119" s="15">
        <f>Q118-'Output - Jobs vs Yr (BAU)'!Q55</f>
        <v>66.390684853337007</v>
      </c>
      <c r="R119" s="15">
        <f>R118-'Output - Jobs vs Yr (BAU)'!R55</f>
        <v>86.672948814857591</v>
      </c>
      <c r="S119" s="15">
        <f>S118-'Output - Jobs vs Yr (BAU)'!S55</f>
        <v>82.065848956968694</v>
      </c>
      <c r="T119" s="15">
        <f>T118-'Output - Jobs vs Yr (BAU)'!T55</f>
        <v>103.70743264464818</v>
      </c>
      <c r="U119" s="15">
        <f>U118-'Output - Jobs vs Yr (BAU)'!U55</f>
        <v>131.2485932080217</v>
      </c>
      <c r="V119" s="15">
        <f>V118-'Output - Jobs vs Yr (BAU)'!V55</f>
        <v>163.18657027561949</v>
      </c>
      <c r="W119" s="15">
        <f>W118-'Output - Jobs vs Yr (BAU)'!W55</f>
        <v>161.79568857971299</v>
      </c>
      <c r="X119" s="190">
        <f>X118-'Output - Jobs vs Yr (BAU)'!X55</f>
        <v>200.22394313253699</v>
      </c>
      <c r="Y119" s="130">
        <f>Y118-'Output - Jobs vs Yr (BAU)'!Y55</f>
        <v>221.44538377764184</v>
      </c>
      <c r="Z119" s="130">
        <f>Z118-'Output - Jobs vs Yr (BAU)'!Z55</f>
        <v>247.42965450244992</v>
      </c>
      <c r="AA119" s="130">
        <f>AA118-'Output - Jobs vs Yr (BAU)'!AA55</f>
        <v>271.85263072530961</v>
      </c>
      <c r="AB119" s="130">
        <f>AB118-'Output - Jobs vs Yr (BAU)'!AB55</f>
        <v>298.69636609680128</v>
      </c>
      <c r="AC119" s="130">
        <f>AC118-'Output - Jobs vs Yr (BAU)'!AC55</f>
        <v>331.44540147997668</v>
      </c>
      <c r="AD119" s="130">
        <f>AD118-'Output - Jobs vs Yr (BAU)'!AD55</f>
        <v>363.18294669367424</v>
      </c>
      <c r="AE119" s="130">
        <f>AE118-'Output - Jobs vs Yr (BAU)'!AE55</f>
        <v>401.66108013745361</v>
      </c>
      <c r="AF119" s="130">
        <f>AF118-'Output - Jobs vs Yr (BAU)'!AF55</f>
        <v>442.99844722471335</v>
      </c>
      <c r="AG119" s="130">
        <f>AG118-'Output - Jobs vs Yr (BAU)'!AG55</f>
        <v>482.93841065436027</v>
      </c>
      <c r="AH119" s="190">
        <f>AH118-'Output - Jobs vs Yr (BAU)'!AH55</f>
        <v>523.25446522523089</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-2.319211489520967E-11</v>
      </c>
    </row>
    <row r="123" spans="1:35" hidden="1">
      <c r="W123" s="2" t="s">
        <v>134</v>
      </c>
      <c r="X123" s="187">
        <f>X115-'Output - Jobs vs Yr (BAU)'!X51</f>
        <v>424.2464289509918</v>
      </c>
    </row>
    <row r="124" spans="1:35" hidden="1">
      <c r="W124" s="2" t="s">
        <v>137</v>
      </c>
      <c r="X124" s="187">
        <f>SUM(X101,X106,X111)</f>
        <v>0</v>
      </c>
    </row>
    <row r="125" spans="1:35" hidden="1">
      <c r="W125" s="2" t="s">
        <v>132</v>
      </c>
      <c r="X125" s="187">
        <f>SUM(X121:X124)</f>
        <v>424.24642895096861</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-1.3500000000000001E-3</v>
      </c>
      <c r="D129" s="331">
        <f>D102*Inputs!$H48</f>
        <v>-1.4963644886999174E-3</v>
      </c>
      <c r="E129" s="331">
        <f>E102*Inputs!$H48</f>
        <v>-1.3477252259306714E-3</v>
      </c>
      <c r="F129" s="331">
        <f>F102*Inputs!$H48</f>
        <v>-1.3859758685475718E-3</v>
      </c>
      <c r="G129" s="331">
        <f>G102*Inputs!$H48</f>
        <v>-1.3190523070460061E-3</v>
      </c>
      <c r="H129" s="402">
        <f>H102*Inputs!$H48</f>
        <v>-1.3500000000000001E-3</v>
      </c>
      <c r="I129" s="14">
        <f>I102*Inputs!$H48</f>
        <v>-1.3666139555161356E-3</v>
      </c>
      <c r="J129" s="14">
        <f>J102*Inputs!$H48</f>
        <v>-1.4021317012601329E-3</v>
      </c>
      <c r="K129" s="14">
        <f>K102*Inputs!$H48</f>
        <v>-1.3781953623251614E-3</v>
      </c>
      <c r="L129" s="14">
        <f>L102*Inputs!$H48</f>
        <v>-1.362414504727712E-3</v>
      </c>
      <c r="M129" s="14">
        <f>M102*Inputs!$H48</f>
        <v>-1.3545214457085814E-3</v>
      </c>
      <c r="N129" s="182">
        <f>N102*Inputs!$H48</f>
        <v>-1.3500000000000001E-3</v>
      </c>
      <c r="O129" s="14">
        <f>O102*Inputs!$H48</f>
        <v>-1.3501910443430144E-3</v>
      </c>
      <c r="P129" s="14">
        <f>P102*Inputs!$H48</f>
        <v>-1.3524024114776555E-3</v>
      </c>
      <c r="Q129" s="14">
        <f>Q102*Inputs!$H48</f>
        <v>-1.3682377427535011E-3</v>
      </c>
      <c r="R129" s="14">
        <f>R102*Inputs!$H48</f>
        <v>-1.3733584005579023E-3</v>
      </c>
      <c r="S129" s="14">
        <f>S102*Inputs!$H48</f>
        <v>-1.3761944662324371E-3</v>
      </c>
      <c r="T129" s="14">
        <f>T102*Inputs!$H48</f>
        <v>-1.3714691249513372E-3</v>
      </c>
      <c r="U129" s="14">
        <f>U102*Inputs!$H48</f>
        <v>-1.3656215762675949E-3</v>
      </c>
      <c r="V129" s="14">
        <f>V102*Inputs!$H48</f>
        <v>-1.3609576699361648E-3</v>
      </c>
      <c r="W129" s="14">
        <f>W102*Inputs!$H48</f>
        <v>-1.356518531070003E-3</v>
      </c>
      <c r="X129" s="187">
        <f>X102*Inputs!$H48</f>
        <v>-1.3499999774716468E-3</v>
      </c>
      <c r="Y129" s="158">
        <f>Y102*Inputs!$H48</f>
        <v>-1.344257252440197E-3</v>
      </c>
      <c r="Z129" s="158">
        <f>Z102*Inputs!$H48</f>
        <v>-1.3411636307246095E-3</v>
      </c>
      <c r="AA129" s="158">
        <f>AA102*Inputs!$H48</f>
        <v>-1.3359683015694644E-3</v>
      </c>
      <c r="AB129" s="158">
        <f>AB102*Inputs!$H48</f>
        <v>-1.332937480550459E-3</v>
      </c>
      <c r="AC129" s="158">
        <f>AC102*Inputs!$H48</f>
        <v>-1.3337511460927336E-3</v>
      </c>
      <c r="AD129" s="158">
        <f>AD102*Inputs!$H48</f>
        <v>-1.3335929751086331E-3</v>
      </c>
      <c r="AE129" s="158">
        <f>AE102*Inputs!$H48</f>
        <v>-1.3392745515825595E-3</v>
      </c>
      <c r="AF129" s="158">
        <f>AF102*Inputs!$H48</f>
        <v>-1.3466179257145242E-3</v>
      </c>
      <c r="AG129" s="158">
        <f>AG102*Inputs!$H48</f>
        <v>-1.3500347299972696E-3</v>
      </c>
      <c r="AH129" s="187">
        <f>AH102*Inputs!$H48</f>
        <v>-1.3499999774716468E-3</v>
      </c>
    </row>
    <row r="130" spans="1:35">
      <c r="A130" s="10" t="s">
        <v>59</v>
      </c>
      <c r="B130" s="35">
        <v>0</v>
      </c>
      <c r="C130" s="331">
        <f>C103*Inputs!$H53</f>
        <v>1385.8740000000003</v>
      </c>
      <c r="D130" s="331">
        <f>D103*Inputs!$H53</f>
        <v>1542.2213515587489</v>
      </c>
      <c r="E130" s="331">
        <f>E103*Inputs!$H53</f>
        <v>1394.624147575028</v>
      </c>
      <c r="F130" s="331">
        <f>F103*Inputs!$H53</f>
        <v>1440.0773694810507</v>
      </c>
      <c r="G130" s="331">
        <f>G103*Inputs!$H53</f>
        <v>1376.2426810679733</v>
      </c>
      <c r="H130" s="402">
        <f>H103*Inputs!$H53</f>
        <v>1248.5841346646721</v>
      </c>
      <c r="I130" s="14">
        <f>I103*Inputs!$H53</f>
        <v>1295.4021581881957</v>
      </c>
      <c r="J130" s="14">
        <f>J103*Inputs!$H53</f>
        <v>1362.4919697399698</v>
      </c>
      <c r="K130" s="14">
        <f>K103*Inputs!$H53</f>
        <v>1373.2800251849978</v>
      </c>
      <c r="L130" s="14">
        <f>L103*Inputs!$H53</f>
        <v>1392.460720975497</v>
      </c>
      <c r="M130" s="14">
        <f>M103*Inputs!$H53</f>
        <v>1420.407104357357</v>
      </c>
      <c r="N130" s="182">
        <f>N103*Inputs!$H53</f>
        <v>1452.9405226237297</v>
      </c>
      <c r="O130" s="14">
        <f>O103*Inputs!$H53</f>
        <v>1453.1461345256437</v>
      </c>
      <c r="P130" s="14">
        <f>P103*Inputs!$H53</f>
        <v>1455.5261233555088</v>
      </c>
      <c r="Q130" s="14">
        <f>Q103*Inputs!$H53</f>
        <v>1472.5689340961364</v>
      </c>
      <c r="R130" s="14">
        <f>R103*Inputs!$H53</f>
        <v>1478.0800535231763</v>
      </c>
      <c r="S130" s="14">
        <f>S103*Inputs!$H53</f>
        <v>1481.1323755552903</v>
      </c>
      <c r="T130" s="14">
        <f>T103*Inputs!$H53</f>
        <v>1476.0467164215593</v>
      </c>
      <c r="U130" s="14">
        <f>U103*Inputs!$H53</f>
        <v>1469.7532790581338</v>
      </c>
      <c r="V130" s="14">
        <f>V103*Inputs!$H53</f>
        <v>1464.7337394265367</v>
      </c>
      <c r="W130" s="14">
        <f>W103*Inputs!$H53</f>
        <v>1459.9561062826845</v>
      </c>
      <c r="X130" s="187">
        <f>X103*Inputs!$H53</f>
        <v>1452.9404983775389</v>
      </c>
      <c r="Y130" s="158">
        <f>Y103*Inputs!$H53</f>
        <v>1446.7598777045916</v>
      </c>
      <c r="Z130" s="158">
        <f>Z103*Inputs!$H53</f>
        <v>1443.430360406632</v>
      </c>
      <c r="AA130" s="158">
        <f>AA103*Inputs!$H53</f>
        <v>1437.8388757711664</v>
      </c>
      <c r="AB130" s="158">
        <f>AB103*Inputs!$H53</f>
        <v>1434.5769478635127</v>
      </c>
      <c r="AC130" s="158">
        <f>AC103*Inputs!$H53</f>
        <v>1435.4526572251671</v>
      </c>
      <c r="AD130" s="158">
        <f>AD103*Inputs!$H53</f>
        <v>1435.2824253493877</v>
      </c>
      <c r="AE130" s="158">
        <f>AE103*Inputs!$H53</f>
        <v>1441.3972347503902</v>
      </c>
      <c r="AF130" s="158">
        <f>AF103*Inputs!$H53</f>
        <v>1449.3005576015894</v>
      </c>
      <c r="AG130" s="158">
        <f>AG103*Inputs!$H53</f>
        <v>1452.9779008610526</v>
      </c>
      <c r="AH130" s="187">
        <f>AH103*Inputs!$H53</f>
        <v>1452.9404983775389</v>
      </c>
    </row>
    <row r="131" spans="1:35">
      <c r="A131" s="10" t="s">
        <v>121</v>
      </c>
      <c r="B131" s="35">
        <v>1</v>
      </c>
      <c r="C131" s="330">
        <f>Inputs!$H46*'Output -Jobs vs Yr'!C104</f>
        <v>267.81299999999999</v>
      </c>
      <c r="D131" s="330">
        <f>Inputs!$H46*'Output -Jobs vs Yr'!D104</f>
        <v>318.57519590704953</v>
      </c>
      <c r="E131" s="330">
        <f>Inputs!$H46*'Output -Jobs vs Yr'!E104</f>
        <v>307.96020162385554</v>
      </c>
      <c r="F131" s="330">
        <f>Inputs!$H46*'Output -Jobs vs Yr'!F104</f>
        <v>339.94637117607215</v>
      </c>
      <c r="G131" s="330">
        <f>Inputs!$H46*'Output -Jobs vs Yr'!G104</f>
        <v>347.31373275874</v>
      </c>
      <c r="H131" s="286">
        <f>Inputs!$H46*'Output -Jobs vs Yr'!H104</f>
        <v>320.52125282358401</v>
      </c>
      <c r="I131" s="40">
        <f>Inputs!$H46*'Output -Jobs vs Yr'!I104</f>
        <v>350.87632723006425</v>
      </c>
      <c r="J131" s="40">
        <f>Inputs!$H46*'Output -Jobs vs Yr'!J104</f>
        <v>389.4180198561092</v>
      </c>
      <c r="K131" s="40">
        <f>Inputs!$H46*'Output -Jobs vs Yr'!K104</f>
        <v>414.18630056577433</v>
      </c>
      <c r="L131" s="40">
        <f>Inputs!$H46*'Output -Jobs vs Yr'!L104</f>
        <v>443.19586602136036</v>
      </c>
      <c r="M131" s="40">
        <f>Inputs!$H46*'Output -Jobs vs Yr'!M104</f>
        <v>477.11490994345814</v>
      </c>
      <c r="N131" s="177">
        <f>Inputs!$H46*'Output -Jobs vs Yr'!N104</f>
        <v>515.08201310143261</v>
      </c>
      <c r="O131" s="40">
        <f>Inputs!$H46*'Output -Jobs vs Yr'!O104</f>
        <v>559.00835939594674</v>
      </c>
      <c r="P131" s="40">
        <f>Inputs!$H46*'Output -Jobs vs Yr'!P104</f>
        <v>607.682736886003</v>
      </c>
      <c r="Q131" s="40">
        <f>Inputs!$H46*'Output -Jobs vs Yr'!Q104</f>
        <v>667.34366764452398</v>
      </c>
      <c r="R131" s="40">
        <f>Inputs!$H46*'Output -Jobs vs Yr'!R104</f>
        <v>727.2099139374252</v>
      </c>
      <c r="S131" s="40">
        <f>Inputs!$H46*'Output -Jobs vs Yr'!S104</f>
        <v>791.25486308620486</v>
      </c>
      <c r="T131" s="40">
        <f>Inputs!$H46*'Output -Jobs vs Yr'!T104</f>
        <v>856.36316932513114</v>
      </c>
      <c r="U131" s="40">
        <f>Inputs!$H46*'Output -Jobs vs Yr'!U104</f>
        <v>926.22042183091617</v>
      </c>
      <c r="V131" s="40">
        <f>Inputs!$H46*'Output -Jobs vs Yr'!V104</f>
        <v>1002.8116989961411</v>
      </c>
      <c r="W131" s="40">
        <f>Inputs!$H46*'Output -Jobs vs Yr'!W104</f>
        <v>1086.1060106808661</v>
      </c>
      <c r="X131" s="184">
        <f>Inputs!$H46*'Output -Jobs vs Yr'!X104</f>
        <v>1174.7220874633574</v>
      </c>
      <c r="Y131" s="271">
        <f>Inputs!$H46*'Output -Jobs vs Yr'!Y104</f>
        <v>1228.4073956112602</v>
      </c>
      <c r="Z131" s="271">
        <f>Inputs!$H46*'Output -Jobs vs Yr'!Z104</f>
        <v>1287.1566104061774</v>
      </c>
      <c r="AA131" s="271">
        <f>Inputs!$H46*'Output -Jobs vs Yr'!AA104</f>
        <v>1346.6874841240917</v>
      </c>
      <c r="AB131" s="271">
        <f>Inputs!$H46*'Output -Jobs vs Yr'!AB104</f>
        <v>1411.3459979920297</v>
      </c>
      <c r="AC131" s="271">
        <f>Inputs!$H46*'Output -Jobs vs Yr'!AC104</f>
        <v>1483.4882945762893</v>
      </c>
      <c r="AD131" s="271">
        <f>Inputs!$H46*'Output -Jobs vs Yr'!AD104</f>
        <v>1558.3009904226419</v>
      </c>
      <c r="AE131" s="271">
        <f>Inputs!$H46*'Output -Jobs vs Yr'!AE104</f>
        <v>1644.1828241174999</v>
      </c>
      <c r="AF131" s="271">
        <f>Inputs!$H46*'Output -Jobs vs Yr'!AF104</f>
        <v>1737.04728303412</v>
      </c>
      <c r="AG131" s="271">
        <f>Inputs!$H46*'Output -Jobs vs Yr'!AG104</f>
        <v>1829.9274936769596</v>
      </c>
      <c r="AH131" s="184">
        <f>Inputs!$H46*'Output -Jobs vs Yr'!AH104</f>
        <v>1923.003009521718</v>
      </c>
    </row>
    <row r="132" spans="1:35">
      <c r="A132" s="10" t="s">
        <v>50</v>
      </c>
      <c r="B132" s="35">
        <v>1</v>
      </c>
      <c r="C132" s="331">
        <f>C105*Inputs!$H49</f>
        <v>0</v>
      </c>
      <c r="D132" s="331">
        <f>D105*Inputs!$H49</f>
        <v>0</v>
      </c>
      <c r="E132" s="331">
        <f>E105*Inputs!$H49</f>
        <v>9.0267367500000001E-3</v>
      </c>
      <c r="F132" s="331">
        <f>F105*Inputs!$H49</f>
        <v>8.4559477500000015E-3</v>
      </c>
      <c r="G132" s="331">
        <f>G105*Inputs!$H49</f>
        <v>9.2453715000000002E-3</v>
      </c>
      <c r="H132" s="402">
        <f>H105*Inputs!$H49</f>
        <v>9.2454075000000004E-3</v>
      </c>
      <c r="I132" s="14">
        <f>I105*Inputs!$H49</f>
        <v>9.9109288423266158E-3</v>
      </c>
      <c r="J132" s="14">
        <f>J105*Inputs!$H49</f>
        <v>1.0771282022776166E-2</v>
      </c>
      <c r="K132" s="14">
        <f>K105*Inputs!$H49</f>
        <v>1.1218586648571963E-2</v>
      </c>
      <c r="L132" s="14">
        <f>L105*Inputs!$H49</f>
        <v>1.1755177209972684E-2</v>
      </c>
      <c r="M132" s="14">
        <f>M105*Inputs!$H49</f>
        <v>1.2392174824573662E-2</v>
      </c>
      <c r="N132" s="182">
        <f>N105*Inputs!$H49</f>
        <v>1.3100624262243602E-2</v>
      </c>
      <c r="O132" s="14">
        <f>O105*Inputs!$H49</f>
        <v>1.4217849370828995E-2</v>
      </c>
      <c r="P132" s="14">
        <f>P105*Inputs!$H49</f>
        <v>1.5455836166089624E-2</v>
      </c>
      <c r="Q132" s="14">
        <f>Q105*Inputs!$H49</f>
        <v>1.6973255561686339E-2</v>
      </c>
      <c r="R132" s="14">
        <f>R105*Inputs!$H49</f>
        <v>1.8495896963881427E-2</v>
      </c>
      <c r="S132" s="14">
        <f>S105*Inputs!$H49</f>
        <v>2.0124819724434966E-2</v>
      </c>
      <c r="T132" s="14">
        <f>T105*Inputs!$H49</f>
        <v>2.1780787967727699E-2</v>
      </c>
      <c r="U132" s="14">
        <f>U105*Inputs!$H49</f>
        <v>2.3557541171669891E-2</v>
      </c>
      <c r="V132" s="14">
        <f>V105*Inputs!$H49</f>
        <v>2.5505567929322126E-2</v>
      </c>
      <c r="W132" s="14">
        <f>W105*Inputs!$H49</f>
        <v>2.7624080035760029E-2</v>
      </c>
      <c r="X132" s="187">
        <f>X105*Inputs!$H49</f>
        <v>2.9877946208510513E-2</v>
      </c>
      <c r="Y132" s="158">
        <f>Y105*Inputs!$H49</f>
        <v>3.1243381289835972E-2</v>
      </c>
      <c r="Z132" s="158">
        <f>Z105*Inputs!$H49</f>
        <v>3.2737612051449642E-2</v>
      </c>
      <c r="AA132" s="158">
        <f>AA105*Inputs!$H49</f>
        <v>3.4251723569119527E-2</v>
      </c>
      <c r="AB132" s="158">
        <f>AB105*Inputs!$H49</f>
        <v>3.5896251768499907E-2</v>
      </c>
      <c r="AC132" s="158">
        <f>AC105*Inputs!$H49</f>
        <v>3.7731122909262518E-2</v>
      </c>
      <c r="AD132" s="158">
        <f>AD105*Inputs!$H49</f>
        <v>3.963391313178883E-2</v>
      </c>
      <c r="AE132" s="158">
        <f>AE105*Inputs!$H49</f>
        <v>4.1818236415403984E-2</v>
      </c>
      <c r="AF132" s="158">
        <f>AF105*Inputs!$H49</f>
        <v>4.4180156173109879E-2</v>
      </c>
      <c r="AG132" s="158">
        <f>AG105*Inputs!$H49</f>
        <v>4.6542476561087134E-2</v>
      </c>
      <c r="AH132" s="187">
        <f>AH105*Inputs!$H49</f>
        <v>4.890976435231615E-2</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0</v>
      </c>
      <c r="D134" s="331">
        <f>D107*Inputs!$H52</f>
        <v>0</v>
      </c>
      <c r="E134" s="331">
        <f>E107*Inputs!$H52</f>
        <v>1.8081265499999999E-4</v>
      </c>
      <c r="F134" s="331">
        <f>F107*Inputs!$H52</f>
        <v>1.8722339999999998E-4</v>
      </c>
      <c r="G134" s="331">
        <f>G107*Inputs!$H52</f>
        <v>1.52281485E-4</v>
      </c>
      <c r="H134" s="402">
        <f>H107*Inputs!$H52</f>
        <v>1.63859625E-4</v>
      </c>
      <c r="I134" s="14">
        <f>I107*Inputs!$H52</f>
        <v>1.7245136998760959E-4</v>
      </c>
      <c r="J134" s="14">
        <f>J107*Inputs!$H52</f>
        <v>1.8400349829231222E-4</v>
      </c>
      <c r="K134" s="14">
        <f>K107*Inputs!$H52</f>
        <v>1.8814956626910222E-4</v>
      </c>
      <c r="L134" s="14">
        <f>L107*Inputs!$H52</f>
        <v>1.9355332993660048E-4</v>
      </c>
      <c r="M134" s="14">
        <f>M107*Inputs!$H52</f>
        <v>2.0032049772709151E-4</v>
      </c>
      <c r="N134" s="182">
        <f>N107*Inputs!$H52</f>
        <v>2.0791041334064359E-4</v>
      </c>
      <c r="O134" s="14">
        <f>O107*Inputs!$H52</f>
        <v>2.2564107483209487E-4</v>
      </c>
      <c r="P134" s="14">
        <f>P107*Inputs!$H52</f>
        <v>2.452882566121801E-4</v>
      </c>
      <c r="Q134" s="14">
        <f>Q107*Inputs!$H52</f>
        <v>2.6937010854795904E-4</v>
      </c>
      <c r="R134" s="14">
        <f>R107*Inputs!$H52</f>
        <v>2.9353483512609092E-4</v>
      </c>
      <c r="S134" s="14">
        <f>S107*Inputs!$H52</f>
        <v>3.1938627530690169E-4</v>
      </c>
      <c r="T134" s="14">
        <f>T107*Inputs!$H52</f>
        <v>3.4566693453733506E-4</v>
      </c>
      <c r="U134" s="14">
        <f>U107*Inputs!$H52</f>
        <v>3.738644834206026E-4</v>
      </c>
      <c r="V134" s="14">
        <f>V107*Inputs!$H52</f>
        <v>4.0478018944152685E-4</v>
      </c>
      <c r="W134" s="14">
        <f>W107*Inputs!$H52</f>
        <v>4.3840154357699976E-4</v>
      </c>
      <c r="X134" s="187">
        <f>X107*Inputs!$H52</f>
        <v>4.7417100297150917E-4</v>
      </c>
      <c r="Y134" s="158">
        <f>Y107*Inputs!$H52</f>
        <v>4.9584082316216733E-4</v>
      </c>
      <c r="Z134" s="158">
        <f>Z107*Inputs!$H52</f>
        <v>5.1955466527034465E-4</v>
      </c>
      <c r="AA134" s="158">
        <f>AA107*Inputs!$H52</f>
        <v>5.4358402029809226E-4</v>
      </c>
      <c r="AB134" s="158">
        <f>AB107*Inputs!$H52</f>
        <v>5.6968312296978157E-4</v>
      </c>
      <c r="AC134" s="158">
        <f>AC107*Inputs!$H52</f>
        <v>5.9880301906528545E-4</v>
      </c>
      <c r="AD134" s="158">
        <f>AD107*Inputs!$H52</f>
        <v>6.2900080916649E-4</v>
      </c>
      <c r="AE134" s="158">
        <f>AE107*Inputs!$H52</f>
        <v>6.6366660429770946E-4</v>
      </c>
      <c r="AF134" s="158">
        <f>AF107*Inputs!$H52</f>
        <v>7.0115090300531667E-4</v>
      </c>
      <c r="AG134" s="158">
        <f>AG107*Inputs!$H52</f>
        <v>7.3864155982255643E-4</v>
      </c>
      <c r="AH134" s="187">
        <f>AH107*Inputs!$H52</f>
        <v>7.7621105065889566E-4</v>
      </c>
    </row>
    <row r="135" spans="1:35">
      <c r="A135" s="9" t="s">
        <v>347</v>
      </c>
      <c r="B135" s="35">
        <v>1</v>
      </c>
      <c r="C135" s="331">
        <f>C108*Inputs!$H54</f>
        <v>0</v>
      </c>
      <c r="D135" s="331">
        <f>D108*Inputs!$H54</f>
        <v>0</v>
      </c>
      <c r="E135" s="331">
        <f>E108*Inputs!$H54</f>
        <v>0.14220000000000002</v>
      </c>
      <c r="F135" s="331">
        <f>F108*Inputs!$H54</f>
        <v>0.14220000000000002</v>
      </c>
      <c r="G135" s="331">
        <f>G108*Inputs!$H54</f>
        <v>0.14220000000000002</v>
      </c>
      <c r="H135" s="402">
        <f>H108*Inputs!$H54</f>
        <v>0.14220000000000002</v>
      </c>
      <c r="I135" s="14">
        <f>I108*Inputs!$H54</f>
        <v>0.14795661595919687</v>
      </c>
      <c r="J135" s="14">
        <f>J108*Inputs!$H54</f>
        <v>0.15607520777977432</v>
      </c>
      <c r="K135" s="14">
        <f>K108*Inputs!$H54</f>
        <v>0.15777971395212628</v>
      </c>
      <c r="L135" s="14">
        <f>L108*Inputs!$H54</f>
        <v>0.16046809293457476</v>
      </c>
      <c r="M135" s="14">
        <f>M108*Inputs!$H54</f>
        <v>0.16419258318943997</v>
      </c>
      <c r="N135" s="182">
        <f>N108*Inputs!$H54</f>
        <v>0.16847850021026164</v>
      </c>
      <c r="O135" s="14">
        <f>O108*Inputs!$H54</f>
        <v>0.1828463964970205</v>
      </c>
      <c r="P135" s="14">
        <f>P108*Inputs!$H54</f>
        <v>0.19876732929918753</v>
      </c>
      <c r="Q135" s="14">
        <f>Q108*Inputs!$H54</f>
        <v>0.21828186073238759</v>
      </c>
      <c r="R135" s="14">
        <f>R108*Inputs!$H54</f>
        <v>0.23786354895309411</v>
      </c>
      <c r="S135" s="14">
        <f>S108*Inputs!$H54</f>
        <v>0.25881205172386357</v>
      </c>
      <c r="T135" s="14">
        <f>T108*Inputs!$H54</f>
        <v>0.28010836863525329</v>
      </c>
      <c r="U135" s="14">
        <f>U108*Inputs!$H54</f>
        <v>0.30295802137330469</v>
      </c>
      <c r="V135" s="14">
        <f>V108*Inputs!$H54</f>
        <v>0.32801031048021334</v>
      </c>
      <c r="W135" s="14">
        <f>W108*Inputs!$H54</f>
        <v>0.35525509937157967</v>
      </c>
      <c r="X135" s="187">
        <f>X108*Inputs!$H54</f>
        <v>0.38424058776193321</v>
      </c>
      <c r="Y135" s="158">
        <f>Y108*Inputs!$H54</f>
        <v>0.40180054903028217</v>
      </c>
      <c r="Z135" s="158">
        <f>Z108*Inputs!$H54</f>
        <v>0.42101686671448946</v>
      </c>
      <c r="AA135" s="158">
        <f>AA108*Inputs!$H54</f>
        <v>0.44048885770833068</v>
      </c>
      <c r="AB135" s="158">
        <f>AB108*Inputs!$H54</f>
        <v>0.46163805174968686</v>
      </c>
      <c r="AC135" s="158">
        <f>AC108*Inputs!$H54</f>
        <v>0.48523512099513622</v>
      </c>
      <c r="AD135" s="158">
        <f>AD108*Inputs!$H54</f>
        <v>0.50970565281779934</v>
      </c>
      <c r="AE135" s="158">
        <f>AE108*Inputs!$H54</f>
        <v>0.53779679591381624</v>
      </c>
      <c r="AF135" s="158">
        <f>AF108*Inputs!$H54</f>
        <v>0.56817189029325943</v>
      </c>
      <c r="AG135" s="158">
        <f>AG108*Inputs!$H54</f>
        <v>0.59855213691475662</v>
      </c>
      <c r="AH135" s="187">
        <f>AH108*Inputs!$H54</f>
        <v>0.62899626603780823</v>
      </c>
    </row>
    <row r="136" spans="1:35">
      <c r="A136" s="9" t="s">
        <v>348</v>
      </c>
      <c r="B136" s="35">
        <v>1</v>
      </c>
      <c r="C136" s="331">
        <f>C109*Inputs!$H55</f>
        <v>0</v>
      </c>
      <c r="D136" s="331">
        <f>D109*Inputs!$H55</f>
        <v>0</v>
      </c>
      <c r="E136" s="331">
        <f>E109*Inputs!$H55</f>
        <v>2.0700000000000003E-2</v>
      </c>
      <c r="F136" s="331">
        <f>F109*Inputs!$H55</f>
        <v>2.0700000000000003E-2</v>
      </c>
      <c r="G136" s="331">
        <f>G109*Inputs!$H55</f>
        <v>2.0700000000000003E-2</v>
      </c>
      <c r="H136" s="402">
        <f>H109*Inputs!$H55</f>
        <v>2.0700000000000003E-2</v>
      </c>
      <c r="I136" s="14">
        <f>I109*Inputs!$H55</f>
        <v>2.1537988399123593E-2</v>
      </c>
      <c r="J136" s="14">
        <f>J109*Inputs!$H55</f>
        <v>2.2719808727435502E-2</v>
      </c>
      <c r="K136" s="14">
        <f>K109*Inputs!$H55</f>
        <v>2.2967933043663954E-2</v>
      </c>
      <c r="L136" s="14">
        <f>L109*Inputs!$H55</f>
        <v>2.3359279351235569E-2</v>
      </c>
      <c r="M136" s="14">
        <f>M109*Inputs!$H55</f>
        <v>2.3901451983272905E-2</v>
      </c>
      <c r="N136" s="187">
        <f>N109*Inputs!$H55</f>
        <v>2.4525351296430489E-2</v>
      </c>
      <c r="O136" s="14">
        <f>O109*Inputs!$H55</f>
        <v>2.6616880502730835E-2</v>
      </c>
      <c r="P136" s="14">
        <f>P109*Inputs!$H55</f>
        <v>2.8934484644818438E-2</v>
      </c>
      <c r="Q136" s="14">
        <f>Q109*Inputs!$H55</f>
        <v>3.1775207574967816E-2</v>
      </c>
      <c r="R136" s="14">
        <f>R109*Inputs!$H55</f>
        <v>3.4625706493171933E-2</v>
      </c>
      <c r="S136" s="14">
        <f>S109*Inputs!$H55</f>
        <v>3.7675172086385204E-2</v>
      </c>
      <c r="T136" s="14">
        <f>T109*Inputs!$H55</f>
        <v>4.0775268851967257E-2</v>
      </c>
      <c r="U136" s="14">
        <f>U109*Inputs!$H55</f>
        <v>4.410148412396208E-2</v>
      </c>
      <c r="V136" s="14">
        <f>V109*Inputs!$H55</f>
        <v>4.7748336335727261E-2</v>
      </c>
      <c r="W136" s="14">
        <f>W109*Inputs!$H55</f>
        <v>5.1714349908521091E-2</v>
      </c>
      <c r="X136" s="187">
        <f>X109*Inputs!$H55</f>
        <v>5.5933756446357362E-2</v>
      </c>
      <c r="Y136" s="158">
        <f>Y109*Inputs!$H55</f>
        <v>5.8489953339851207E-2</v>
      </c>
      <c r="Z136" s="158">
        <f>Z109*Inputs!$H55</f>
        <v>6.1287265407805422E-2</v>
      </c>
      <c r="AA136" s="158">
        <f>AA109*Inputs!$H55</f>
        <v>6.4121795742351939E-2</v>
      </c>
      <c r="AB136" s="158">
        <f>AB109*Inputs!$H55</f>
        <v>6.7200475887612646E-2</v>
      </c>
      <c r="AC136" s="158">
        <f>AC109*Inputs!$H55</f>
        <v>7.0635492296760347E-2</v>
      </c>
      <c r="AD136" s="158">
        <f>AD109*Inputs!$H55</f>
        <v>7.4197658321578375E-2</v>
      </c>
      <c r="AE136" s="158">
        <f>AE109*Inputs!$H55</f>
        <v>7.8286875354542859E-2</v>
      </c>
      <c r="AF136" s="158">
        <f>AF109*Inputs!$H55</f>
        <v>8.2708566308512449E-2</v>
      </c>
      <c r="AG136" s="158">
        <f>AG109*Inputs!$H55</f>
        <v>8.7131007272401279E-2</v>
      </c>
      <c r="AH136" s="187">
        <f>AH109*Inputs!$H55</f>
        <v>9.1562747587782198E-2</v>
      </c>
    </row>
    <row r="137" spans="1:35">
      <c r="A137" s="9" t="s">
        <v>344</v>
      </c>
      <c r="B137" s="35">
        <v>1</v>
      </c>
      <c r="C137" s="331">
        <f>C110*Inputs!$H56</f>
        <v>2.16E-3</v>
      </c>
      <c r="D137" s="331">
        <f>D110*Inputs!$H56</f>
        <v>2.4421459324612009E-3</v>
      </c>
      <c r="E137" s="331">
        <f>E110*Inputs!$H56</f>
        <v>2.2438395822823739E-3</v>
      </c>
      <c r="F137" s="331">
        <f>F110*Inputs!$H56</f>
        <v>2.3542098670863744E-3</v>
      </c>
      <c r="G137" s="331">
        <f>G110*Inputs!$H56</f>
        <v>2.2860950226231426E-3</v>
      </c>
      <c r="H137" s="402">
        <f>H110*Inputs!$H56</f>
        <v>2.16E-3</v>
      </c>
      <c r="I137" s="14">
        <f>I110*Inputs!$H56</f>
        <v>2.2474422677346362E-3</v>
      </c>
      <c r="J137" s="14">
        <f>J110*Inputs!$H56</f>
        <v>2.3707626498193565E-3</v>
      </c>
      <c r="K137" s="14">
        <f>K110*Inputs!$H56</f>
        <v>2.3966538828171084E-3</v>
      </c>
      <c r="L137" s="14">
        <f>L110*Inputs!$H56</f>
        <v>2.4374900192593641E-3</v>
      </c>
      <c r="M137" s="14">
        <f>M110*Inputs!$H56</f>
        <v>2.4940645547763037E-3</v>
      </c>
      <c r="N137" s="187">
        <f>N110*Inputs!$H56</f>
        <v>2.5591670918014425E-3</v>
      </c>
      <c r="O137" s="14">
        <f>O110*Inputs!$H56</f>
        <v>2.777413617676262E-3</v>
      </c>
      <c r="P137" s="14">
        <f>P110*Inputs!$H56</f>
        <v>3.0192505716332284E-3</v>
      </c>
      <c r="Q137" s="14">
        <f>Q110*Inputs!$H56</f>
        <v>3.315673833909686E-3</v>
      </c>
      <c r="R137" s="14">
        <f>R110*Inputs!$H56</f>
        <v>3.6131171992875065E-3</v>
      </c>
      <c r="S137" s="14">
        <f>S110*Inputs!$H56</f>
        <v>3.9313223046662828E-3</v>
      </c>
      <c r="T137" s="14">
        <f>T110*Inputs!$H56</f>
        <v>4.2548106628139768E-3</v>
      </c>
      <c r="U137" s="14">
        <f>U110*Inputs!$H56</f>
        <v>4.6018939955438714E-3</v>
      </c>
      <c r="V137" s="14">
        <f>V110*Inputs!$H56</f>
        <v>4.9824350959019777E-3</v>
      </c>
      <c r="W137" s="14">
        <f>W110*Inputs!$H56</f>
        <v>5.3962799904543786E-3</v>
      </c>
      <c r="X137" s="187">
        <f>X110*Inputs!$H56</f>
        <v>5.8365658900546812E-3</v>
      </c>
      <c r="Y137" s="158">
        <f>Y110*Inputs!$H56</f>
        <v>6.103299478940994E-3</v>
      </c>
      <c r="Z137" s="158">
        <f>Z110*Inputs!$H56</f>
        <v>6.3951929121188276E-3</v>
      </c>
      <c r="AA137" s="158">
        <f>AA110*Inputs!$H56</f>
        <v>6.6909699905062878E-3</v>
      </c>
      <c r="AB137" s="158">
        <f>AB110*Inputs!$H56</f>
        <v>7.0122235708813168E-3</v>
      </c>
      <c r="AC137" s="158">
        <f>AC110*Inputs!$H56</f>
        <v>7.3706600657489039E-3</v>
      </c>
      <c r="AD137" s="158">
        <f>AD110*Inputs!$H56</f>
        <v>7.7423643465994799E-3</v>
      </c>
      <c r="AE137" s="158">
        <f>AE110*Inputs!$H56</f>
        <v>8.169065254387077E-3</v>
      </c>
      <c r="AF137" s="158">
        <f>AF110*Inputs!$H56</f>
        <v>8.6304590930621657E-3</v>
      </c>
      <c r="AG137" s="158">
        <f>AG110*Inputs!$H56</f>
        <v>9.0919311936418692E-3</v>
      </c>
      <c r="AH137" s="187">
        <f>AH110*Inputs!$H56</f>
        <v>9.5543736613337964E-3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0</v>
      </c>
      <c r="D139" s="331">
        <f>D112*Inputs!$H57</f>
        <v>0</v>
      </c>
      <c r="E139" s="331">
        <f>E112*Inputs!$H57</f>
        <v>5.9645399130000007E-3</v>
      </c>
      <c r="F139" s="331">
        <f>F112*Inputs!$H57</f>
        <v>6.6717062190000016E-3</v>
      </c>
      <c r="G139" s="331">
        <f>G112*Inputs!$H57</f>
        <v>7.1574773939999999E-3</v>
      </c>
      <c r="H139" s="402">
        <f>H112*Inputs!$H57</f>
        <v>7.1972352090000011E-3</v>
      </c>
      <c r="I139" s="14">
        <f>I112*Inputs!$H57</f>
        <v>9.0840619620000014E-3</v>
      </c>
      <c r="J139" s="14">
        <f>J112*Inputs!$H57</f>
        <v>1.0309237920000002E-2</v>
      </c>
      <c r="K139" s="14">
        <f>K112*Inputs!$H57</f>
        <v>1.0309288409999997E-2</v>
      </c>
      <c r="L139" s="14">
        <f>L112*Inputs!$H57</f>
        <v>1.0321071841040136E-2</v>
      </c>
      <c r="M139" s="14">
        <f>M112*Inputs!$H57</f>
        <v>1.121262113066163E-2</v>
      </c>
      <c r="N139" s="182">
        <f>N112*Inputs!$H57</f>
        <v>1.2215622482169496E-2</v>
      </c>
      <c r="O139" s="14">
        <f>O112*Inputs!$H57</f>
        <v>1.3257374377414109E-2</v>
      </c>
      <c r="P139" s="14">
        <f>P112*Inputs!$H57</f>
        <v>1.4411730003992833E-2</v>
      </c>
      <c r="Q139" s="14">
        <f>Q112*Inputs!$H57</f>
        <v>1.58266413939144E-2</v>
      </c>
      <c r="R139" s="14">
        <f>R112*Inputs!$H57</f>
        <v>1.7246422022120199E-2</v>
      </c>
      <c r="S139" s="14">
        <f>S112*Inputs!$H57</f>
        <v>1.8765304259883701E-2</v>
      </c>
      <c r="T139" s="14">
        <f>T112*Inputs!$H57</f>
        <v>2.030940494528578E-2</v>
      </c>
      <c r="U139" s="14">
        <f>U112*Inputs!$H57</f>
        <v>2.1966131063742199E-2</v>
      </c>
      <c r="V139" s="14">
        <f>V112*Inputs!$H57</f>
        <v>2.3782560493385969E-2</v>
      </c>
      <c r="W139" s="14">
        <f>W112*Inputs!$H57</f>
        <v>2.5757958275821034E-2</v>
      </c>
      <c r="X139" s="187">
        <f>X112*Inputs!$H57</f>
        <v>2.7859566393153394E-2</v>
      </c>
      <c r="Y139" s="158">
        <f>Y112*Inputs!$H57</f>
        <v>2.9132760642793354E-2</v>
      </c>
      <c r="Z139" s="158">
        <f>Z112*Inputs!$H57</f>
        <v>3.0526049887621382E-2</v>
      </c>
      <c r="AA139" s="158">
        <f>AA112*Inputs!$H57</f>
        <v>3.193787686055926E-2</v>
      </c>
      <c r="AB139" s="158">
        <f>AB112*Inputs!$H57</f>
        <v>3.3471310324704157E-2</v>
      </c>
      <c r="AC139" s="158">
        <f>AC112*Inputs!$H57</f>
        <v>3.5182228271078794E-2</v>
      </c>
      <c r="AD139" s="158">
        <f>AD112*Inputs!$H57</f>
        <v>3.6956477082117065E-2</v>
      </c>
      <c r="AE139" s="158">
        <f>AE112*Inputs!$H57</f>
        <v>3.8993240222371099E-2</v>
      </c>
      <c r="AF139" s="158">
        <f>AF112*Inputs!$H57</f>
        <v>4.119560245456378E-2</v>
      </c>
      <c r="AG139" s="158">
        <f>AG112*Inputs!$H57</f>
        <v>4.3398338252782921E-2</v>
      </c>
      <c r="AH139" s="187">
        <f>AH112*Inputs!$H57</f>
        <v>4.5605705885457107E-2</v>
      </c>
      <c r="AI139" s="31">
        <f>SUM(C139:X139)</f>
        <v>0.28962595570958488</v>
      </c>
    </row>
    <row r="140" spans="1:35">
      <c r="A140" s="10" t="s">
        <v>384</v>
      </c>
      <c r="C140" s="331">
        <f t="shared" ref="C140:AH140" si="91">SUM(C127:C139)</f>
        <v>1653.6878100000004</v>
      </c>
      <c r="D140" s="331">
        <f t="shared" si="91"/>
        <v>1860.7974932472421</v>
      </c>
      <c r="E140" s="331">
        <f t="shared" si="91"/>
        <v>1702.7633174025577</v>
      </c>
      <c r="F140" s="331">
        <f t="shared" si="91"/>
        <v>1780.2029237684906</v>
      </c>
      <c r="G140" s="331">
        <f t="shared" si="91"/>
        <v>1723.7368359998079</v>
      </c>
      <c r="H140" s="402">
        <f t="shared" si="91"/>
        <v>1569.2857039905903</v>
      </c>
      <c r="I140" s="14">
        <f t="shared" si="91"/>
        <v>1646.4680282931049</v>
      </c>
      <c r="J140" s="14">
        <f t="shared" si="91"/>
        <v>1752.1110177669759</v>
      </c>
      <c r="K140" s="14">
        <f t="shared" si="91"/>
        <v>1787.6698078809131</v>
      </c>
      <c r="L140" s="14">
        <f t="shared" si="91"/>
        <v>1835.8637592470386</v>
      </c>
      <c r="M140" s="14">
        <f t="shared" si="91"/>
        <v>1897.7350529955495</v>
      </c>
      <c r="N140" s="182">
        <f t="shared" si="91"/>
        <v>1968.2422729009188</v>
      </c>
      <c r="O140" s="14">
        <f t="shared" si="91"/>
        <v>2012.3930852859869</v>
      </c>
      <c r="P140" s="14">
        <f t="shared" si="91"/>
        <v>2063.4683417580427</v>
      </c>
      <c r="Q140" s="14">
        <f t="shared" si="91"/>
        <v>2140.1976755121232</v>
      </c>
      <c r="R140" s="14">
        <f t="shared" si="91"/>
        <v>2205.6007323286676</v>
      </c>
      <c r="S140" s="14">
        <f t="shared" si="91"/>
        <v>2272.7254905034038</v>
      </c>
      <c r="T140" s="14">
        <f t="shared" si="91"/>
        <v>2332.7760885855632</v>
      </c>
      <c r="U140" s="14">
        <f t="shared" si="91"/>
        <v>2396.3698942036854</v>
      </c>
      <c r="V140" s="14">
        <f t="shared" si="91"/>
        <v>2467.9745114555321</v>
      </c>
      <c r="W140" s="14">
        <f t="shared" si="91"/>
        <v>2546.5269466141458</v>
      </c>
      <c r="X140" s="187">
        <f t="shared" si="91"/>
        <v>2628.165458434622</v>
      </c>
      <c r="Y140" s="158">
        <f t="shared" si="91"/>
        <v>2675.6931948432039</v>
      </c>
      <c r="Z140" s="158">
        <f t="shared" si="91"/>
        <v>2731.1381121908166</v>
      </c>
      <c r="AA140" s="158">
        <f t="shared" si="91"/>
        <v>2785.1030587348469</v>
      </c>
      <c r="AB140" s="158">
        <f t="shared" si="91"/>
        <v>2846.527400914486</v>
      </c>
      <c r="AC140" s="158">
        <f t="shared" si="91"/>
        <v>2919.5763714778668</v>
      </c>
      <c r="AD140" s="158">
        <f t="shared" si="91"/>
        <v>2994.250947245564</v>
      </c>
      <c r="AE140" s="158">
        <f t="shared" si="91"/>
        <v>3086.2844474731037</v>
      </c>
      <c r="AF140" s="158">
        <f t="shared" si="91"/>
        <v>3187.0920818430095</v>
      </c>
      <c r="AG140" s="158">
        <f t="shared" si="91"/>
        <v>3283.6894990350374</v>
      </c>
      <c r="AH140" s="187">
        <f t="shared" si="91"/>
        <v>3376.7675629678556</v>
      </c>
      <c r="AI140" s="48" t="s">
        <v>0</v>
      </c>
    </row>
    <row r="141" spans="1:35">
      <c r="A141" s="10" t="s">
        <v>387</v>
      </c>
      <c r="C141" s="331">
        <f>SUM(C128:C130)</f>
        <v>1385.8726500000002</v>
      </c>
      <c r="D141" s="331">
        <f t="shared" ref="D141:AH141" si="92">SUM(D128:D130)</f>
        <v>1542.2198551942602</v>
      </c>
      <c r="E141" s="331">
        <f t="shared" si="92"/>
        <v>1394.622799849802</v>
      </c>
      <c r="F141" s="331">
        <f t="shared" si="92"/>
        <v>1440.0759835051822</v>
      </c>
      <c r="G141" s="331">
        <f t="shared" si="92"/>
        <v>1376.2413620156663</v>
      </c>
      <c r="H141" s="402">
        <f t="shared" si="92"/>
        <v>1248.5827846646721</v>
      </c>
      <c r="I141" s="14">
        <f t="shared" si="92"/>
        <v>1295.4007915742402</v>
      </c>
      <c r="J141" s="14">
        <f t="shared" si="92"/>
        <v>1362.4905676082685</v>
      </c>
      <c r="K141" s="14">
        <f t="shared" si="92"/>
        <v>1373.2786469896355</v>
      </c>
      <c r="L141" s="14">
        <f t="shared" si="92"/>
        <v>1392.4593585609923</v>
      </c>
      <c r="M141" s="14">
        <f t="shared" si="92"/>
        <v>1420.4057498359111</v>
      </c>
      <c r="N141" s="187">
        <f t="shared" si="92"/>
        <v>1452.9391726237297</v>
      </c>
      <c r="O141" s="14">
        <f t="shared" si="92"/>
        <v>1453.1447843345993</v>
      </c>
      <c r="P141" s="14">
        <f t="shared" si="92"/>
        <v>1455.5247709530975</v>
      </c>
      <c r="Q141" s="14">
        <f t="shared" si="92"/>
        <v>1472.5675658583937</v>
      </c>
      <c r="R141" s="14">
        <f t="shared" si="92"/>
        <v>1478.0786801647757</v>
      </c>
      <c r="S141" s="14">
        <f t="shared" si="92"/>
        <v>1481.130999360824</v>
      </c>
      <c r="T141" s="14">
        <f t="shared" si="92"/>
        <v>1476.0453449524343</v>
      </c>
      <c r="U141" s="14">
        <f t="shared" si="92"/>
        <v>1469.7519134365575</v>
      </c>
      <c r="V141" s="14">
        <f t="shared" si="92"/>
        <v>1464.7323784688667</v>
      </c>
      <c r="W141" s="14">
        <f t="shared" si="92"/>
        <v>1459.9547497641533</v>
      </c>
      <c r="X141" s="187">
        <f t="shared" si="92"/>
        <v>1452.9391483775614</v>
      </c>
      <c r="Y141" s="158">
        <f t="shared" si="92"/>
        <v>1446.7585334473392</v>
      </c>
      <c r="Z141" s="158">
        <f t="shared" si="92"/>
        <v>1443.4290192430012</v>
      </c>
      <c r="AA141" s="158">
        <f t="shared" si="92"/>
        <v>1437.8375398028647</v>
      </c>
      <c r="AB141" s="158">
        <f t="shared" si="92"/>
        <v>1434.5756149260321</v>
      </c>
      <c r="AC141" s="158">
        <f t="shared" si="92"/>
        <v>1435.4513234740209</v>
      </c>
      <c r="AD141" s="158">
        <f t="shared" si="92"/>
        <v>1435.2810917564127</v>
      </c>
      <c r="AE141" s="158">
        <f t="shared" si="92"/>
        <v>1441.3958954758386</v>
      </c>
      <c r="AF141" s="158">
        <f t="shared" si="92"/>
        <v>1449.2992109836637</v>
      </c>
      <c r="AG141" s="158">
        <f t="shared" si="92"/>
        <v>1452.9765508263226</v>
      </c>
      <c r="AH141" s="187">
        <f t="shared" si="92"/>
        <v>1452.9391483775614</v>
      </c>
      <c r="AI141" s="48"/>
    </row>
    <row r="142" spans="1:35">
      <c r="A142" s="10" t="s">
        <v>386</v>
      </c>
      <c r="C142" s="330">
        <f t="shared" ref="C142:AH142" si="93">SUMPRODUCT($B131:$B139,C131:C139)</f>
        <v>267.81515999999999</v>
      </c>
      <c r="D142" s="330">
        <f t="shared" si="93"/>
        <v>318.57763805298197</v>
      </c>
      <c r="E142" s="330">
        <f t="shared" si="93"/>
        <v>308.1405175527558</v>
      </c>
      <c r="F142" s="330">
        <f t="shared" si="93"/>
        <v>340.1269402633082</v>
      </c>
      <c r="G142" s="330">
        <f t="shared" si="93"/>
        <v>347.4954739841416</v>
      </c>
      <c r="H142" s="286">
        <f t="shared" si="93"/>
        <v>320.70291932591795</v>
      </c>
      <c r="I142" s="40">
        <f t="shared" si="93"/>
        <v>351.06723671886459</v>
      </c>
      <c r="J142" s="40">
        <f t="shared" si="93"/>
        <v>389.6204501587074</v>
      </c>
      <c r="K142" s="40">
        <f t="shared" si="93"/>
        <v>414.39116089127782</v>
      </c>
      <c r="L142" s="40">
        <f t="shared" si="93"/>
        <v>443.40440068604636</v>
      </c>
      <c r="M142" s="40">
        <f t="shared" si="93"/>
        <v>477.32930315963858</v>
      </c>
      <c r="N142" s="177">
        <f t="shared" si="93"/>
        <v>515.30310027718895</v>
      </c>
      <c r="O142" s="40">
        <f t="shared" si="93"/>
        <v>559.24830095138725</v>
      </c>
      <c r="P142" s="40">
        <f t="shared" si="93"/>
        <v>607.94357080494524</v>
      </c>
      <c r="Q142" s="40">
        <f t="shared" si="93"/>
        <v>667.63010965372928</v>
      </c>
      <c r="R142" s="40">
        <f t="shared" si="93"/>
        <v>727.52205216389189</v>
      </c>
      <c r="S142" s="40">
        <f t="shared" si="93"/>
        <v>791.5944911425795</v>
      </c>
      <c r="T142" s="40">
        <f t="shared" si="93"/>
        <v>856.73074363312867</v>
      </c>
      <c r="U142" s="40">
        <f t="shared" si="93"/>
        <v>926.61798076712796</v>
      </c>
      <c r="V142" s="40">
        <f t="shared" si="93"/>
        <v>1003.2421329866652</v>
      </c>
      <c r="W142" s="40">
        <f t="shared" si="93"/>
        <v>1086.5721968499918</v>
      </c>
      <c r="X142" s="184">
        <f t="shared" si="93"/>
        <v>1175.2263100570603</v>
      </c>
      <c r="Y142" s="271">
        <f t="shared" si="93"/>
        <v>1228.9346613958651</v>
      </c>
      <c r="Z142" s="271">
        <f t="shared" si="93"/>
        <v>1287.7090929478163</v>
      </c>
      <c r="AA142" s="271">
        <f t="shared" si="93"/>
        <v>1347.2655189319828</v>
      </c>
      <c r="AB142" s="271">
        <f t="shared" si="93"/>
        <v>1411.951785988454</v>
      </c>
      <c r="AC142" s="271">
        <f t="shared" si="93"/>
        <v>1484.1250480038464</v>
      </c>
      <c r="AD142" s="271">
        <f t="shared" si="93"/>
        <v>1558.9698554891509</v>
      </c>
      <c r="AE142" s="271">
        <f t="shared" si="93"/>
        <v>1644.8885519972648</v>
      </c>
      <c r="AF142" s="271">
        <f t="shared" si="93"/>
        <v>1737.7928708593456</v>
      </c>
      <c r="AG142" s="271">
        <f t="shared" si="93"/>
        <v>1830.7129482087139</v>
      </c>
      <c r="AH142" s="184">
        <f t="shared" si="93"/>
        <v>1923.8284145902935</v>
      </c>
    </row>
    <row r="143" spans="1:35">
      <c r="A143" s="10" t="s">
        <v>142</v>
      </c>
      <c r="C143" s="331">
        <f>C116*Inputs!$H$60</f>
        <v>2510.8775999999998</v>
      </c>
      <c r="D143" s="331">
        <f>D116*Inputs!$H$60</f>
        <v>1262.5880983779</v>
      </c>
      <c r="E143" s="331">
        <f>E116*Inputs!$H$60</f>
        <v>1469.044262507919</v>
      </c>
      <c r="F143" s="331">
        <f>F116*Inputs!$H$60</f>
        <v>1245.3655891883466</v>
      </c>
      <c r="G143" s="331">
        <f>G116*Inputs!$H$60</f>
        <v>1345.7628226397169</v>
      </c>
      <c r="H143" s="402">
        <f>H116*Inputs!$H$60</f>
        <v>1432.8440127353233</v>
      </c>
      <c r="I143" s="14">
        <f>I116*Inputs!$H$60</f>
        <v>1354.5111792158373</v>
      </c>
      <c r="J143" s="14">
        <f>J116*Inputs!$H$60</f>
        <v>1295.0399651153841</v>
      </c>
      <c r="K143" s="14">
        <f>K116*Inputs!$H$60</f>
        <v>1375.8504424301814</v>
      </c>
      <c r="L143" s="14">
        <f>L116*Inputs!$H$60</f>
        <v>1404.6623338319898</v>
      </c>
      <c r="M143" s="14">
        <f>M116*Inputs!$H$60</f>
        <v>1408.209241544494</v>
      </c>
      <c r="N143" s="182">
        <f>N116*Inputs!$H$60</f>
        <v>1392.4596223013853</v>
      </c>
      <c r="O143" s="14">
        <f>O116*Inputs!$H$60</f>
        <v>1401.9481765991025</v>
      </c>
      <c r="P143" s="14">
        <f>P116*Inputs!$H$60</f>
        <v>1407.4742629896602</v>
      </c>
      <c r="Q143" s="14">
        <f>Q116*Inputs!$H$60</f>
        <v>1404.3600717447882</v>
      </c>
      <c r="R143" s="14">
        <f>R116*Inputs!$H$60</f>
        <v>1415.2405054230567</v>
      </c>
      <c r="S143" s="14">
        <f>S116*Inputs!$H$60</f>
        <v>1430.4342170535492</v>
      </c>
      <c r="T143" s="14">
        <f>T116*Inputs!$H$60</f>
        <v>1423.5442847179693</v>
      </c>
      <c r="U143" s="14">
        <f>U116*Inputs!$H$60</f>
        <v>1416.3960987526675</v>
      </c>
      <c r="V143" s="14">
        <f>V116*Inputs!$H$60</f>
        <v>1407.3547662919734</v>
      </c>
      <c r="W143" s="14">
        <f>W116*Inputs!$H$60</f>
        <v>1403.6249504175703</v>
      </c>
      <c r="X143" s="187">
        <f>X116*Inputs!$H$60</f>
        <v>1394.4366216088354</v>
      </c>
      <c r="Y143" s="158">
        <f>Y116*Inputs!$H$60</f>
        <v>1388.4678750296266</v>
      </c>
      <c r="Z143" s="158">
        <f>Z116*Inputs!$H$60</f>
        <v>1380.9594372237427</v>
      </c>
      <c r="AA143" s="158">
        <f>AA116*Inputs!$H$60</f>
        <v>1373.3196193248939</v>
      </c>
      <c r="AB143" s="158">
        <f>AB116*Inputs!$H$60</f>
        <v>1365.0510791904696</v>
      </c>
      <c r="AC143" s="158">
        <f>AC116*Inputs!$H$60</f>
        <v>1354.7208862958498</v>
      </c>
      <c r="AD143" s="158">
        <f>AD116*Inputs!$H$60</f>
        <v>1344.9653005025011</v>
      </c>
      <c r="AE143" s="158">
        <f>AE116*Inputs!$H$60</f>
        <v>1333.1340690344296</v>
      </c>
      <c r="AF143" s="158">
        <f>AF116*Inputs!$H$60</f>
        <v>1320.74243174255</v>
      </c>
      <c r="AG143" s="158">
        <f>AG116*Inputs!$H$60</f>
        <v>1310.4078769608784</v>
      </c>
      <c r="AH143" s="187">
        <f>AH116*Inputs!$H$60</f>
        <v>1300.4229237304585</v>
      </c>
      <c r="AI143" s="48"/>
    </row>
    <row r="144" spans="1:35">
      <c r="A144" s="10" t="s">
        <v>222</v>
      </c>
      <c r="C144" s="331">
        <f>C117*Inputs!$H$61</f>
        <v>1076.0904</v>
      </c>
      <c r="D144" s="331">
        <f>D117*Inputs!$H$61</f>
        <v>2743.8988103202732</v>
      </c>
      <c r="E144" s="331">
        <f>E117*Inputs!$H$61</f>
        <v>2162.0631896196719</v>
      </c>
      <c r="F144" s="331">
        <f>F117*Inputs!$H$61</f>
        <v>2529.5043608041592</v>
      </c>
      <c r="G144" s="331">
        <f>G117*Inputs!$H$61</f>
        <v>2282.0559801687073</v>
      </c>
      <c r="H144" s="402">
        <f>H117*Inputs!$H$61</f>
        <v>2248.1314565611742</v>
      </c>
      <c r="I144" s="14">
        <f>I117*Inputs!$H$61</f>
        <v>2419.4889044803772</v>
      </c>
      <c r="J144" s="14">
        <f>J117*Inputs!$H$61</f>
        <v>2627.2605157631915</v>
      </c>
      <c r="K144" s="14">
        <f>K117*Inputs!$H$61</f>
        <v>2532.5358238013373</v>
      </c>
      <c r="L144" s="14">
        <f>L117*Inputs!$H$61</f>
        <v>2509.0483870829644</v>
      </c>
      <c r="M144" s="14">
        <f>M117*Inputs!$H$61</f>
        <v>2533.6971454895383</v>
      </c>
      <c r="N144" s="182">
        <f>N117*Inputs!$H$61</f>
        <v>2588.071300366405</v>
      </c>
      <c r="O144" s="14">
        <f>O117*Inputs!$H$61</f>
        <v>2623.2740893765235</v>
      </c>
      <c r="P144" s="14">
        <f>P117*Inputs!$H$61</f>
        <v>2668.2535600265528</v>
      </c>
      <c r="Q144" s="14">
        <f>Q117*Inputs!$H$61</f>
        <v>2763.1570901457926</v>
      </c>
      <c r="R144" s="14">
        <f>R117*Inputs!$H$61</f>
        <v>2811.4563712610702</v>
      </c>
      <c r="S144" s="14">
        <f>S117*Inputs!$H$61</f>
        <v>2847.936088743701</v>
      </c>
      <c r="T144" s="14">
        <f>T117*Inputs!$H$61</f>
        <v>2882.1633474575178</v>
      </c>
      <c r="U144" s="14">
        <f>U117*Inputs!$H$61</f>
        <v>2911.7082669934998</v>
      </c>
      <c r="V144" s="14">
        <f>V117*Inputs!$H$61</f>
        <v>2945.3270784800561</v>
      </c>
      <c r="W144" s="14">
        <f>W117*Inputs!$H$61</f>
        <v>2972.6348868916102</v>
      </c>
      <c r="X144" s="187">
        <f>X117*Inputs!$H$61</f>
        <v>2996.6645725753647</v>
      </c>
      <c r="Y144" s="158">
        <f>Y117*Inputs!$H$61</f>
        <v>3004.7996095982439</v>
      </c>
      <c r="Z144" s="158">
        <f>Z117*Inputs!$H$61</f>
        <v>3022.2986168388047</v>
      </c>
      <c r="AA144" s="158">
        <f>AA117*Inputs!$H$61</f>
        <v>3032.1297301167119</v>
      </c>
      <c r="AB144" s="158">
        <f>AB117*Inputs!$H$61</f>
        <v>3048.7845949539906</v>
      </c>
      <c r="AC144" s="158">
        <f>AC117*Inputs!$H$61</f>
        <v>3079.3165388067582</v>
      </c>
      <c r="AD144" s="158">
        <f>AD117*Inputs!$H$61</f>
        <v>3105.0675573741901</v>
      </c>
      <c r="AE144" s="158">
        <f>AE117*Inputs!$H$61</f>
        <v>3151.4153369598534</v>
      </c>
      <c r="AF144" s="158">
        <f>AF117*Inputs!$H$61</f>
        <v>3202.8950780128689</v>
      </c>
      <c r="AG144" s="158">
        <f>AG117*Inputs!$H$61</f>
        <v>3237.9690766369481</v>
      </c>
      <c r="AH144" s="187">
        <f>AH117*Inputs!$H$61</f>
        <v>3259.731997881559</v>
      </c>
      <c r="AI144" s="48"/>
    </row>
    <row r="145" spans="1:35">
      <c r="A145" s="10" t="s">
        <v>58</v>
      </c>
      <c r="C145" s="331">
        <f>SUM(C140,C143,C144)</f>
        <v>5240.6558100000002</v>
      </c>
      <c r="D145" s="331">
        <f>SUM(D140,D143,D144)</f>
        <v>5867.2844019454151</v>
      </c>
      <c r="E145" s="331">
        <f t="shared" ref="E145:AH145" si="94">SUM(E140,E143,E144)</f>
        <v>5333.8707695301491</v>
      </c>
      <c r="F145" s="331">
        <f t="shared" si="94"/>
        <v>5555.072873760997</v>
      </c>
      <c r="G145" s="331">
        <f t="shared" si="94"/>
        <v>5351.5556388082314</v>
      </c>
      <c r="H145" s="402">
        <f t="shared" si="94"/>
        <v>5250.2611732870882</v>
      </c>
      <c r="I145" s="14">
        <f t="shared" si="94"/>
        <v>5420.4681119893194</v>
      </c>
      <c r="J145" s="14">
        <f t="shared" si="94"/>
        <v>5674.4114986455515</v>
      </c>
      <c r="K145" s="14">
        <f t="shared" si="94"/>
        <v>5696.0560741124318</v>
      </c>
      <c r="L145" s="14">
        <f t="shared" si="94"/>
        <v>5749.5744801619931</v>
      </c>
      <c r="M145" s="14">
        <f t="shared" si="94"/>
        <v>5839.6414400295816</v>
      </c>
      <c r="N145" s="187">
        <f t="shared" si="94"/>
        <v>5948.7731955687086</v>
      </c>
      <c r="O145" s="14">
        <f t="shared" si="94"/>
        <v>6037.6153512616129</v>
      </c>
      <c r="P145" s="14">
        <f t="shared" si="94"/>
        <v>6139.1961647742555</v>
      </c>
      <c r="Q145" s="14">
        <f t="shared" si="94"/>
        <v>6307.7148374027038</v>
      </c>
      <c r="R145" s="14">
        <f t="shared" si="94"/>
        <v>6432.2976090127941</v>
      </c>
      <c r="S145" s="14">
        <f t="shared" si="94"/>
        <v>6551.095796300654</v>
      </c>
      <c r="T145" s="14">
        <f t="shared" si="94"/>
        <v>6638.4837207610508</v>
      </c>
      <c r="U145" s="14">
        <f t="shared" si="94"/>
        <v>6724.4742599498531</v>
      </c>
      <c r="V145" s="14">
        <f t="shared" si="94"/>
        <v>6820.6563562275614</v>
      </c>
      <c r="W145" s="14">
        <f t="shared" si="94"/>
        <v>6922.7867839233259</v>
      </c>
      <c r="X145" s="187">
        <f t="shared" si="94"/>
        <v>7019.2666526188223</v>
      </c>
      <c r="Y145" s="158">
        <f t="shared" si="94"/>
        <v>7068.9606794710744</v>
      </c>
      <c r="Z145" s="158">
        <f t="shared" si="94"/>
        <v>7134.3961662533638</v>
      </c>
      <c r="AA145" s="158">
        <f t="shared" si="94"/>
        <v>7190.5524081764524</v>
      </c>
      <c r="AB145" s="158">
        <f t="shared" si="94"/>
        <v>7260.3630750589464</v>
      </c>
      <c r="AC145" s="158">
        <f t="shared" si="94"/>
        <v>7353.6137965804746</v>
      </c>
      <c r="AD145" s="158">
        <f t="shared" si="94"/>
        <v>7444.2838051222552</v>
      </c>
      <c r="AE145" s="158">
        <f t="shared" si="94"/>
        <v>7570.8338534673867</v>
      </c>
      <c r="AF145" s="158">
        <f t="shared" si="94"/>
        <v>7710.7295915984287</v>
      </c>
      <c r="AG145" s="158">
        <f t="shared" si="94"/>
        <v>7832.0664526328637</v>
      </c>
      <c r="AH145" s="187">
        <f t="shared" si="94"/>
        <v>7936.9224845798726</v>
      </c>
      <c r="AI145" s="48"/>
    </row>
    <row r="146" spans="1:35" s="1" customFormat="1">
      <c r="A146" s="1" t="s">
        <v>335</v>
      </c>
      <c r="B146" s="13"/>
      <c r="C146" s="341">
        <f>C145-'Output - Jobs vs Yr (BAU)'!C73</f>
        <v>0.69272999999975582</v>
      </c>
      <c r="D146" s="341">
        <f>D145-'Output - Jobs vs Yr (BAU)'!D73</f>
        <v>86.646321945414456</v>
      </c>
      <c r="E146" s="341">
        <f>E145-'Output - Jobs vs Yr (BAU)'!E73</f>
        <v>33.157228226244115</v>
      </c>
      <c r="F146" s="341">
        <f>F145-'Output - Jobs vs Yr (BAU)'!F73</f>
        <v>65.417761953054651</v>
      </c>
      <c r="G146" s="341">
        <f>G145-'Output - Jobs vs Yr (BAU)'!G73</f>
        <v>45.157391182439824</v>
      </c>
      <c r="H146" s="405">
        <f>H145-'Output - Jobs vs Yr (BAU)'!H73</f>
        <v>-0.12896999999884429</v>
      </c>
      <c r="I146" s="15">
        <f>I145-'Output - Jobs vs Yr (BAU)'!I73</f>
        <v>8.5040406448997601</v>
      </c>
      <c r="J146" s="15">
        <f>J145-'Output - Jobs vs Yr (BAU)'!J73</f>
        <v>20.190344910288331</v>
      </c>
      <c r="K146" s="15">
        <f>K145-'Output - Jobs vs Yr (BAU)'!K73</f>
        <v>8.6166826975932054</v>
      </c>
      <c r="L146" s="15">
        <f>L145-'Output - Jobs vs Yr (BAU)'!L73</f>
        <v>9.4363644046416084</v>
      </c>
      <c r="M146" s="15">
        <f>M145-'Output - Jobs vs Yr (BAU)'!M73</f>
        <v>22.307935250327318</v>
      </c>
      <c r="N146" s="182">
        <f>N145-'Output - Jobs vs Yr (BAU)'!N73</f>
        <v>37.560886548140843</v>
      </c>
      <c r="O146" s="15">
        <f>O145-'Output - Jobs vs Yr (BAU)'!O73</f>
        <v>43.460255167496143</v>
      </c>
      <c r="P146" s="15">
        <f>P145-'Output - Jobs vs Yr (BAU)'!P73</f>
        <v>56.904476673560566</v>
      </c>
      <c r="Q146" s="15">
        <f>Q145-'Output - Jobs vs Yr (BAU)'!Q73</f>
        <v>59.75120190877351</v>
      </c>
      <c r="R146" s="15">
        <f>R145-'Output - Jobs vs Yr (BAU)'!R73</f>
        <v>78.005202293721595</v>
      </c>
      <c r="S146" s="15">
        <f>S145-'Output - Jobs vs Yr (BAU)'!S73</f>
        <v>73.858772645984573</v>
      </c>
      <c r="T146" s="15">
        <f>T145-'Output - Jobs vs Yr (BAU)'!T73</f>
        <v>93.33615752885089</v>
      </c>
      <c r="U146" s="15">
        <f>U145-'Output - Jobs vs Yr (BAU)'!U73</f>
        <v>118.12315865047185</v>
      </c>
      <c r="V146" s="15">
        <f>V145-'Output - Jobs vs Yr (BAU)'!V73</f>
        <v>146.86729044367075</v>
      </c>
      <c r="W146" s="15">
        <f>W145-'Output - Jobs vs Yr (BAU)'!W73</f>
        <v>145.61544518674236</v>
      </c>
      <c r="X146" s="190">
        <f>X145-'Output - Jobs vs Yr (BAU)'!X73</f>
        <v>180.2008192485473</v>
      </c>
      <c r="Y146" s="130">
        <f>Y145-'Output - Jobs vs Yr (BAU)'!Y73</f>
        <v>199.30008248744161</v>
      </c>
      <c r="Z146" s="130">
        <f>Z145-'Output - Jobs vs Yr (BAU)'!Z73</f>
        <v>222.68588965309209</v>
      </c>
      <c r="AA146" s="130">
        <f>AA145-'Output - Jobs vs Yr (BAU)'!AA73</f>
        <v>244.6665312815303</v>
      </c>
      <c r="AB146" s="130">
        <f>AB145-'Output - Jobs vs Yr (BAU)'!AB73</f>
        <v>268.82585295917579</v>
      </c>
      <c r="AC146" s="130">
        <f>AC145-'Output - Jobs vs Yr (BAU)'!AC73</f>
        <v>298.29993999947055</v>
      </c>
      <c r="AD146" s="130">
        <f>AD145-'Output - Jobs vs Yr (BAU)'!AD73</f>
        <v>326.86368422876512</v>
      </c>
      <c r="AE146" s="130">
        <f>AE145-'Output - Jobs vs Yr (BAU)'!AE73</f>
        <v>361.49395099055164</v>
      </c>
      <c r="AF146" s="130">
        <f>AF145-'Output - Jobs vs Yr (BAU)'!AF73</f>
        <v>398.6975236948565</v>
      </c>
      <c r="AG146" s="130">
        <f>AG145-'Output - Jobs vs Yr (BAU)'!AG73</f>
        <v>434.64343309752712</v>
      </c>
      <c r="AH146" s="190">
        <f>AH145-'Output - Jobs vs Yr (BAU)'!AH73</f>
        <v>470.92782440600058</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11062.14428</v>
      </c>
      <c r="D176" s="334">
        <f>'Output - Jobs vs Yr (BAU)'!D55+'Output - Jobs vs Yr (BAU)'!D73</f>
        <v>12203.569280000002</v>
      </c>
      <c r="E176" s="334">
        <f>'Output - Jobs vs Yr (BAU)'!E55+'Output - Jobs vs Yr (BAU)'!E73</f>
        <v>11190.395253863799</v>
      </c>
      <c r="F176" s="334">
        <f>'Output - Jobs vs Yr (BAU)'!F55+'Output - Jobs vs Yr (BAU)'!F73</f>
        <v>11589.271902705656</v>
      </c>
      <c r="G176" s="334">
        <f>'Output - Jobs vs Yr (BAU)'!G55+'Output - Jobs vs Yr (BAU)'!G73</f>
        <v>11202.396300543338</v>
      </c>
      <c r="H176" s="404">
        <f>'Output - Jobs vs Yr (BAU)'!H55+'Output - Jobs vs Yr (BAU)'!H73</f>
        <v>11084.156969161628</v>
      </c>
      <c r="I176" s="19">
        <f>'Output - Jobs vs Yr (BAU)'!I55+'Output - Jobs vs Yr (BAU)'!I73</f>
        <v>11425.25748394933</v>
      </c>
      <c r="J176" s="19">
        <f>'Output - Jobs vs Yr (BAU)'!J55+'Output - Jobs vs Yr (BAU)'!J73</f>
        <v>11936.68910233</v>
      </c>
      <c r="K176" s="19">
        <f>'Output - Jobs vs Yr (BAU)'!K55+'Output - Jobs vs Yr (BAU)'!K73</f>
        <v>12006.81649298688</v>
      </c>
      <c r="L176" s="19">
        <f>'Output - Jobs vs Yr (BAU)'!L55+'Output - Jobs vs Yr (BAU)'!L73</f>
        <v>12118.069355487742</v>
      </c>
      <c r="M176" s="19">
        <f>'Output - Jobs vs Yr (BAU)'!M55+'Output - Jobs vs Yr (BAU)'!M73</f>
        <v>12281.037398978426</v>
      </c>
      <c r="N176" s="182">
        <f>'Output - Jobs vs Yr (BAU)'!N55+'Output - Jobs vs Yr (BAU)'!N73</f>
        <v>12479.225985710087</v>
      </c>
      <c r="O176" s="19">
        <f>'Output - Jobs vs Yr (BAU)'!O55+'Output - Jobs vs Yr (BAU)'!O73</f>
        <v>12654.32742508758</v>
      </c>
      <c r="P176" s="19">
        <f>'Output - Jobs vs Yr (BAU)'!P55+'Output - Jobs vs Yr (BAU)'!P73</f>
        <v>12840.393563768133</v>
      </c>
      <c r="Q176" s="19">
        <f>'Output - Jobs vs Yr (BAU)'!Q55+'Output - Jobs vs Yr (BAU)'!Q73</f>
        <v>13190.145452709408</v>
      </c>
      <c r="R176" s="19">
        <f>'Output - Jobs vs Yr (BAU)'!R55+'Output - Jobs vs Yr (BAU)'!R73</f>
        <v>13414.617303073597</v>
      </c>
      <c r="S176" s="19">
        <f>'Output - Jobs vs Yr (BAU)'!S55+'Output - Jobs vs Yr (BAU)'!S73</f>
        <v>13674.167049937634</v>
      </c>
      <c r="T176" s="19">
        <f>'Output - Jobs vs Yr (BAU)'!T55+'Output - Jobs vs Yr (BAU)'!T73</f>
        <v>13817.533744601311</v>
      </c>
      <c r="U176" s="19">
        <f>'Output - Jobs vs Yr (BAU)'!U55+'Output - Jobs vs Yr (BAU)'!U73</f>
        <v>13946.74121385425</v>
      </c>
      <c r="V176" s="19">
        <f>'Output - Jobs vs Yr (BAU)'!V55+'Output - Jobs vs Yr (BAU)'!V73</f>
        <v>14089.110249988214</v>
      </c>
      <c r="W176" s="19">
        <f>'Output - Jobs vs Yr (BAU)'!W55+'Output - Jobs vs Yr (BAU)'!W73</f>
        <v>14307.361715110565</v>
      </c>
      <c r="X176" s="182">
        <f>'Output - Jobs vs Yr (BAU)'!X55+'Output - Jobs vs Yr (BAU)'!X73</f>
        <v>14438.027870448357</v>
      </c>
      <c r="Y176" s="206">
        <f>'Output - Jobs vs Yr (BAU)'!Y55+'Output - Jobs vs Yr (BAU)'!Y73</f>
        <v>14502.616815854335</v>
      </c>
      <c r="Z176" s="206">
        <f>'Output - Jobs vs Yr (BAU)'!Z55+'Output - Jobs vs Yr (BAU)'!Z73</f>
        <v>14591.388361711686</v>
      </c>
      <c r="AA176" s="206">
        <f>'Output - Jobs vs Yr (BAU)'!AA55+'Output - Jobs vs Yr (BAU)'!AA73</f>
        <v>14663.536851222614</v>
      </c>
      <c r="AB176" s="206">
        <f>'Output - Jobs vs Yr (BAU)'!AB55+'Output - Jobs vs Yr (BAU)'!AB73</f>
        <v>14759.911913321739</v>
      </c>
      <c r="AC176" s="206">
        <f>'Output - Jobs vs Yr (BAU)'!AC55+'Output - Jobs vs Yr (BAU)'!AC73</f>
        <v>14894.551475004342</v>
      </c>
      <c r="AD176" s="206">
        <f>'Output - Jobs vs Yr (BAU)'!AD55+'Output - Jobs vs Yr (BAU)'!AD73</f>
        <v>15025.664699664036</v>
      </c>
      <c r="AE176" s="206">
        <f>'Output - Jobs vs Yr (BAU)'!AE55+'Output - Jobs vs Yr (BAU)'!AE73</f>
        <v>15219.71757189554</v>
      </c>
      <c r="AF176" s="206">
        <f>'Output - Jobs vs Yr (BAU)'!AF55+'Output - Jobs vs Yr (BAU)'!AF73</f>
        <v>15436.512143351985</v>
      </c>
      <c r="AG176" s="206">
        <f>'Output - Jobs vs Yr (BAU)'!AG55+'Output - Jobs vs Yr (BAU)'!AG73</f>
        <v>15616.781930130157</v>
      </c>
      <c r="AH176" s="182">
        <f>'Output - Jobs vs Yr (BAU)'!AH55+'Output - Jobs vs Yr (BAU)'!AH73</f>
        <v>15761.544282589286</v>
      </c>
      <c r="AI176" s="1"/>
    </row>
    <row r="177" spans="1:35">
      <c r="A177" s="76" t="s">
        <v>300</v>
      </c>
      <c r="C177" s="334">
        <f>'Output - Jobs vs Yr (BAU)'!C55</f>
        <v>5822.1812</v>
      </c>
      <c r="D177" s="334">
        <f>'Output - Jobs vs Yr (BAU)'!D55</f>
        <v>6422.9312000000009</v>
      </c>
      <c r="E177" s="334">
        <f>'Output - Jobs vs Yr (BAU)'!E55</f>
        <v>5889.6817125598936</v>
      </c>
      <c r="F177" s="334">
        <f>'Output - Jobs vs Yr (BAU)'!F55</f>
        <v>6099.6167908977141</v>
      </c>
      <c r="G177" s="334">
        <f>'Output - Jobs vs Yr (BAU)'!G55</f>
        <v>5895.9980529175464</v>
      </c>
      <c r="H177" s="404">
        <f>'Output - Jobs vs Yr (BAU)'!H55</f>
        <v>5833.7668258745398</v>
      </c>
      <c r="I177" s="19">
        <f>'Output - Jobs vs Yr (BAU)'!I55</f>
        <v>6013.2934126049104</v>
      </c>
      <c r="J177" s="19">
        <f>'Output - Jobs vs Yr (BAU)'!J55</f>
        <v>6282.4679485947363</v>
      </c>
      <c r="K177" s="19">
        <f>'Output - Jobs vs Yr (BAU)'!K55</f>
        <v>6319.3771015720422</v>
      </c>
      <c r="L177" s="19">
        <f>'Output - Jobs vs Yr (BAU)'!L55</f>
        <v>6377.9312397303902</v>
      </c>
      <c r="M177" s="19">
        <f>'Output - Jobs vs Yr (BAU)'!M55</f>
        <v>6463.7038941991714</v>
      </c>
      <c r="N177" s="182">
        <f>'Output - Jobs vs Yr (BAU)'!N55</f>
        <v>6568.0136766895193</v>
      </c>
      <c r="O177" s="19">
        <f>'Output - Jobs vs Yr (BAU)'!O55</f>
        <v>6660.1723289934635</v>
      </c>
      <c r="P177" s="19">
        <f>'Output - Jobs vs Yr (BAU)'!P55</f>
        <v>6758.1018756674384</v>
      </c>
      <c r="Q177" s="19">
        <f>'Output - Jobs vs Yr (BAU)'!Q55</f>
        <v>6942.1818172154781</v>
      </c>
      <c r="R177" s="19">
        <f>'Output - Jobs vs Yr (BAU)'!R55</f>
        <v>7060.3248963545248</v>
      </c>
      <c r="S177" s="19">
        <f>'Output - Jobs vs Yr (BAU)'!S55</f>
        <v>7196.9300262829656</v>
      </c>
      <c r="T177" s="19">
        <f>'Output - Jobs vs Yr (BAU)'!T55</f>
        <v>7272.3861813691101</v>
      </c>
      <c r="U177" s="19">
        <f>'Output - Jobs vs Yr (BAU)'!U55</f>
        <v>7340.3901125548691</v>
      </c>
      <c r="V177" s="19">
        <f>'Output - Jobs vs Yr (BAU)'!V55</f>
        <v>7415.3211842043229</v>
      </c>
      <c r="W177" s="19">
        <f>'Output - Jobs vs Yr (BAU)'!W55</f>
        <v>7530.1903763739811</v>
      </c>
      <c r="X177" s="182">
        <f>'Output - Jobs vs Yr (BAU)'!X55</f>
        <v>7598.9620370780831</v>
      </c>
      <c r="Y177" s="206">
        <f>'Output - Jobs vs Yr (BAU)'!Y55</f>
        <v>7632.9562188707023</v>
      </c>
      <c r="Z177" s="206">
        <f>'Output - Jobs vs Yr (BAU)'!Z55</f>
        <v>7679.6780851114145</v>
      </c>
      <c r="AA177" s="206">
        <f>'Output - Jobs vs Yr (BAU)'!AA55</f>
        <v>7717.650974327692</v>
      </c>
      <c r="AB177" s="206">
        <f>'Output - Jobs vs Yr (BAU)'!AB55</f>
        <v>7768.3746912219685</v>
      </c>
      <c r="AC177" s="206">
        <f>'Output - Jobs vs Yr (BAU)'!AC55</f>
        <v>7839.2376184233381</v>
      </c>
      <c r="AD177" s="206">
        <f>'Output - Jobs vs Yr (BAU)'!AD55</f>
        <v>7908.2445787705456</v>
      </c>
      <c r="AE177" s="206">
        <f>'Output - Jobs vs Yr (BAU)'!AE55</f>
        <v>8010.3776694187054</v>
      </c>
      <c r="AF177" s="206">
        <f>'Output - Jobs vs Yr (BAU)'!AF55</f>
        <v>8124.480075448414</v>
      </c>
      <c r="AG177" s="206">
        <f>'Output - Jobs vs Yr (BAU)'!AG55</f>
        <v>8219.3589105948195</v>
      </c>
      <c r="AH177" s="182">
        <f>'Output - Jobs vs Yr (BAU)'!AH55</f>
        <v>8295.549622415414</v>
      </c>
      <c r="AI177" s="1"/>
    </row>
    <row r="178" spans="1:35">
      <c r="A178" s="76" t="s">
        <v>301</v>
      </c>
      <c r="C178" s="334">
        <f>'Output - Jobs vs Yr (BAU)'!C73</f>
        <v>5239.9630800000004</v>
      </c>
      <c r="D178" s="334">
        <f>'Output - Jobs vs Yr (BAU)'!D73</f>
        <v>5780.6380800000006</v>
      </c>
      <c r="E178" s="334">
        <f>'Output - Jobs vs Yr (BAU)'!E73</f>
        <v>5300.713541303905</v>
      </c>
      <c r="F178" s="334">
        <f>'Output - Jobs vs Yr (BAU)'!F73</f>
        <v>5489.6551118079424</v>
      </c>
      <c r="G178" s="334">
        <f>'Output - Jobs vs Yr (BAU)'!G73</f>
        <v>5306.3982476257916</v>
      </c>
      <c r="H178" s="404">
        <f>'Output - Jobs vs Yr (BAU)'!H73</f>
        <v>5250.3901432870871</v>
      </c>
      <c r="I178" s="19">
        <f>'Output - Jobs vs Yr (BAU)'!I73</f>
        <v>5411.9640713444196</v>
      </c>
      <c r="J178" s="19">
        <f>'Output - Jobs vs Yr (BAU)'!J73</f>
        <v>5654.2211537352632</v>
      </c>
      <c r="K178" s="19">
        <f>'Output - Jobs vs Yr (BAU)'!K73</f>
        <v>5687.4393914148386</v>
      </c>
      <c r="L178" s="19">
        <f>'Output - Jobs vs Yr (BAU)'!L73</f>
        <v>5740.1381157573514</v>
      </c>
      <c r="M178" s="19">
        <f>'Output - Jobs vs Yr (BAU)'!M73</f>
        <v>5817.3335047792543</v>
      </c>
      <c r="N178" s="182">
        <f>'Output - Jobs vs Yr (BAU)'!N73</f>
        <v>5911.2123090205678</v>
      </c>
      <c r="O178" s="19">
        <f>'Output - Jobs vs Yr (BAU)'!O73</f>
        <v>5994.1550960941167</v>
      </c>
      <c r="P178" s="19">
        <f>'Output - Jobs vs Yr (BAU)'!P73</f>
        <v>6082.291688100695</v>
      </c>
      <c r="Q178" s="19">
        <f>'Output - Jobs vs Yr (BAU)'!Q73</f>
        <v>6247.9636354939303</v>
      </c>
      <c r="R178" s="19">
        <f>'Output - Jobs vs Yr (BAU)'!R73</f>
        <v>6354.2924067190725</v>
      </c>
      <c r="S178" s="19">
        <f>'Output - Jobs vs Yr (BAU)'!S73</f>
        <v>6477.2370236546694</v>
      </c>
      <c r="T178" s="19">
        <f>'Output - Jobs vs Yr (BAU)'!T73</f>
        <v>6545.1475632321999</v>
      </c>
      <c r="U178" s="19">
        <f>'Output - Jobs vs Yr (BAU)'!U73</f>
        <v>6606.3511012993813</v>
      </c>
      <c r="V178" s="19">
        <f>'Output - Jobs vs Yr (BAU)'!V73</f>
        <v>6673.7890657838907</v>
      </c>
      <c r="W178" s="19">
        <f>'Output - Jobs vs Yr (BAU)'!W73</f>
        <v>6777.1713387365835</v>
      </c>
      <c r="X178" s="182">
        <f>'Output - Jobs vs Yr (BAU)'!X73</f>
        <v>6839.065833370275</v>
      </c>
      <c r="Y178" s="206">
        <f>'Output - Jobs vs Yr (BAU)'!Y73</f>
        <v>6869.6605969836328</v>
      </c>
      <c r="Z178" s="206">
        <f>'Output - Jobs vs Yr (BAU)'!Z73</f>
        <v>6911.7102766002718</v>
      </c>
      <c r="AA178" s="206">
        <f>'Output - Jobs vs Yr (BAU)'!AA73</f>
        <v>6945.8858768949221</v>
      </c>
      <c r="AB178" s="206">
        <f>'Output - Jobs vs Yr (BAU)'!AB73</f>
        <v>6991.5372220997706</v>
      </c>
      <c r="AC178" s="206">
        <f>'Output - Jobs vs Yr (BAU)'!AC73</f>
        <v>7055.3138565810041</v>
      </c>
      <c r="AD178" s="206">
        <f>'Output - Jobs vs Yr (BAU)'!AD73</f>
        <v>7117.4201208934901</v>
      </c>
      <c r="AE178" s="206">
        <f>'Output - Jobs vs Yr (BAU)'!AE73</f>
        <v>7209.3399024768351</v>
      </c>
      <c r="AF178" s="206">
        <f>'Output - Jobs vs Yr (BAU)'!AF73</f>
        <v>7312.0320679035722</v>
      </c>
      <c r="AG178" s="206">
        <f>'Output - Jobs vs Yr (BAU)'!AG73</f>
        <v>7397.4230195353366</v>
      </c>
      <c r="AH178" s="182">
        <f>'Output - Jobs vs Yr (BAU)'!AH73</f>
        <v>7465.994660173872</v>
      </c>
      <c r="AI178" s="80" t="s">
        <v>0</v>
      </c>
    </row>
    <row r="179" spans="1:35">
      <c r="A179" s="75" t="s">
        <v>298</v>
      </c>
      <c r="C179" s="331">
        <f>SUM(C118,C145)</f>
        <v>11063.60701</v>
      </c>
      <c r="D179" s="331">
        <f t="shared" ref="D179:AH179" si="99">SUM(D118,D145)+D249+D252</f>
        <v>12386.489632182813</v>
      </c>
      <c r="E179" s="331">
        <f t="shared" si="99"/>
        <v>11260.394158430256</v>
      </c>
      <c r="F179" s="331">
        <f t="shared" si="99"/>
        <v>11727.376393802362</v>
      </c>
      <c r="G179" s="331">
        <f t="shared" si="99"/>
        <v>11297.728888330576</v>
      </c>
      <c r="H179" s="402">
        <f>SUM(H118,H145)+H249+H252</f>
        <v>11083.88499916163</v>
      </c>
      <c r="I179" s="14">
        <f t="shared" si="99"/>
        <v>11443.210770788877</v>
      </c>
      <c r="J179" s="14">
        <f t="shared" si="99"/>
        <v>11979.313493079866</v>
      </c>
      <c r="K179" s="14">
        <f t="shared" si="99"/>
        <v>12025.007600439285</v>
      </c>
      <c r="L179" s="14">
        <f t="shared" si="99"/>
        <v>12137.990907771155</v>
      </c>
      <c r="M179" s="14">
        <f t="shared" si="99"/>
        <v>12328.132275349195</v>
      </c>
      <c r="N179" s="187">
        <f t="shared" si="99"/>
        <v>12558.521546084925</v>
      </c>
      <c r="O179" s="14">
        <f t="shared" si="99"/>
        <v>12746.077238415295</v>
      </c>
      <c r="P179" s="14">
        <f t="shared" si="99"/>
        <v>12960.525656086007</v>
      </c>
      <c r="Q179" s="14">
        <f t="shared" si="99"/>
        <v>13316.287339471519</v>
      </c>
      <c r="R179" s="14">
        <f t="shared" si="99"/>
        <v>13579.295454182176</v>
      </c>
      <c r="S179" s="14">
        <f t="shared" si="99"/>
        <v>13830.091671540587</v>
      </c>
      <c r="T179" s="14">
        <f t="shared" si="99"/>
        <v>14014.577334774809</v>
      </c>
      <c r="U179" s="14">
        <f t="shared" si="99"/>
        <v>14196.112965712744</v>
      </c>
      <c r="V179" s="14">
        <f t="shared" si="99"/>
        <v>14399.164110707505</v>
      </c>
      <c r="W179" s="14">
        <f t="shared" si="99"/>
        <v>14614.772848877019</v>
      </c>
      <c r="X179" s="187">
        <f t="shared" si="99"/>
        <v>14818.452632829441</v>
      </c>
      <c r="Y179" s="158">
        <f t="shared" si="99"/>
        <v>14923.362282119419</v>
      </c>
      <c r="Z179" s="158">
        <f t="shared" si="99"/>
        <v>15061.503905867228</v>
      </c>
      <c r="AA179" s="158">
        <f t="shared" si="99"/>
        <v>15180.056013229454</v>
      </c>
      <c r="AB179" s="158">
        <f t="shared" si="99"/>
        <v>15327.434132377715</v>
      </c>
      <c r="AC179" s="158">
        <f t="shared" si="99"/>
        <v>15524.296816483789</v>
      </c>
      <c r="AD179" s="158">
        <f t="shared" si="99"/>
        <v>15715.711330586475</v>
      </c>
      <c r="AE179" s="158">
        <f t="shared" si="99"/>
        <v>15982.872603023545</v>
      </c>
      <c r="AF179" s="158">
        <f t="shared" si="99"/>
        <v>16278.208114271556</v>
      </c>
      <c r="AG179" s="158">
        <f t="shared" si="99"/>
        <v>16534.363773882043</v>
      </c>
      <c r="AH179" s="187">
        <f t="shared" si="99"/>
        <v>16755.726572220519</v>
      </c>
    </row>
    <row r="180" spans="1:35">
      <c r="A180" s="76" t="s">
        <v>302</v>
      </c>
      <c r="C180" s="331">
        <f>C118</f>
        <v>5822.9511999999995</v>
      </c>
      <c r="D180" s="331">
        <f t="shared" ref="D180:AH180" si="100">D118+D250+D253</f>
        <v>6519.2052302373968</v>
      </c>
      <c r="E180" s="331">
        <f t="shared" si="100"/>
        <v>5926.5233889001065</v>
      </c>
      <c r="F180" s="331">
        <f t="shared" si="100"/>
        <v>6172.3035200413651</v>
      </c>
      <c r="G180" s="331">
        <f t="shared" si="100"/>
        <v>5946.1732495223441</v>
      </c>
      <c r="H180" s="402">
        <f t="shared" si="100"/>
        <v>5833.6238258745416</v>
      </c>
      <c r="I180" s="14">
        <f t="shared" si="100"/>
        <v>6022.7426587995578</v>
      </c>
      <c r="J180" s="14">
        <f t="shared" si="100"/>
        <v>6304.9019944343136</v>
      </c>
      <c r="K180" s="14">
        <f t="shared" si="100"/>
        <v>6328.9515263268531</v>
      </c>
      <c r="L180" s="14">
        <f t="shared" si="100"/>
        <v>6388.4164276091615</v>
      </c>
      <c r="M180" s="14">
        <f t="shared" si="100"/>
        <v>6488.4908353196133</v>
      </c>
      <c r="N180" s="187">
        <f t="shared" si="100"/>
        <v>6609.7483505162172</v>
      </c>
      <c r="O180" s="14">
        <f t="shared" si="100"/>
        <v>6708.4618871536823</v>
      </c>
      <c r="P180" s="14">
        <f t="shared" si="100"/>
        <v>6821.3294913117525</v>
      </c>
      <c r="Q180" s="14">
        <f t="shared" si="100"/>
        <v>7008.5725020688151</v>
      </c>
      <c r="R180" s="14">
        <f t="shared" si="100"/>
        <v>7146.9978451693823</v>
      </c>
      <c r="S180" s="14">
        <f t="shared" si="100"/>
        <v>7278.9958752399343</v>
      </c>
      <c r="T180" s="14">
        <f t="shared" si="100"/>
        <v>7376.0936140137583</v>
      </c>
      <c r="U180" s="14">
        <f t="shared" si="100"/>
        <v>7471.6387057628908</v>
      </c>
      <c r="V180" s="14">
        <f t="shared" si="100"/>
        <v>7578.5077544799424</v>
      </c>
      <c r="W180" s="14">
        <f t="shared" si="100"/>
        <v>7691.986064953694</v>
      </c>
      <c r="X180" s="187">
        <f t="shared" si="100"/>
        <v>7799.1859802106201</v>
      </c>
      <c r="Y180" s="158">
        <f t="shared" si="100"/>
        <v>7854.4016026483441</v>
      </c>
      <c r="Z180" s="158">
        <f t="shared" si="100"/>
        <v>7927.1077396138644</v>
      </c>
      <c r="AA180" s="158">
        <f t="shared" si="100"/>
        <v>7989.5036050530016</v>
      </c>
      <c r="AB180" s="158">
        <f t="shared" si="100"/>
        <v>8067.0710573187698</v>
      </c>
      <c r="AC180" s="158">
        <f t="shared" si="100"/>
        <v>8170.6830199033147</v>
      </c>
      <c r="AD180" s="158">
        <f t="shared" si="100"/>
        <v>8271.4275254642198</v>
      </c>
      <c r="AE180" s="158">
        <f t="shared" si="100"/>
        <v>8412.038749556159</v>
      </c>
      <c r="AF180" s="158">
        <f t="shared" si="100"/>
        <v>8567.4785226731274</v>
      </c>
      <c r="AG180" s="158">
        <f t="shared" si="100"/>
        <v>8702.2973212491797</v>
      </c>
      <c r="AH180" s="187">
        <f t="shared" si="100"/>
        <v>8818.8040876406449</v>
      </c>
    </row>
    <row r="181" spans="1:35">
      <c r="A181" s="76" t="s">
        <v>303</v>
      </c>
      <c r="C181" s="331">
        <f>C145</f>
        <v>5240.6558100000002</v>
      </c>
      <c r="D181" s="331">
        <f t="shared" ref="D181:AH181" si="101">D145+D251+D254</f>
        <v>5867.2844019454151</v>
      </c>
      <c r="E181" s="331">
        <f t="shared" si="101"/>
        <v>5333.8707695301491</v>
      </c>
      <c r="F181" s="331">
        <f t="shared" si="101"/>
        <v>5555.072873760997</v>
      </c>
      <c r="G181" s="331">
        <f t="shared" si="101"/>
        <v>5351.5556388082314</v>
      </c>
      <c r="H181" s="402">
        <f>H145+H251+H254</f>
        <v>5250.2611732870882</v>
      </c>
      <c r="I181" s="14">
        <f t="shared" si="101"/>
        <v>5420.4681119893194</v>
      </c>
      <c r="J181" s="14">
        <f t="shared" si="101"/>
        <v>5674.4114986455515</v>
      </c>
      <c r="K181" s="14">
        <f t="shared" si="101"/>
        <v>5696.0560741124318</v>
      </c>
      <c r="L181" s="14">
        <f t="shared" si="101"/>
        <v>5749.5744801619931</v>
      </c>
      <c r="M181" s="14">
        <f t="shared" si="101"/>
        <v>5839.6414400295816</v>
      </c>
      <c r="N181" s="187">
        <f t="shared" si="101"/>
        <v>5948.7731955687086</v>
      </c>
      <c r="O181" s="14">
        <f t="shared" si="101"/>
        <v>6037.6153512616129</v>
      </c>
      <c r="P181" s="14">
        <f t="shared" si="101"/>
        <v>6139.1961647742555</v>
      </c>
      <c r="Q181" s="14">
        <f t="shared" si="101"/>
        <v>6307.7148374027038</v>
      </c>
      <c r="R181" s="14">
        <f t="shared" si="101"/>
        <v>6432.2976090127941</v>
      </c>
      <c r="S181" s="14">
        <f t="shared" si="101"/>
        <v>6551.095796300654</v>
      </c>
      <c r="T181" s="14">
        <f t="shared" si="101"/>
        <v>6638.4837207610508</v>
      </c>
      <c r="U181" s="14">
        <f t="shared" si="101"/>
        <v>6724.4742599498531</v>
      </c>
      <c r="V181" s="14">
        <f t="shared" si="101"/>
        <v>6820.6563562275614</v>
      </c>
      <c r="W181" s="14">
        <f t="shared" si="101"/>
        <v>6922.7867839233259</v>
      </c>
      <c r="X181" s="187">
        <f t="shared" si="101"/>
        <v>7019.2666526188223</v>
      </c>
      <c r="Y181" s="158">
        <f t="shared" si="101"/>
        <v>7068.9606794710744</v>
      </c>
      <c r="Z181" s="158">
        <f t="shared" si="101"/>
        <v>7134.3961662533638</v>
      </c>
      <c r="AA181" s="158">
        <f t="shared" si="101"/>
        <v>7190.5524081764524</v>
      </c>
      <c r="AB181" s="158">
        <f t="shared" si="101"/>
        <v>7260.3630750589464</v>
      </c>
      <c r="AC181" s="158">
        <f t="shared" si="101"/>
        <v>7353.6137965804746</v>
      </c>
      <c r="AD181" s="158">
        <f t="shared" si="101"/>
        <v>7444.2838051222552</v>
      </c>
      <c r="AE181" s="158">
        <f t="shared" si="101"/>
        <v>7570.8338534673867</v>
      </c>
      <c r="AF181" s="158">
        <f t="shared" si="101"/>
        <v>7710.7295915984287</v>
      </c>
      <c r="AG181" s="158">
        <f t="shared" si="101"/>
        <v>7832.0664526328637</v>
      </c>
      <c r="AH181" s="187">
        <f t="shared" si="101"/>
        <v>7936.9224845798726</v>
      </c>
      <c r="AI181" s="31" t="s">
        <v>0</v>
      </c>
    </row>
    <row r="182" spans="1:35" s="1" customFormat="1">
      <c r="A182" s="75" t="s">
        <v>304</v>
      </c>
      <c r="B182" s="13"/>
      <c r="C182" s="341" t="s">
        <v>0</v>
      </c>
      <c r="D182" s="341">
        <f t="shared" ref="D182:AH182" si="102">D179-D176</f>
        <v>182.92035218281126</v>
      </c>
      <c r="E182" s="341">
        <f t="shared" si="102"/>
        <v>69.998904566456986</v>
      </c>
      <c r="F182" s="341">
        <f t="shared" si="102"/>
        <v>138.10449109670662</v>
      </c>
      <c r="G182" s="341">
        <f t="shared" si="102"/>
        <v>95.332587787237571</v>
      </c>
      <c r="H182" s="405">
        <f>H179-H176</f>
        <v>-0.2719699999979639</v>
      </c>
      <c r="I182" s="15">
        <f t="shared" si="102"/>
        <v>17.953286839547218</v>
      </c>
      <c r="J182" s="15">
        <f t="shared" si="102"/>
        <v>42.624390749866507</v>
      </c>
      <c r="K182" s="15">
        <f t="shared" si="102"/>
        <v>18.191107452405049</v>
      </c>
      <c r="L182" s="15">
        <f t="shared" si="102"/>
        <v>19.921552283412893</v>
      </c>
      <c r="M182" s="15">
        <f t="shared" si="102"/>
        <v>47.094876370769271</v>
      </c>
      <c r="N182" s="190">
        <f t="shared" si="102"/>
        <v>79.295560374837805</v>
      </c>
      <c r="O182" s="15">
        <f t="shared" si="102"/>
        <v>91.749813327714946</v>
      </c>
      <c r="P182" s="15">
        <f t="shared" si="102"/>
        <v>120.13209231787368</v>
      </c>
      <c r="Q182" s="15">
        <f t="shared" si="102"/>
        <v>126.14188676211052</v>
      </c>
      <c r="R182" s="15">
        <f t="shared" si="102"/>
        <v>164.67815110857919</v>
      </c>
      <c r="S182" s="15">
        <f t="shared" si="102"/>
        <v>155.92462160295327</v>
      </c>
      <c r="T182" s="15">
        <f t="shared" si="102"/>
        <v>197.04359017349816</v>
      </c>
      <c r="U182" s="15">
        <f t="shared" si="102"/>
        <v>249.37175185849446</v>
      </c>
      <c r="V182" s="15">
        <f t="shared" si="102"/>
        <v>310.05386071929024</v>
      </c>
      <c r="W182" s="15">
        <f t="shared" si="102"/>
        <v>307.41113376645444</v>
      </c>
      <c r="X182" s="190">
        <f t="shared" si="102"/>
        <v>380.42476238108429</v>
      </c>
      <c r="Y182" s="130">
        <f t="shared" si="102"/>
        <v>420.74546626508345</v>
      </c>
      <c r="Z182" s="130">
        <f t="shared" si="102"/>
        <v>470.11554415554201</v>
      </c>
      <c r="AA182" s="130">
        <f t="shared" si="102"/>
        <v>516.51916200683991</v>
      </c>
      <c r="AB182" s="130">
        <f t="shared" si="102"/>
        <v>567.52221905597617</v>
      </c>
      <c r="AC182" s="130">
        <f t="shared" si="102"/>
        <v>629.74534147944723</v>
      </c>
      <c r="AD182" s="130">
        <f t="shared" si="102"/>
        <v>690.04663092243936</v>
      </c>
      <c r="AE182" s="130">
        <f t="shared" si="102"/>
        <v>763.15503112800434</v>
      </c>
      <c r="AF182" s="130">
        <f t="shared" si="102"/>
        <v>841.69597091957075</v>
      </c>
      <c r="AG182" s="130">
        <f t="shared" si="102"/>
        <v>917.58184375188648</v>
      </c>
      <c r="AH182" s="190">
        <f t="shared" si="102"/>
        <v>994.18228963123329</v>
      </c>
    </row>
    <row r="183" spans="1:35" s="20" customFormat="1">
      <c r="A183" s="20" t="s">
        <v>305</v>
      </c>
      <c r="B183" s="33"/>
      <c r="C183" s="334" t="s">
        <v>0</v>
      </c>
      <c r="D183" s="334">
        <f t="shared" ref="D183:AH183" si="103">D180-D177</f>
        <v>96.274030237395891</v>
      </c>
      <c r="E183" s="334">
        <f t="shared" si="103"/>
        <v>36.841676340212871</v>
      </c>
      <c r="F183" s="334">
        <f t="shared" si="103"/>
        <v>72.686729143651064</v>
      </c>
      <c r="G183" s="334">
        <f t="shared" si="103"/>
        <v>50.175196604797748</v>
      </c>
      <c r="H183" s="404">
        <f>H180-H177</f>
        <v>-0.14299999999821011</v>
      </c>
      <c r="I183" s="19">
        <f t="shared" si="103"/>
        <v>9.4492461946474577</v>
      </c>
      <c r="J183" s="19">
        <f t="shared" si="103"/>
        <v>22.434045839577266</v>
      </c>
      <c r="K183" s="19">
        <f t="shared" si="103"/>
        <v>9.5744247548109342</v>
      </c>
      <c r="L183" s="19">
        <f t="shared" si="103"/>
        <v>10.485187878771285</v>
      </c>
      <c r="M183" s="19">
        <f t="shared" si="103"/>
        <v>24.786941120441952</v>
      </c>
      <c r="N183" s="182">
        <f t="shared" si="103"/>
        <v>41.734673826697872</v>
      </c>
      <c r="O183" s="19">
        <f t="shared" si="103"/>
        <v>48.289558160218803</v>
      </c>
      <c r="P183" s="19">
        <f t="shared" si="103"/>
        <v>63.227615644314028</v>
      </c>
      <c r="Q183" s="19">
        <f t="shared" si="103"/>
        <v>66.390684853337007</v>
      </c>
      <c r="R183" s="19">
        <f t="shared" si="103"/>
        <v>86.672948814857591</v>
      </c>
      <c r="S183" s="19">
        <f t="shared" si="103"/>
        <v>82.065848956968694</v>
      </c>
      <c r="T183" s="19">
        <f t="shared" si="103"/>
        <v>103.70743264464818</v>
      </c>
      <c r="U183" s="19">
        <f t="shared" si="103"/>
        <v>131.2485932080217</v>
      </c>
      <c r="V183" s="19">
        <f t="shared" si="103"/>
        <v>163.18657027561949</v>
      </c>
      <c r="W183" s="19">
        <f t="shared" si="103"/>
        <v>161.79568857971299</v>
      </c>
      <c r="X183" s="182">
        <f t="shared" si="103"/>
        <v>200.22394313253699</v>
      </c>
      <c r="Y183" s="206">
        <f t="shared" si="103"/>
        <v>221.44538377764184</v>
      </c>
      <c r="Z183" s="206">
        <f t="shared" si="103"/>
        <v>247.42965450244992</v>
      </c>
      <c r="AA183" s="206">
        <f t="shared" si="103"/>
        <v>271.85263072530961</v>
      </c>
      <c r="AB183" s="206">
        <f t="shared" si="103"/>
        <v>298.69636609680128</v>
      </c>
      <c r="AC183" s="206">
        <f t="shared" si="103"/>
        <v>331.44540147997668</v>
      </c>
      <c r="AD183" s="206">
        <f t="shared" si="103"/>
        <v>363.18294669367424</v>
      </c>
      <c r="AE183" s="206">
        <f t="shared" si="103"/>
        <v>401.66108013745361</v>
      </c>
      <c r="AF183" s="206">
        <f t="shared" si="103"/>
        <v>442.99844722471335</v>
      </c>
      <c r="AG183" s="206">
        <f t="shared" si="103"/>
        <v>482.93841065436027</v>
      </c>
      <c r="AH183" s="182">
        <f t="shared" si="103"/>
        <v>523.25446522523089</v>
      </c>
    </row>
    <row r="184" spans="1:35" s="20" customFormat="1">
      <c r="A184" s="20" t="s">
        <v>306</v>
      </c>
      <c r="B184" s="33"/>
      <c r="C184" s="334" t="s">
        <v>0</v>
      </c>
      <c r="D184" s="334">
        <f t="shared" ref="D184:AH184" si="104">D181-D178</f>
        <v>86.646321945414456</v>
      </c>
      <c r="E184" s="334">
        <f t="shared" si="104"/>
        <v>33.157228226244115</v>
      </c>
      <c r="F184" s="334">
        <f t="shared" si="104"/>
        <v>65.417761953054651</v>
      </c>
      <c r="G184" s="334">
        <f t="shared" si="104"/>
        <v>45.157391182439824</v>
      </c>
      <c r="H184" s="404">
        <f t="shared" si="104"/>
        <v>-0.12896999999884429</v>
      </c>
      <c r="I184" s="19">
        <f t="shared" si="104"/>
        <v>8.5040406448997601</v>
      </c>
      <c r="J184" s="19">
        <f t="shared" si="104"/>
        <v>20.190344910288331</v>
      </c>
      <c r="K184" s="19">
        <f t="shared" si="104"/>
        <v>8.6166826975932054</v>
      </c>
      <c r="L184" s="19">
        <f t="shared" si="104"/>
        <v>9.4363644046416084</v>
      </c>
      <c r="M184" s="19">
        <f t="shared" si="104"/>
        <v>22.307935250327318</v>
      </c>
      <c r="N184" s="182">
        <f t="shared" si="104"/>
        <v>37.560886548140843</v>
      </c>
      <c r="O184" s="19">
        <f t="shared" si="104"/>
        <v>43.460255167496143</v>
      </c>
      <c r="P184" s="19">
        <f t="shared" si="104"/>
        <v>56.904476673560566</v>
      </c>
      <c r="Q184" s="19">
        <f t="shared" si="104"/>
        <v>59.75120190877351</v>
      </c>
      <c r="R184" s="19">
        <f t="shared" si="104"/>
        <v>78.005202293721595</v>
      </c>
      <c r="S184" s="19">
        <f t="shared" si="104"/>
        <v>73.858772645984573</v>
      </c>
      <c r="T184" s="19">
        <f t="shared" si="104"/>
        <v>93.33615752885089</v>
      </c>
      <c r="U184" s="19">
        <f t="shared" si="104"/>
        <v>118.12315865047185</v>
      </c>
      <c r="V184" s="19">
        <f t="shared" si="104"/>
        <v>146.86729044367075</v>
      </c>
      <c r="W184" s="19">
        <f t="shared" si="104"/>
        <v>145.61544518674236</v>
      </c>
      <c r="X184" s="182">
        <f t="shared" si="104"/>
        <v>180.2008192485473</v>
      </c>
      <c r="Y184" s="206">
        <f t="shared" si="104"/>
        <v>199.30008248744161</v>
      </c>
      <c r="Z184" s="206">
        <f t="shared" si="104"/>
        <v>222.68588965309209</v>
      </c>
      <c r="AA184" s="206">
        <f t="shared" si="104"/>
        <v>244.6665312815303</v>
      </c>
      <c r="AB184" s="206">
        <f t="shared" si="104"/>
        <v>268.82585295917579</v>
      </c>
      <c r="AC184" s="206">
        <f t="shared" si="104"/>
        <v>298.29993999947055</v>
      </c>
      <c r="AD184" s="206">
        <f t="shared" si="104"/>
        <v>326.86368422876512</v>
      </c>
      <c r="AE184" s="206">
        <f t="shared" si="104"/>
        <v>361.49395099055164</v>
      </c>
      <c r="AF184" s="206">
        <f t="shared" si="104"/>
        <v>398.6975236948565</v>
      </c>
      <c r="AG184" s="206">
        <f t="shared" si="104"/>
        <v>434.64343309752712</v>
      </c>
      <c r="AH184" s="182">
        <f t="shared" si="104"/>
        <v>470.92782440600058</v>
      </c>
    </row>
    <row r="185" spans="1:35" s="1" customFormat="1">
      <c r="A185" s="1" t="s">
        <v>450</v>
      </c>
      <c r="B185" s="13"/>
      <c r="C185" s="341"/>
      <c r="D185" s="341">
        <f>D182</f>
        <v>182.92035218281126</v>
      </c>
      <c r="E185" s="341">
        <f>D185+E182</f>
        <v>252.91925674926824</v>
      </c>
      <c r="F185" s="341">
        <f t="shared" ref="E185:N187" si="105">E185+F182</f>
        <v>391.02374784597487</v>
      </c>
      <c r="G185" s="341">
        <f t="shared" si="105"/>
        <v>486.35633563321244</v>
      </c>
      <c r="H185" s="405">
        <f>H182</f>
        <v>-0.2719699999979639</v>
      </c>
      <c r="I185" s="15">
        <f t="shared" si="105"/>
        <v>17.681316839549254</v>
      </c>
      <c r="J185" s="15">
        <f t="shared" si="105"/>
        <v>60.305707589415761</v>
      </c>
      <c r="K185" s="15">
        <f t="shared" si="105"/>
        <v>78.49681504182081</v>
      </c>
      <c r="L185" s="15">
        <f t="shared" si="105"/>
        <v>98.418367325233703</v>
      </c>
      <c r="M185" s="15">
        <f t="shared" si="105"/>
        <v>145.51324369600297</v>
      </c>
      <c r="N185" s="15">
        <f t="shared" si="105"/>
        <v>224.80880407084078</v>
      </c>
      <c r="O185" s="15">
        <f t="shared" ref="O185:X185" si="106">N185+O182</f>
        <v>316.55861739855573</v>
      </c>
      <c r="P185" s="15">
        <f t="shared" si="106"/>
        <v>436.69070971642941</v>
      </c>
      <c r="Q185" s="15">
        <f t="shared" si="106"/>
        <v>562.83259647853993</v>
      </c>
      <c r="R185" s="15">
        <f t="shared" si="106"/>
        <v>727.51074758711911</v>
      </c>
      <c r="S185" s="130">
        <f t="shared" si="106"/>
        <v>883.43536919007238</v>
      </c>
      <c r="T185" s="15">
        <f t="shared" si="106"/>
        <v>1080.4789593635705</v>
      </c>
      <c r="U185" s="15">
        <f t="shared" si="106"/>
        <v>1329.850711222065</v>
      </c>
      <c r="V185" s="15">
        <f t="shared" si="106"/>
        <v>1639.9045719413552</v>
      </c>
      <c r="W185" s="15">
        <f t="shared" si="106"/>
        <v>1947.3157057078097</v>
      </c>
      <c r="X185" s="190">
        <f t="shared" si="106"/>
        <v>2327.740468088894</v>
      </c>
      <c r="Y185" s="130">
        <f t="shared" ref="Y185:AH185" si="107">X185+Y182</f>
        <v>2748.4859343539774</v>
      </c>
      <c r="Z185" s="130">
        <f t="shared" si="107"/>
        <v>3218.6014785095194</v>
      </c>
      <c r="AA185" s="130">
        <f t="shared" si="107"/>
        <v>3735.1206405163593</v>
      </c>
      <c r="AB185" s="130">
        <f t="shared" si="107"/>
        <v>4302.6428595723355</v>
      </c>
      <c r="AC185" s="130">
        <f t="shared" si="107"/>
        <v>4932.3882010517827</v>
      </c>
      <c r="AD185" s="130">
        <f t="shared" si="107"/>
        <v>5622.4348319742221</v>
      </c>
      <c r="AE185" s="130">
        <f t="shared" si="107"/>
        <v>6385.5898631022264</v>
      </c>
      <c r="AF185" s="130">
        <f t="shared" si="107"/>
        <v>7227.2858340217972</v>
      </c>
      <c r="AG185" s="130">
        <f t="shared" si="107"/>
        <v>8144.8676777736837</v>
      </c>
      <c r="AH185" s="190">
        <f t="shared" si="107"/>
        <v>9139.049967404917</v>
      </c>
    </row>
    <row r="186" spans="1:35" s="20" customFormat="1">
      <c r="A186" s="20" t="s">
        <v>451</v>
      </c>
      <c r="B186" s="33"/>
      <c r="C186" s="334"/>
      <c r="D186" s="334">
        <f>D183</f>
        <v>96.274030237395891</v>
      </c>
      <c r="E186" s="334">
        <f t="shared" si="105"/>
        <v>133.11570657760876</v>
      </c>
      <c r="F186" s="334">
        <f t="shared" si="105"/>
        <v>205.80243572125983</v>
      </c>
      <c r="G186" s="334">
        <f t="shared" si="105"/>
        <v>255.97763232605757</v>
      </c>
      <c r="H186" s="404">
        <f t="shared" si="105"/>
        <v>255.83463232605936</v>
      </c>
      <c r="I186" s="19">
        <f t="shared" ref="I186:X186" si="108">H186+I183</f>
        <v>265.28387852070682</v>
      </c>
      <c r="J186" s="19">
        <f t="shared" si="108"/>
        <v>287.71792436028409</v>
      </c>
      <c r="K186" s="19">
        <f t="shared" si="108"/>
        <v>297.29234911509502</v>
      </c>
      <c r="L186" s="19">
        <f t="shared" si="108"/>
        <v>307.77753699386631</v>
      </c>
      <c r="M186" s="19">
        <f t="shared" si="108"/>
        <v>332.56447811430826</v>
      </c>
      <c r="N186" s="182">
        <f t="shared" si="108"/>
        <v>374.29915194100613</v>
      </c>
      <c r="O186" s="19">
        <f t="shared" si="108"/>
        <v>422.58871010122493</v>
      </c>
      <c r="P186" s="19">
        <f t="shared" si="108"/>
        <v>485.81632574553896</v>
      </c>
      <c r="Q186" s="19">
        <f t="shared" si="108"/>
        <v>552.20701059887597</v>
      </c>
      <c r="R186" s="19">
        <f t="shared" si="108"/>
        <v>638.87995941373356</v>
      </c>
      <c r="S186" s="206">
        <f t="shared" si="108"/>
        <v>720.94580837070225</v>
      </c>
      <c r="T186" s="19">
        <f t="shared" si="108"/>
        <v>824.65324101535043</v>
      </c>
      <c r="U186" s="19">
        <f t="shared" si="108"/>
        <v>955.90183422337213</v>
      </c>
      <c r="V186" s="19">
        <f t="shared" si="108"/>
        <v>1119.0884044989916</v>
      </c>
      <c r="W186" s="19">
        <f t="shared" si="108"/>
        <v>1280.8840930787046</v>
      </c>
      <c r="X186" s="182">
        <f t="shared" si="108"/>
        <v>1481.1080362112416</v>
      </c>
      <c r="Y186" s="206">
        <f t="shared" ref="Y186:AH186" si="109">X186+Y183</f>
        <v>1702.5534199888834</v>
      </c>
      <c r="Z186" s="206">
        <f t="shared" si="109"/>
        <v>1949.9830744913334</v>
      </c>
      <c r="AA186" s="206">
        <f t="shared" si="109"/>
        <v>2221.835705216643</v>
      </c>
      <c r="AB186" s="206">
        <f t="shared" si="109"/>
        <v>2520.5320713134442</v>
      </c>
      <c r="AC186" s="206">
        <f t="shared" si="109"/>
        <v>2851.9774727934209</v>
      </c>
      <c r="AD186" s="206">
        <f t="shared" si="109"/>
        <v>3215.1604194870952</v>
      </c>
      <c r="AE186" s="206">
        <f t="shared" si="109"/>
        <v>3616.8214996245488</v>
      </c>
      <c r="AF186" s="206">
        <f t="shared" si="109"/>
        <v>4059.8199468492621</v>
      </c>
      <c r="AG186" s="206">
        <f t="shared" si="109"/>
        <v>4542.7583575036224</v>
      </c>
      <c r="AH186" s="182">
        <f t="shared" si="109"/>
        <v>5066.0128227288533</v>
      </c>
    </row>
    <row r="187" spans="1:35" s="20" customFormat="1">
      <c r="A187" s="20" t="s">
        <v>452</v>
      </c>
      <c r="B187" s="33"/>
      <c r="C187" s="334"/>
      <c r="D187" s="334">
        <f>D184</f>
        <v>86.646321945414456</v>
      </c>
      <c r="E187" s="334">
        <f t="shared" si="105"/>
        <v>119.80355017165857</v>
      </c>
      <c r="F187" s="334">
        <f t="shared" si="105"/>
        <v>185.22131212471322</v>
      </c>
      <c r="G187" s="334">
        <f t="shared" si="105"/>
        <v>230.37870330715305</v>
      </c>
      <c r="H187" s="404">
        <f t="shared" si="105"/>
        <v>230.2497333071542</v>
      </c>
      <c r="I187" s="19">
        <f t="shared" ref="I187:X187" si="110">H187+I184</f>
        <v>238.75377395205396</v>
      </c>
      <c r="J187" s="19">
        <f t="shared" si="110"/>
        <v>258.94411886234229</v>
      </c>
      <c r="K187" s="19">
        <f t="shared" si="110"/>
        <v>267.5608015599355</v>
      </c>
      <c r="L187" s="19">
        <f t="shared" si="110"/>
        <v>276.99716596457711</v>
      </c>
      <c r="M187" s="19">
        <f t="shared" si="110"/>
        <v>299.30510121490443</v>
      </c>
      <c r="N187" s="182">
        <f t="shared" si="110"/>
        <v>336.86598776304527</v>
      </c>
      <c r="O187" s="19">
        <f t="shared" si="110"/>
        <v>380.32624293054141</v>
      </c>
      <c r="P187" s="19">
        <f t="shared" si="110"/>
        <v>437.23071960410198</v>
      </c>
      <c r="Q187" s="19">
        <f t="shared" si="110"/>
        <v>496.98192151287549</v>
      </c>
      <c r="R187" s="19">
        <f t="shared" si="110"/>
        <v>574.98712380659708</v>
      </c>
      <c r="S187" s="206">
        <f t="shared" si="110"/>
        <v>648.84589645258166</v>
      </c>
      <c r="T187" s="19">
        <f t="shared" si="110"/>
        <v>742.18205398143255</v>
      </c>
      <c r="U187" s="19">
        <f t="shared" si="110"/>
        <v>860.3052126319044</v>
      </c>
      <c r="V187" s="19">
        <f t="shared" si="110"/>
        <v>1007.1725030755752</v>
      </c>
      <c r="W187" s="19">
        <f t="shared" si="110"/>
        <v>1152.7879482623175</v>
      </c>
      <c r="X187" s="182">
        <f t="shared" si="110"/>
        <v>1332.9887675108648</v>
      </c>
      <c r="Y187" s="206">
        <f t="shared" ref="Y187:AH187" si="111">X187+Y184</f>
        <v>1532.2888499983064</v>
      </c>
      <c r="Z187" s="206">
        <f t="shared" si="111"/>
        <v>1754.9747396513985</v>
      </c>
      <c r="AA187" s="206">
        <f t="shared" si="111"/>
        <v>1999.6412709329288</v>
      </c>
      <c r="AB187" s="206">
        <f t="shared" si="111"/>
        <v>2268.4671238921046</v>
      </c>
      <c r="AC187" s="206">
        <f t="shared" si="111"/>
        <v>2566.7670638915752</v>
      </c>
      <c r="AD187" s="206">
        <f t="shared" si="111"/>
        <v>2893.6307481203403</v>
      </c>
      <c r="AE187" s="206">
        <f t="shared" si="111"/>
        <v>3255.1246991108919</v>
      </c>
      <c r="AF187" s="206">
        <f t="shared" si="111"/>
        <v>3653.8222228057484</v>
      </c>
      <c r="AG187" s="206">
        <f t="shared" si="111"/>
        <v>4088.4656559032755</v>
      </c>
      <c r="AH187" s="182">
        <f t="shared" si="111"/>
        <v>4559.3934803092761</v>
      </c>
    </row>
    <row r="188" spans="1:35" s="519" customFormat="1">
      <c r="A188" s="519" t="s">
        <v>550</v>
      </c>
      <c r="B188" s="520"/>
      <c r="C188"/>
      <c r="D188"/>
      <c r="E188"/>
      <c r="F188"/>
      <c r="G188"/>
      <c r="H188"/>
      <c r="I188"/>
      <c r="J188"/>
      <c r="K188"/>
      <c r="L188"/>
      <c r="M188"/>
      <c r="N188"/>
      <c r="O188"/>
      <c r="P188"/>
      <c r="Q188"/>
      <c r="R188"/>
      <c r="S188"/>
      <c r="T188"/>
      <c r="U188"/>
      <c r="V188"/>
      <c r="W188"/>
      <c r="X188"/>
      <c r="Y188"/>
      <c r="Z188"/>
      <c r="AA188"/>
      <c r="AB188"/>
      <c r="AC188"/>
      <c r="AD188"/>
      <c r="AE188"/>
      <c r="AF188"/>
      <c r="AG188" s="522"/>
      <c r="AH188" s="521"/>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565.38813000000005</v>
      </c>
      <c r="D194" s="331">
        <f t="shared" ref="D194:AH194" si="112">SUM(D195:D196)</f>
        <v>599.70213000000001</v>
      </c>
      <c r="E194" s="331">
        <f t="shared" si="112"/>
        <v>615.24448878255578</v>
      </c>
      <c r="F194" s="331">
        <f t="shared" si="112"/>
        <v>594.13041558668306</v>
      </c>
      <c r="G194" s="331">
        <f t="shared" si="112"/>
        <v>658.05703185870141</v>
      </c>
      <c r="H194" s="402">
        <f t="shared" si="112"/>
        <v>677.04006635471569</v>
      </c>
      <c r="I194" s="14">
        <f t="shared" si="112"/>
        <v>701.8874777536455</v>
      </c>
      <c r="J194" s="14">
        <f t="shared" si="112"/>
        <v>742.61820179508641</v>
      </c>
      <c r="K194" s="14">
        <f t="shared" si="112"/>
        <v>805.33289772347348</v>
      </c>
      <c r="L194" s="14">
        <f t="shared" si="112"/>
        <v>841.36870097065139</v>
      </c>
      <c r="M194" s="14">
        <f t="shared" si="112"/>
        <v>875.16248506768943</v>
      </c>
      <c r="N194" s="187">
        <f t="shared" si="112"/>
        <v>918.18295238204621</v>
      </c>
      <c r="O194" s="14">
        <f t="shared" si="112"/>
        <v>984.58353004564788</v>
      </c>
      <c r="P194" s="14">
        <f t="shared" si="112"/>
        <v>1029.63152925651</v>
      </c>
      <c r="Q194" s="14">
        <f t="shared" si="112"/>
        <v>1158.8013921738175</v>
      </c>
      <c r="R194" s="14">
        <f t="shared" si="112"/>
        <v>1209.1443788147203</v>
      </c>
      <c r="S194" s="15">
        <f t="shared" si="112"/>
        <v>1365.2851036585253</v>
      </c>
      <c r="T194" s="14">
        <f t="shared" si="112"/>
        <v>1411.2145040910427</v>
      </c>
      <c r="U194" s="14">
        <f t="shared" si="112"/>
        <v>1442.4866827366523</v>
      </c>
      <c r="V194" s="14">
        <f t="shared" si="112"/>
        <v>1471.6520679526006</v>
      </c>
      <c r="W194" s="14">
        <f t="shared" si="112"/>
        <v>1648.1903051415741</v>
      </c>
      <c r="X194" s="187">
        <f t="shared" si="112"/>
        <v>1674.9666464295753</v>
      </c>
      <c r="Y194" s="158">
        <f t="shared" si="112"/>
        <v>1697.3972101626196</v>
      </c>
      <c r="Z194" s="158">
        <f t="shared" si="112"/>
        <v>1714.2307341414944</v>
      </c>
      <c r="AA194" s="158">
        <f t="shared" si="112"/>
        <v>1736.7963197086024</v>
      </c>
      <c r="AB194" s="158">
        <f t="shared" si="112"/>
        <v>1762.7486900384313</v>
      </c>
      <c r="AC194" s="158">
        <f t="shared" si="112"/>
        <v>1784.8797721983792</v>
      </c>
      <c r="AD194" s="158">
        <f t="shared" si="112"/>
        <v>1815.6945166130515</v>
      </c>
      <c r="AE194" s="158">
        <f t="shared" si="112"/>
        <v>1848.969618104717</v>
      </c>
      <c r="AF194" s="158">
        <f t="shared" si="112"/>
        <v>1887.2868413898636</v>
      </c>
      <c r="AG194" s="158">
        <f t="shared" si="112"/>
        <v>1927.19834277266</v>
      </c>
      <c r="AH194" s="187">
        <f t="shared" si="112"/>
        <v>1962.823053250077</v>
      </c>
    </row>
    <row r="195" spans="1:34">
      <c r="A195" t="s">
        <v>389</v>
      </c>
      <c r="C195" s="330">
        <f>'Output - Jobs vs Yr (BAU)'!C51</f>
        <v>297.5727</v>
      </c>
      <c r="D195" s="330">
        <f>'Output - Jobs vs Yr (BAU)'!D51</f>
        <v>315.6327</v>
      </c>
      <c r="E195" s="330">
        <f>'Output - Jobs vs Yr (BAU)'!E51</f>
        <v>323.8128888329241</v>
      </c>
      <c r="F195" s="330">
        <f>'Output - Jobs vs Yr (BAU)'!F51</f>
        <v>312.70021872983324</v>
      </c>
      <c r="G195" s="330">
        <f>'Output - Jobs vs Yr (BAU)'!G51</f>
        <v>346.34580624142183</v>
      </c>
      <c r="H195" s="286">
        <f>'Output - Jobs vs Yr (BAU)'!H51</f>
        <v>356.3368770287978</v>
      </c>
      <c r="I195" s="118">
        <f>'Output - Jobs vs Yr (BAU)'!I51</f>
        <v>369.41446197560288</v>
      </c>
      <c r="J195" s="118">
        <f>'Output - Jobs vs Yr (BAU)'!J51</f>
        <v>390.8516851553087</v>
      </c>
      <c r="K195" s="118">
        <f>'Output - Jobs vs Yr (BAU)'!K51</f>
        <v>423.85941985445982</v>
      </c>
      <c r="L195" s="118">
        <f>'Output - Jobs vs Yr (BAU)'!L51</f>
        <v>442.82563208981651</v>
      </c>
      <c r="M195" s="118">
        <f>'Output - Jobs vs Yr (BAU)'!M51</f>
        <v>460.61183424615234</v>
      </c>
      <c r="N195" s="177">
        <f>'Output - Jobs vs Yr (BAU)'!N51</f>
        <v>483.25418546423492</v>
      </c>
      <c r="O195" s="118">
        <f>'Output - Jobs vs Yr (BAU)'!O51</f>
        <v>518.20185791876202</v>
      </c>
      <c r="P195" s="118">
        <f>'Output - Jobs vs Yr (BAU)'!P51</f>
        <v>541.91133118763685</v>
      </c>
      <c r="Q195" s="118">
        <f>'Output - Jobs vs Yr (BAU)'!Q51</f>
        <v>609.89546956516699</v>
      </c>
      <c r="R195" s="118">
        <f>'Output - Jobs vs Yr (BAU)'!R51</f>
        <v>636.39177832353698</v>
      </c>
      <c r="S195" s="118">
        <f>'Output - Jobs vs Yr (BAU)'!S51</f>
        <v>718.57110718869751</v>
      </c>
      <c r="T195" s="118">
        <f>'Output - Jobs vs Yr (BAU)'!T51</f>
        <v>742.74447583739095</v>
      </c>
      <c r="U195" s="118">
        <f>'Output - Jobs vs Yr (BAU)'!U51</f>
        <v>759.20351722981695</v>
      </c>
      <c r="V195" s="118">
        <f>'Output - Jobs vs Yr (BAU)'!V51</f>
        <v>774.5537199750529</v>
      </c>
      <c r="W195" s="118">
        <f>'Output - Jobs vs Yr (BAU)'!W51</f>
        <v>867.46858165345998</v>
      </c>
      <c r="X195" s="184">
        <f>'Output - Jobs vs Yr (BAU)'!X51</f>
        <v>881.56139285767119</v>
      </c>
      <c r="Y195" s="271">
        <f>'Output - Jobs vs Yr (BAU)'!Y51</f>
        <v>893.36695271716815</v>
      </c>
      <c r="Z195" s="271">
        <f>'Output - Jobs vs Yr (BAU)'!Z51</f>
        <v>902.22670217973382</v>
      </c>
      <c r="AA195" s="271">
        <f>'Output - Jobs vs Yr (BAU)'!AA51</f>
        <v>914.10332616242226</v>
      </c>
      <c r="AB195" s="271">
        <f>'Output - Jobs vs Yr (BAU)'!AB51</f>
        <v>927.76246844127957</v>
      </c>
      <c r="AC195" s="271">
        <f>'Output - Jobs vs Yr (BAU)'!AC51</f>
        <v>939.41040642019948</v>
      </c>
      <c r="AD195" s="271">
        <f>'Output - Jobs vs Yr (BAU)'!AD51</f>
        <v>955.62869295423752</v>
      </c>
      <c r="AE195" s="271">
        <f>'Output - Jobs vs Yr (BAU)'!AE51</f>
        <v>973.14190426564051</v>
      </c>
      <c r="AF195" s="271">
        <f>'Output - Jobs vs Yr (BAU)'!AF51</f>
        <v>993.30886388940178</v>
      </c>
      <c r="AG195" s="271">
        <f>'Output - Jobs vs Yr (BAU)'!AG51</f>
        <v>1014.3149172487683</v>
      </c>
      <c r="AH195" s="184">
        <f>'Output - Jobs vs Yr (BAU)'!AH51</f>
        <v>1033.0647648684615</v>
      </c>
    </row>
    <row r="196" spans="1:34">
      <c r="A196" t="s">
        <v>390</v>
      </c>
      <c r="C196" s="330">
        <f>'Output - Jobs vs Yr (BAU)'!C69</f>
        <v>267.81542999999999</v>
      </c>
      <c r="D196" s="330">
        <f>'Output - Jobs vs Yr (BAU)'!D69</f>
        <v>284.06943000000001</v>
      </c>
      <c r="E196" s="330">
        <f>'Output - Jobs vs Yr (BAU)'!E69</f>
        <v>291.43159994963167</v>
      </c>
      <c r="F196" s="330">
        <f>'Output - Jobs vs Yr (BAU)'!F69</f>
        <v>281.43019685684988</v>
      </c>
      <c r="G196" s="330">
        <f>'Output - Jobs vs Yr (BAU)'!G69</f>
        <v>311.71122561727958</v>
      </c>
      <c r="H196" s="286">
        <f>'Output - Jobs vs Yr (BAU)'!H69</f>
        <v>320.70318932591795</v>
      </c>
      <c r="I196" s="118">
        <f>'Output - Jobs vs Yr (BAU)'!I69</f>
        <v>332.47301577804257</v>
      </c>
      <c r="J196" s="118">
        <f>'Output - Jobs vs Yr (BAU)'!J69</f>
        <v>351.76651663977776</v>
      </c>
      <c r="K196" s="118">
        <f>'Output - Jobs vs Yr (BAU)'!K69</f>
        <v>381.47347786901372</v>
      </c>
      <c r="L196" s="118">
        <f>'Output - Jobs vs Yr (BAU)'!L69</f>
        <v>398.54306888083482</v>
      </c>
      <c r="M196" s="118">
        <f>'Output - Jobs vs Yr (BAU)'!M69</f>
        <v>414.55065082153703</v>
      </c>
      <c r="N196" s="177">
        <f>'Output - Jobs vs Yr (BAU)'!N69</f>
        <v>434.92876691781129</v>
      </c>
      <c r="O196" s="118">
        <f>'Output - Jobs vs Yr (BAU)'!O69</f>
        <v>466.3816721268858</v>
      </c>
      <c r="P196" s="118">
        <f>'Output - Jobs vs Yr (BAU)'!P69</f>
        <v>487.72019806887312</v>
      </c>
      <c r="Q196" s="118">
        <f>'Output - Jobs vs Yr (BAU)'!Q69</f>
        <v>548.90592260865037</v>
      </c>
      <c r="R196" s="118">
        <f>'Output - Jobs vs Yr (BAU)'!R69</f>
        <v>572.75260049118322</v>
      </c>
      <c r="S196" s="118">
        <f>'Output - Jobs vs Yr (BAU)'!S69</f>
        <v>646.71399646982786</v>
      </c>
      <c r="T196" s="118">
        <f>'Output - Jobs vs Yr (BAU)'!T69</f>
        <v>668.47002825365189</v>
      </c>
      <c r="U196" s="118">
        <f>'Output - Jobs vs Yr (BAU)'!U69</f>
        <v>683.28316550683519</v>
      </c>
      <c r="V196" s="118">
        <f>'Output - Jobs vs Yr (BAU)'!V69</f>
        <v>697.09834797754763</v>
      </c>
      <c r="W196" s="118">
        <f>'Output - Jobs vs Yr (BAU)'!W69</f>
        <v>780.72172348811409</v>
      </c>
      <c r="X196" s="184">
        <f>'Output - Jobs vs Yr (BAU)'!X69</f>
        <v>793.40525357190415</v>
      </c>
      <c r="Y196" s="271">
        <f>'Output - Jobs vs Yr (BAU)'!Y69</f>
        <v>804.0302574454513</v>
      </c>
      <c r="Z196" s="271">
        <f>'Output - Jobs vs Yr (BAU)'!Z69</f>
        <v>812.00403196176057</v>
      </c>
      <c r="AA196" s="271">
        <f>'Output - Jobs vs Yr (BAU)'!AA69</f>
        <v>822.69299354618011</v>
      </c>
      <c r="AB196" s="271">
        <f>'Output - Jobs vs Yr (BAU)'!AB69</f>
        <v>834.98622159715171</v>
      </c>
      <c r="AC196" s="271">
        <f>'Output - Jobs vs Yr (BAU)'!AC69</f>
        <v>845.46936577817962</v>
      </c>
      <c r="AD196" s="271">
        <f>'Output - Jobs vs Yr (BAU)'!AD69</f>
        <v>860.065823658814</v>
      </c>
      <c r="AE196" s="271">
        <f>'Output - Jobs vs Yr (BAU)'!AE69</f>
        <v>875.82771383907652</v>
      </c>
      <c r="AF196" s="271">
        <f>'Output - Jobs vs Yr (BAU)'!AF69</f>
        <v>893.97797750046175</v>
      </c>
      <c r="AG196" s="271">
        <f>'Output - Jobs vs Yr (BAU)'!AG69</f>
        <v>912.88342552389156</v>
      </c>
      <c r="AH196" s="184">
        <f>'Output - Jobs vs Yr (BAU)'!AH69</f>
        <v>929.75828838161544</v>
      </c>
    </row>
    <row r="197" spans="1:34">
      <c r="A197" t="s">
        <v>391</v>
      </c>
      <c r="C197" s="331">
        <f>SUM(C198:C199)</f>
        <v>2925.7311500000005</v>
      </c>
      <c r="D197" s="331">
        <f t="shared" ref="D197:AH197" si="113">SUM(D198:D199)</f>
        <v>2565.0351500000006</v>
      </c>
      <c r="E197" s="331">
        <f t="shared" si="113"/>
        <v>2695.6371648724007</v>
      </c>
      <c r="F197" s="331">
        <f t="shared" si="113"/>
        <v>2670.7478619627</v>
      </c>
      <c r="G197" s="331">
        <f t="shared" si="113"/>
        <v>2628.0973276861473</v>
      </c>
      <c r="H197" s="402">
        <f t="shared" si="113"/>
        <v>2635.8969898476407</v>
      </c>
      <c r="I197" s="14">
        <f t="shared" si="113"/>
        <v>2735.9646830412471</v>
      </c>
      <c r="J197" s="14">
        <f t="shared" si="113"/>
        <v>2851.8778941463484</v>
      </c>
      <c r="K197" s="14">
        <f t="shared" si="113"/>
        <v>2964.5478863811463</v>
      </c>
      <c r="L197" s="14">
        <f t="shared" si="113"/>
        <v>3052.0317971988006</v>
      </c>
      <c r="M197" s="14">
        <f t="shared" si="113"/>
        <v>3067.3159543150027</v>
      </c>
      <c r="N197" s="187">
        <f t="shared" si="113"/>
        <v>3067.3160310945404</v>
      </c>
      <c r="O197" s="14">
        <f t="shared" si="113"/>
        <v>3067.3160310945404</v>
      </c>
      <c r="P197" s="14">
        <f t="shared" si="113"/>
        <v>3067.3160055013614</v>
      </c>
      <c r="Q197" s="14">
        <f t="shared" si="113"/>
        <v>3067.3160310945404</v>
      </c>
      <c r="R197" s="14">
        <f t="shared" si="113"/>
        <v>3067.3159543150027</v>
      </c>
      <c r="S197" s="15">
        <f t="shared" si="113"/>
        <v>3067.3221606609886</v>
      </c>
      <c r="T197" s="14">
        <f t="shared" si="113"/>
        <v>3067.3160055013614</v>
      </c>
      <c r="U197" s="14">
        <f t="shared" si="113"/>
        <v>3067.3159799081818</v>
      </c>
      <c r="V197" s="14">
        <f t="shared" si="113"/>
        <v>3067.3159799081818</v>
      </c>
      <c r="W197" s="14">
        <f t="shared" si="113"/>
        <v>3067.3160310945404</v>
      </c>
      <c r="X197" s="187">
        <f t="shared" si="113"/>
        <v>3067.3159799081818</v>
      </c>
      <c r="Y197" s="158">
        <f t="shared" si="113"/>
        <v>3067.3159799081818</v>
      </c>
      <c r="Z197" s="158">
        <f t="shared" si="113"/>
        <v>3067.3160055013614</v>
      </c>
      <c r="AA197" s="158">
        <f t="shared" si="113"/>
        <v>3067.3159415184127</v>
      </c>
      <c r="AB197" s="158">
        <f t="shared" si="113"/>
        <v>3067.3159799081818</v>
      </c>
      <c r="AC197" s="158">
        <f t="shared" si="113"/>
        <v>3067.3160310945404</v>
      </c>
      <c r="AD197" s="158">
        <f t="shared" si="113"/>
        <v>3067.3160310945404</v>
      </c>
      <c r="AE197" s="158">
        <f t="shared" si="113"/>
        <v>3067.3160310945404</v>
      </c>
      <c r="AF197" s="158">
        <f t="shared" si="113"/>
        <v>3067.3160310945404</v>
      </c>
      <c r="AG197" s="158">
        <f t="shared" si="113"/>
        <v>3067.3159799081818</v>
      </c>
      <c r="AH197" s="187">
        <f t="shared" si="113"/>
        <v>3067.3159799081818</v>
      </c>
    </row>
    <row r="198" spans="1:34">
      <c r="A198" t="s">
        <v>393</v>
      </c>
      <c r="C198" s="330">
        <f>SUM('Output - Jobs vs Yr (BAU)'!C40:C43)</f>
        <v>1539.8585</v>
      </c>
      <c r="D198" s="330">
        <f>SUM('Output - Jobs vs Yr (BAU)'!D40:D43)</f>
        <v>1350.0185000000001</v>
      </c>
      <c r="E198" s="330">
        <f>SUM('Output - Jobs vs Yr (BAU)'!E40:E43)</f>
        <v>1418.7564025644215</v>
      </c>
      <c r="F198" s="330">
        <f>SUM('Output - Jobs vs Yr (BAU)'!F40:F43)</f>
        <v>1405.6567694540524</v>
      </c>
      <c r="G198" s="330">
        <f>SUM('Output - Jobs vs Yr (BAU)'!G40:G43)</f>
        <v>1383.2091198348144</v>
      </c>
      <c r="H198" s="286">
        <f>SUM('Output - Jobs vs Yr (BAU)'!H40:H43)</f>
        <v>1387.3142051829689</v>
      </c>
      <c r="I198" s="118">
        <f>SUM('Output - Jobs vs Yr (BAU)'!I40:I43)</f>
        <v>1439.9814121269721</v>
      </c>
      <c r="J198" s="118">
        <f>SUM('Output - Jobs vs Yr (BAU)'!J40:J43)</f>
        <v>1500.9883653401832</v>
      </c>
      <c r="K198" s="118">
        <f>SUM('Output - Jobs vs Yr (BAU)'!K40:K43)</f>
        <v>1560.2883612532348</v>
      </c>
      <c r="L198" s="118">
        <f>SUM('Output - Jobs vs Yr (BAU)'!L40:L43)</f>
        <v>1606.332524841474</v>
      </c>
      <c r="M198" s="118">
        <f>SUM('Output - Jobs vs Yr (BAU)'!M40:M43)</f>
        <v>1614.3768180605277</v>
      </c>
      <c r="N198" s="177">
        <f>SUM('Output - Jobs vs Yr (BAU)'!N40:N43)</f>
        <v>1614.3768584708107</v>
      </c>
      <c r="O198" s="118">
        <f>SUM('Output - Jobs vs Yr (BAU)'!O40:O43)</f>
        <v>1614.3768584708107</v>
      </c>
      <c r="P198" s="118">
        <f>SUM('Output - Jobs vs Yr (BAU)'!P40:P43)</f>
        <v>1614.3768450007165</v>
      </c>
      <c r="Q198" s="118">
        <f>SUM('Output - Jobs vs Yr (BAU)'!Q40:Q43)</f>
        <v>1614.3768584708107</v>
      </c>
      <c r="R198" s="118">
        <f>SUM('Output - Jobs vs Yr (BAU)'!R40:R43)</f>
        <v>1614.3768180605277</v>
      </c>
      <c r="S198" s="118">
        <f>SUM('Output - Jobs vs Yr (BAU)'!S40:S43)</f>
        <v>1614.3800845584149</v>
      </c>
      <c r="T198" s="118">
        <f>SUM('Output - Jobs vs Yr (BAU)'!T40:T43)</f>
        <v>1614.3768450007165</v>
      </c>
      <c r="U198" s="118">
        <f>SUM('Output - Jobs vs Yr (BAU)'!U40:U43)</f>
        <v>1614.376831530622</v>
      </c>
      <c r="V198" s="118">
        <f>SUM('Output - Jobs vs Yr (BAU)'!V40:V43)</f>
        <v>1614.376831530622</v>
      </c>
      <c r="W198" s="118">
        <f>SUM('Output - Jobs vs Yr (BAU)'!W40:W43)</f>
        <v>1614.3768584708107</v>
      </c>
      <c r="X198" s="184">
        <f>SUM('Output - Jobs vs Yr (BAU)'!X40:X43)</f>
        <v>1614.376831530622</v>
      </c>
      <c r="Y198" s="271">
        <f>SUM('Output - Jobs vs Yr (BAU)'!Y40:Y43)</f>
        <v>1614.376831530622</v>
      </c>
      <c r="Z198" s="271">
        <f>SUM('Output - Jobs vs Yr (BAU)'!Z40:Z43)</f>
        <v>1614.3768450007165</v>
      </c>
      <c r="AA198" s="271">
        <f>SUM('Output - Jobs vs Yr (BAU)'!AA40:AA43)</f>
        <v>1614.3768113254805</v>
      </c>
      <c r="AB198" s="271">
        <f>SUM('Output - Jobs vs Yr (BAU)'!AB40:AB43)</f>
        <v>1614.376831530622</v>
      </c>
      <c r="AC198" s="271">
        <f>SUM('Output - Jobs vs Yr (BAU)'!AC40:AC43)</f>
        <v>1614.3768584708107</v>
      </c>
      <c r="AD198" s="271">
        <f>SUM('Output - Jobs vs Yr (BAU)'!AD40:AD43)</f>
        <v>1614.3768584708107</v>
      </c>
      <c r="AE198" s="271">
        <f>SUM('Output - Jobs vs Yr (BAU)'!AE40:AE43)</f>
        <v>1614.3768584708107</v>
      </c>
      <c r="AF198" s="271">
        <f>SUM('Output - Jobs vs Yr (BAU)'!AF40:AF43)</f>
        <v>1614.3768584708107</v>
      </c>
      <c r="AG198" s="271">
        <f>SUM('Output - Jobs vs Yr (BAU)'!AG40:AG43)</f>
        <v>1614.376831530622</v>
      </c>
      <c r="AH198" s="184">
        <f>SUM('Output - Jobs vs Yr (BAU)'!AH40:AH43)</f>
        <v>1614.376831530622</v>
      </c>
    </row>
    <row r="199" spans="1:34">
      <c r="A199" t="s">
        <v>392</v>
      </c>
      <c r="C199" s="330">
        <f>SUM('Output - Jobs vs Yr (BAU)'!C58:C61)</f>
        <v>1385.8726500000002</v>
      </c>
      <c r="D199" s="330">
        <f>SUM('Output - Jobs vs Yr (BAU)'!D58:D61)</f>
        <v>1215.0166500000003</v>
      </c>
      <c r="E199" s="330">
        <f>SUM('Output - Jobs vs Yr (BAU)'!E58:E61)</f>
        <v>1276.8807623079795</v>
      </c>
      <c r="F199" s="330">
        <f>SUM('Output - Jobs vs Yr (BAU)'!F58:F61)</f>
        <v>1265.0910925086473</v>
      </c>
      <c r="G199" s="330">
        <f>SUM('Output - Jobs vs Yr (BAU)'!G58:G61)</f>
        <v>1244.8882078513329</v>
      </c>
      <c r="H199" s="286">
        <f>SUM('Output - Jobs vs Yr (BAU)'!H58:H61)</f>
        <v>1248.5827846646721</v>
      </c>
      <c r="I199" s="118">
        <f>SUM('Output - Jobs vs Yr (BAU)'!I58:I61)</f>
        <v>1295.983270914275</v>
      </c>
      <c r="J199" s="118">
        <f>SUM('Output - Jobs vs Yr (BAU)'!J58:J61)</f>
        <v>1350.8895288061651</v>
      </c>
      <c r="K199" s="118">
        <f>SUM('Output - Jobs vs Yr (BAU)'!K58:K61)</f>
        <v>1404.2595251279115</v>
      </c>
      <c r="L199" s="118">
        <f>SUM('Output - Jobs vs Yr (BAU)'!L58:L61)</f>
        <v>1445.6992723573267</v>
      </c>
      <c r="M199" s="118">
        <f>SUM('Output - Jobs vs Yr (BAU)'!M58:M61)</f>
        <v>1452.939136254475</v>
      </c>
      <c r="N199" s="177">
        <f>SUM('Output - Jobs vs Yr (BAU)'!N58:N61)</f>
        <v>1452.9391726237297</v>
      </c>
      <c r="O199" s="118">
        <f>SUM('Output - Jobs vs Yr (BAU)'!O58:O61)</f>
        <v>1452.9391726237297</v>
      </c>
      <c r="P199" s="118">
        <f>SUM('Output - Jobs vs Yr (BAU)'!P58:P61)</f>
        <v>1452.9391605006449</v>
      </c>
      <c r="Q199" s="118">
        <f>SUM('Output - Jobs vs Yr (BAU)'!Q58:Q61)</f>
        <v>1452.9391726237297</v>
      </c>
      <c r="R199" s="118">
        <f>SUM('Output - Jobs vs Yr (BAU)'!R58:R61)</f>
        <v>1452.939136254475</v>
      </c>
      <c r="S199" s="118">
        <f>SUM('Output - Jobs vs Yr (BAU)'!S58:S61)</f>
        <v>1452.9420761025735</v>
      </c>
      <c r="T199" s="118">
        <f>SUM('Output - Jobs vs Yr (BAU)'!T58:T61)</f>
        <v>1452.9391605006449</v>
      </c>
      <c r="U199" s="118">
        <f>SUM('Output - Jobs vs Yr (BAU)'!U58:U61)</f>
        <v>1452.9391483775598</v>
      </c>
      <c r="V199" s="118">
        <f>SUM('Output - Jobs vs Yr (BAU)'!V58:V61)</f>
        <v>1452.9391483775598</v>
      </c>
      <c r="W199" s="118">
        <f>SUM('Output - Jobs vs Yr (BAU)'!W58:W61)</f>
        <v>1452.9391726237297</v>
      </c>
      <c r="X199" s="184">
        <f>SUM('Output - Jobs vs Yr (BAU)'!X58:X61)</f>
        <v>1452.9391483775598</v>
      </c>
      <c r="Y199" s="271">
        <f>SUM('Output - Jobs vs Yr (BAU)'!Y58:Y61)</f>
        <v>1452.9391483775598</v>
      </c>
      <c r="Z199" s="271">
        <f>SUM('Output - Jobs vs Yr (BAU)'!Z58:Z61)</f>
        <v>1452.9391605006449</v>
      </c>
      <c r="AA199" s="271">
        <f>SUM('Output - Jobs vs Yr (BAU)'!AA58:AA61)</f>
        <v>1452.9391301929325</v>
      </c>
      <c r="AB199" s="271">
        <f>SUM('Output - Jobs vs Yr (BAU)'!AB58:AB61)</f>
        <v>1452.9391483775598</v>
      </c>
      <c r="AC199" s="271">
        <f>SUM('Output - Jobs vs Yr (BAU)'!AC58:AC61)</f>
        <v>1452.9391726237297</v>
      </c>
      <c r="AD199" s="271">
        <f>SUM('Output - Jobs vs Yr (BAU)'!AD58:AD61)</f>
        <v>1452.9391726237297</v>
      </c>
      <c r="AE199" s="271">
        <f>SUM('Output - Jobs vs Yr (BAU)'!AE58:AE61)</f>
        <v>1452.9391726237297</v>
      </c>
      <c r="AF199" s="271">
        <f>SUM('Output - Jobs vs Yr (BAU)'!AF58:AF61)</f>
        <v>1452.9391726237297</v>
      </c>
      <c r="AG199" s="271">
        <f>SUM('Output - Jobs vs Yr (BAU)'!AG58:AG61)</f>
        <v>1452.9391483775598</v>
      </c>
      <c r="AH199" s="184">
        <f>SUM('Output - Jobs vs Yr (BAU)'!AH58:AH61)</f>
        <v>1452.9391483775598</v>
      </c>
    </row>
    <row r="200" spans="1:34">
      <c r="A200" t="s">
        <v>394</v>
      </c>
      <c r="C200" s="331">
        <f>SUM(C201:C202)</f>
        <v>7571.0249999999996</v>
      </c>
      <c r="D200" s="331">
        <f t="shared" ref="D200:AH200" si="114">SUM(D201:D202)</f>
        <v>9038.8320000000022</v>
      </c>
      <c r="E200" s="331">
        <f t="shared" si="114"/>
        <v>7879.513600208842</v>
      </c>
      <c r="F200" s="331">
        <f t="shared" si="114"/>
        <v>8324.3936251562736</v>
      </c>
      <c r="G200" s="331">
        <f t="shared" si="114"/>
        <v>7916.2419409984896</v>
      </c>
      <c r="H200" s="402">
        <f t="shared" si="114"/>
        <v>7771.21991295927</v>
      </c>
      <c r="I200" s="14">
        <f t="shared" si="114"/>
        <v>7987.4053231544367</v>
      </c>
      <c r="J200" s="14">
        <f t="shared" si="114"/>
        <v>8342.1930063885629</v>
      </c>
      <c r="K200" s="14">
        <f t="shared" si="114"/>
        <v>8236.9357088822617</v>
      </c>
      <c r="L200" s="14">
        <f t="shared" si="114"/>
        <v>8224.668857318291</v>
      </c>
      <c r="M200" s="14">
        <f t="shared" si="114"/>
        <v>8338.5589595957335</v>
      </c>
      <c r="N200" s="187">
        <f t="shared" si="114"/>
        <v>8493.7270022335015</v>
      </c>
      <c r="O200" s="14">
        <f t="shared" si="114"/>
        <v>8602.4278639473923</v>
      </c>
      <c r="P200" s="14">
        <f t="shared" si="114"/>
        <v>8743.4460290102616</v>
      </c>
      <c r="Q200" s="14">
        <f t="shared" si="114"/>
        <v>8964.0280294410495</v>
      </c>
      <c r="R200" s="14">
        <f t="shared" si="114"/>
        <v>9138.1569699438733</v>
      </c>
      <c r="S200" s="15">
        <f t="shared" si="114"/>
        <v>9241.5597856181193</v>
      </c>
      <c r="T200" s="14">
        <f t="shared" si="114"/>
        <v>9339.0032350089059</v>
      </c>
      <c r="U200" s="14">
        <f t="shared" si="114"/>
        <v>9436.9385512094159</v>
      </c>
      <c r="V200" s="14">
        <f t="shared" si="114"/>
        <v>9550.1422021274302</v>
      </c>
      <c r="W200" s="14">
        <f t="shared" si="114"/>
        <v>9591.8553788744503</v>
      </c>
      <c r="X200" s="187">
        <f t="shared" si="114"/>
        <v>9695.7452441105997</v>
      </c>
      <c r="Y200" s="158">
        <f t="shared" si="114"/>
        <v>9737.9036257835342</v>
      </c>
      <c r="Z200" s="158">
        <f t="shared" si="114"/>
        <v>9809.8416220688305</v>
      </c>
      <c r="AA200" s="158">
        <f t="shared" si="114"/>
        <v>9859.4245899955986</v>
      </c>
      <c r="AB200" s="158">
        <f t="shared" si="114"/>
        <v>9929.8472433751267</v>
      </c>
      <c r="AC200" s="158">
        <f t="shared" si="114"/>
        <v>10042.355671711422</v>
      </c>
      <c r="AD200" s="158">
        <f t="shared" si="114"/>
        <v>10142.654151956443</v>
      </c>
      <c r="AE200" s="158">
        <f t="shared" si="114"/>
        <v>10303.431922696283</v>
      </c>
      <c r="AF200" s="158">
        <f t="shared" si="114"/>
        <v>10481.909270867583</v>
      </c>
      <c r="AG200" s="158">
        <f t="shared" si="114"/>
        <v>10622.267607449314</v>
      </c>
      <c r="AH200" s="187">
        <f t="shared" si="114"/>
        <v>10731.405249431027</v>
      </c>
    </row>
    <row r="201" spans="1:34">
      <c r="A201" t="s">
        <v>395</v>
      </c>
      <c r="C201" s="330">
        <f>SUM('Output - Jobs vs Yr (BAU)'!C53:C54)</f>
        <v>3984.75</v>
      </c>
      <c r="D201" s="330">
        <f>SUM('Output - Jobs vs Yr (BAU)'!D53:D54)</f>
        <v>4757.2800000000007</v>
      </c>
      <c r="E201" s="330">
        <f>SUM('Output - Jobs vs Yr (BAU)'!E53:E54)</f>
        <v>4147.1124211625483</v>
      </c>
      <c r="F201" s="330">
        <f>SUM('Output - Jobs vs Yr (BAU)'!F53:F54)</f>
        <v>4381.2598027138283</v>
      </c>
      <c r="G201" s="330">
        <f>SUM('Output - Jobs vs Yr (BAU)'!G53:G54)</f>
        <v>4166.44312684131</v>
      </c>
      <c r="H201" s="286">
        <f>SUM('Output - Jobs vs Yr (BAU)'!H53:H54)</f>
        <v>4090.1157436627741</v>
      </c>
      <c r="I201" s="118">
        <f>SUM('Output - Jobs vs Yr (BAU)'!I53:I54)</f>
        <v>4203.897538502335</v>
      </c>
      <c r="J201" s="118">
        <f>SUM('Output - Jobs vs Yr (BAU)'!J53:J54)</f>
        <v>4390.6278980992438</v>
      </c>
      <c r="K201" s="118">
        <f>SUM('Output - Jobs vs Yr (BAU)'!K53:K54)</f>
        <v>4335.2293204643483</v>
      </c>
      <c r="L201" s="118">
        <f>SUM('Output - Jobs vs Yr (BAU)'!L53:L54)</f>
        <v>4328.7730827990999</v>
      </c>
      <c r="M201" s="118">
        <f>SUM('Output - Jobs vs Yr (BAU)'!M53:M54)</f>
        <v>4388.7152418924916</v>
      </c>
      <c r="N201" s="177">
        <f>SUM('Output - Jobs vs Yr (BAU)'!N53:N54)</f>
        <v>4470.3826327544739</v>
      </c>
      <c r="O201" s="118">
        <f>SUM('Output - Jobs vs Yr (BAU)'!O53:O54)</f>
        <v>4527.5936126038905</v>
      </c>
      <c r="P201" s="118">
        <f>SUM('Output - Jobs vs Yr (BAU)'!P53:P54)</f>
        <v>4601.8136994790848</v>
      </c>
      <c r="Q201" s="118">
        <f>SUM('Output - Jobs vs Yr (BAU)'!Q53:Q54)</f>
        <v>4717.9094891794994</v>
      </c>
      <c r="R201" s="118">
        <f>SUM('Output - Jobs vs Yr (BAU)'!R53:R54)</f>
        <v>4809.5562999704598</v>
      </c>
      <c r="S201" s="118">
        <f>SUM('Output - Jobs vs Yr (BAU)'!S53:S54)</f>
        <v>4863.9788345358529</v>
      </c>
      <c r="T201" s="118">
        <f>SUM('Output - Jobs vs Yr (BAU)'!T53:T54)</f>
        <v>4915.2648605310023</v>
      </c>
      <c r="U201" s="118">
        <f>SUM('Output - Jobs vs Yr (BAU)'!U53:U54)</f>
        <v>4966.8097637944293</v>
      </c>
      <c r="V201" s="118">
        <f>SUM('Output - Jobs vs Yr (BAU)'!V53:V54)</f>
        <v>5026.390632698648</v>
      </c>
      <c r="W201" s="118">
        <f>SUM('Output - Jobs vs Yr (BAU)'!W53:W54)</f>
        <v>5048.3449362497104</v>
      </c>
      <c r="X201" s="184">
        <f>SUM('Output - Jobs vs Yr (BAU)'!X53:X54)</f>
        <v>5103.0238126897893</v>
      </c>
      <c r="Y201" s="271">
        <f>SUM('Output - Jobs vs Yr (BAU)'!Y53:Y54)</f>
        <v>5125.212434622913</v>
      </c>
      <c r="Z201" s="271">
        <f>SUM('Output - Jobs vs Yr (BAU)'!Z53:Z54)</f>
        <v>5163.0745379309628</v>
      </c>
      <c r="AA201" s="271">
        <f>SUM('Output - Jobs vs Yr (BAU)'!AA53:AA54)</f>
        <v>5189.1708368397885</v>
      </c>
      <c r="AB201" s="271">
        <f>SUM('Output - Jobs vs Yr (BAU)'!AB53:AB54)</f>
        <v>5226.2353912500666</v>
      </c>
      <c r="AC201" s="271">
        <f>SUM('Output - Jobs vs Yr (BAU)'!AC53:AC54)</f>
        <v>5285.4503535323274</v>
      </c>
      <c r="AD201" s="271">
        <f>SUM('Output - Jobs vs Yr (BAU)'!AD53:AD54)</f>
        <v>5338.2390273454967</v>
      </c>
      <c r="AE201" s="271">
        <f>SUM('Output - Jobs vs Yr (BAU)'!AE53:AE54)</f>
        <v>5422.8589066822551</v>
      </c>
      <c r="AF201" s="271">
        <f>SUM('Output - Jobs vs Yr (BAU)'!AF53:AF54)</f>
        <v>5516.7943530882021</v>
      </c>
      <c r="AG201" s="271">
        <f>SUM('Output - Jobs vs Yr (BAU)'!AG53:AG54)</f>
        <v>5590.6671618154287</v>
      </c>
      <c r="AH201" s="184">
        <f>SUM('Output - Jobs vs Yr (BAU)'!AH53:AH54)</f>
        <v>5648.1080260163308</v>
      </c>
    </row>
    <row r="202" spans="1:34">
      <c r="A202" t="s">
        <v>396</v>
      </c>
      <c r="C202" s="330">
        <f>SUM('Output - Jobs vs Yr (BAU)'!C71:C72)</f>
        <v>3586.2750000000001</v>
      </c>
      <c r="D202" s="330">
        <f>SUM('Output - Jobs vs Yr (BAU)'!D71:D72)</f>
        <v>4281.5520000000006</v>
      </c>
      <c r="E202" s="330">
        <f>SUM('Output - Jobs vs Yr (BAU)'!E71:E72)</f>
        <v>3732.4011790462937</v>
      </c>
      <c r="F202" s="330">
        <f>SUM('Output - Jobs vs Yr (BAU)'!F71:F72)</f>
        <v>3943.1338224424453</v>
      </c>
      <c r="G202" s="330">
        <f>SUM('Output - Jobs vs Yr (BAU)'!G71:G72)</f>
        <v>3749.7988141571795</v>
      </c>
      <c r="H202" s="286">
        <f>SUM('Output - Jobs vs Yr (BAU)'!H71:H72)</f>
        <v>3681.1041692964964</v>
      </c>
      <c r="I202" s="118">
        <f>SUM('Output - Jobs vs Yr (BAU)'!I71:I72)</f>
        <v>3783.5077846521017</v>
      </c>
      <c r="J202" s="118">
        <f>SUM('Output - Jobs vs Yr (BAU)'!J71:J72)</f>
        <v>3951.5651082893201</v>
      </c>
      <c r="K202" s="118">
        <f>SUM('Output - Jobs vs Yr (BAU)'!K71:K72)</f>
        <v>3901.7063884179133</v>
      </c>
      <c r="L202" s="118">
        <f>SUM('Output - Jobs vs Yr (BAU)'!L71:L72)</f>
        <v>3895.8957745191901</v>
      </c>
      <c r="M202" s="118">
        <f>SUM('Output - Jobs vs Yr (BAU)'!M71:M72)</f>
        <v>3949.8437177032424</v>
      </c>
      <c r="N202" s="177">
        <f>SUM('Output - Jobs vs Yr (BAU)'!N71:N72)</f>
        <v>4023.3443694790271</v>
      </c>
      <c r="O202" s="118">
        <f>SUM('Output - Jobs vs Yr (BAU)'!O71:O72)</f>
        <v>4074.8342513435018</v>
      </c>
      <c r="P202" s="118">
        <f>SUM('Output - Jobs vs Yr (BAU)'!P71:P72)</f>
        <v>4141.6323295311768</v>
      </c>
      <c r="Q202" s="118">
        <f>SUM('Output - Jobs vs Yr (BAU)'!Q71:Q72)</f>
        <v>4246.1185402615502</v>
      </c>
      <c r="R202" s="118">
        <f>SUM('Output - Jobs vs Yr (BAU)'!R71:R72)</f>
        <v>4328.6006699734144</v>
      </c>
      <c r="S202" s="118">
        <f>SUM('Output - Jobs vs Yr (BAU)'!S71:S72)</f>
        <v>4377.5809510822673</v>
      </c>
      <c r="T202" s="118">
        <f>SUM('Output - Jobs vs Yr (BAU)'!T71:T72)</f>
        <v>4423.7383744779027</v>
      </c>
      <c r="U202" s="118">
        <f>SUM('Output - Jobs vs Yr (BAU)'!U71:U72)</f>
        <v>4470.1287874149866</v>
      </c>
      <c r="V202" s="118">
        <f>SUM('Output - Jobs vs Yr (BAU)'!V71:V72)</f>
        <v>4523.7515694287831</v>
      </c>
      <c r="W202" s="118">
        <f>SUM('Output - Jobs vs Yr (BAU)'!W71:W72)</f>
        <v>4543.510442624739</v>
      </c>
      <c r="X202" s="184">
        <f>SUM('Output - Jobs vs Yr (BAU)'!X71:X72)</f>
        <v>4592.7214314208104</v>
      </c>
      <c r="Y202" s="271">
        <f>SUM('Output - Jobs vs Yr (BAU)'!Y71:Y72)</f>
        <v>4612.6911911606212</v>
      </c>
      <c r="Z202" s="271">
        <f>SUM('Output - Jobs vs Yr (BAU)'!Z71:Z72)</f>
        <v>4646.7670841378676</v>
      </c>
      <c r="AA202" s="271">
        <f>SUM('Output - Jobs vs Yr (BAU)'!AA71:AA72)</f>
        <v>4670.25375315581</v>
      </c>
      <c r="AB202" s="271">
        <f>SUM('Output - Jobs vs Yr (BAU)'!AB71:AB72)</f>
        <v>4703.6118521250601</v>
      </c>
      <c r="AC202" s="271">
        <f>SUM('Output - Jobs vs Yr (BAU)'!AC71:AC72)</f>
        <v>4756.905318179095</v>
      </c>
      <c r="AD202" s="271">
        <f>SUM('Output - Jobs vs Yr (BAU)'!AD71:AD72)</f>
        <v>4804.4151246109468</v>
      </c>
      <c r="AE202" s="271">
        <f>SUM('Output - Jobs vs Yr (BAU)'!AE71:AE72)</f>
        <v>4880.5730160140292</v>
      </c>
      <c r="AF202" s="271">
        <f>SUM('Output - Jobs vs Yr (BAU)'!AF71:AF72)</f>
        <v>4965.1149177793814</v>
      </c>
      <c r="AG202" s="271">
        <f>SUM('Output - Jobs vs Yr (BAU)'!AG71:AG72)</f>
        <v>5031.6004456338851</v>
      </c>
      <c r="AH202" s="184">
        <f>SUM('Output - Jobs vs Yr (BAU)'!AH71:AH72)</f>
        <v>5083.2972234146973</v>
      </c>
    </row>
    <row r="203" spans="1:34">
      <c r="A203" s="1" t="s">
        <v>425</v>
      </c>
      <c r="C203" s="331">
        <f>SUM(C191,C194,C197,C200)</f>
        <v>11062.14428</v>
      </c>
      <c r="D203" s="331">
        <f t="shared" ref="D203:AH203" si="115">SUM(D191,D194,D197,D200)</f>
        <v>12203.569280000003</v>
      </c>
      <c r="E203" s="331">
        <f t="shared" si="115"/>
        <v>11190.395253863799</v>
      </c>
      <c r="F203" s="331">
        <f t="shared" si="115"/>
        <v>11589.271902705656</v>
      </c>
      <c r="G203" s="331">
        <f t="shared" si="115"/>
        <v>11202.396300543338</v>
      </c>
      <c r="H203" s="402">
        <f t="shared" si="115"/>
        <v>11084.156969161626</v>
      </c>
      <c r="I203" s="14">
        <f t="shared" si="115"/>
        <v>11425.257483949328</v>
      </c>
      <c r="J203" s="14">
        <f t="shared" si="115"/>
        <v>11936.689102329998</v>
      </c>
      <c r="K203" s="14">
        <f t="shared" si="115"/>
        <v>12006.816492986882</v>
      </c>
      <c r="L203" s="14">
        <f t="shared" si="115"/>
        <v>12118.069355487743</v>
      </c>
      <c r="M203" s="132">
        <f t="shared" si="115"/>
        <v>12281.037398978426</v>
      </c>
      <c r="N203" s="193">
        <f t="shared" si="115"/>
        <v>12479.225985710087</v>
      </c>
      <c r="O203" s="14">
        <f t="shared" si="115"/>
        <v>12654.32742508758</v>
      </c>
      <c r="P203" s="14">
        <f t="shared" si="115"/>
        <v>12840.393563768133</v>
      </c>
      <c r="Q203" s="14">
        <f t="shared" si="115"/>
        <v>13190.145452709407</v>
      </c>
      <c r="R203" s="14">
        <f t="shared" si="115"/>
        <v>13414.617303073595</v>
      </c>
      <c r="S203" s="14">
        <f t="shared" si="115"/>
        <v>13674.167049937634</v>
      </c>
      <c r="T203" s="14">
        <f t="shared" si="115"/>
        <v>13817.533744601311</v>
      </c>
      <c r="U203" s="14">
        <f t="shared" si="115"/>
        <v>13946.74121385425</v>
      </c>
      <c r="V203" s="14">
        <f t="shared" si="115"/>
        <v>14089.110249988213</v>
      </c>
      <c r="W203" s="14">
        <f t="shared" si="115"/>
        <v>14307.361715110565</v>
      </c>
      <c r="X203" s="187">
        <f t="shared" si="115"/>
        <v>14438.027870448357</v>
      </c>
      <c r="Y203" s="158">
        <f t="shared" si="115"/>
        <v>14502.616815854335</v>
      </c>
      <c r="Z203" s="158">
        <f t="shared" si="115"/>
        <v>14591.388361711686</v>
      </c>
      <c r="AA203" s="158">
        <f t="shared" si="115"/>
        <v>14663.536851222614</v>
      </c>
      <c r="AB203" s="158">
        <f t="shared" si="115"/>
        <v>14759.911913321739</v>
      </c>
      <c r="AC203" s="158">
        <f t="shared" si="115"/>
        <v>14894.551475004342</v>
      </c>
      <c r="AD203" s="158">
        <f t="shared" si="115"/>
        <v>15025.664699664036</v>
      </c>
      <c r="AE203" s="158">
        <f t="shared" si="115"/>
        <v>15219.71757189554</v>
      </c>
      <c r="AF203" s="158">
        <f t="shared" si="115"/>
        <v>15436.512143351987</v>
      </c>
      <c r="AG203" s="158">
        <f t="shared" si="115"/>
        <v>15616.781930130155</v>
      </c>
      <c r="AH203" s="187">
        <f t="shared" si="115"/>
        <v>15761.544282589286</v>
      </c>
    </row>
    <row r="204" spans="1:34">
      <c r="A204" s="1" t="s">
        <v>448</v>
      </c>
      <c r="C204" s="331"/>
      <c r="D204" s="331">
        <f>D194+D197</f>
        <v>3164.7372800000007</v>
      </c>
      <c r="E204" s="331">
        <f t="shared" ref="E204:AH204" si="116">E194+E197</f>
        <v>3310.8816536549566</v>
      </c>
      <c r="F204" s="331">
        <f t="shared" si="116"/>
        <v>3264.8782775493828</v>
      </c>
      <c r="G204" s="331">
        <f t="shared" si="116"/>
        <v>3286.1543595448488</v>
      </c>
      <c r="H204" s="402">
        <f t="shared" si="116"/>
        <v>3312.9370562023564</v>
      </c>
      <c r="I204" s="14">
        <f t="shared" si="116"/>
        <v>3437.8521607948924</v>
      </c>
      <c r="J204" s="14">
        <f t="shared" si="116"/>
        <v>3594.4960959414348</v>
      </c>
      <c r="K204" s="14">
        <f t="shared" si="116"/>
        <v>3769.88078410462</v>
      </c>
      <c r="L204" s="14">
        <f t="shared" si="116"/>
        <v>3893.400498169452</v>
      </c>
      <c r="M204" s="14">
        <f t="shared" si="116"/>
        <v>3942.4784393826922</v>
      </c>
      <c r="N204" s="187">
        <f t="shared" si="116"/>
        <v>3985.4989834765865</v>
      </c>
      <c r="O204" s="14">
        <f t="shared" si="116"/>
        <v>4051.8995611401883</v>
      </c>
      <c r="P204" s="14">
        <f t="shared" si="116"/>
        <v>4096.9475347578718</v>
      </c>
      <c r="Q204" s="14">
        <f t="shared" si="116"/>
        <v>4226.1174232683579</v>
      </c>
      <c r="R204" s="14">
        <f t="shared" si="116"/>
        <v>4276.460333129723</v>
      </c>
      <c r="S204" s="14">
        <f t="shared" si="116"/>
        <v>4432.6072643195139</v>
      </c>
      <c r="T204" s="14">
        <f t="shared" si="116"/>
        <v>4478.5305095924041</v>
      </c>
      <c r="U204" s="14">
        <f t="shared" si="116"/>
        <v>4509.8026626448336</v>
      </c>
      <c r="V204" s="14">
        <f t="shared" si="116"/>
        <v>4538.9680478607825</v>
      </c>
      <c r="W204" s="14">
        <f t="shared" si="116"/>
        <v>4715.5063362361143</v>
      </c>
      <c r="X204" s="187">
        <f t="shared" si="116"/>
        <v>4742.2826263377574</v>
      </c>
      <c r="Y204" s="158">
        <f t="shared" si="116"/>
        <v>4764.7131900708009</v>
      </c>
      <c r="Z204" s="158">
        <f t="shared" si="116"/>
        <v>4781.5467396428558</v>
      </c>
      <c r="AA204" s="158">
        <f t="shared" si="116"/>
        <v>4804.1122612270156</v>
      </c>
      <c r="AB204" s="158">
        <f t="shared" si="116"/>
        <v>4830.0646699466133</v>
      </c>
      <c r="AC204" s="158">
        <f t="shared" si="116"/>
        <v>4852.1958032929197</v>
      </c>
      <c r="AD204" s="158">
        <f t="shared" si="116"/>
        <v>4883.0105477075922</v>
      </c>
      <c r="AE204" s="158">
        <f t="shared" si="116"/>
        <v>4916.285649199257</v>
      </c>
      <c r="AF204" s="158">
        <f t="shared" si="116"/>
        <v>4954.6028724844036</v>
      </c>
      <c r="AG204" s="158">
        <f t="shared" si="116"/>
        <v>4994.5143226808414</v>
      </c>
      <c r="AH204" s="187">
        <f t="shared" si="116"/>
        <v>5030.1390331582588</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599.70213000000001</v>
      </c>
      <c r="E206" s="331">
        <f>D206+E194</f>
        <v>1214.9466187825558</v>
      </c>
      <c r="F206" s="331">
        <f>E206+F194</f>
        <v>1809.0770343692388</v>
      </c>
      <c r="G206" s="331">
        <f>F206+G194</f>
        <v>2467.1340662279404</v>
      </c>
      <c r="H206" s="402">
        <f t="shared" ref="H206:X206" si="117">G206+H194</f>
        <v>3144.1741325826561</v>
      </c>
      <c r="I206" s="14">
        <f t="shared" si="117"/>
        <v>3846.0616103363018</v>
      </c>
      <c r="J206" s="14">
        <f t="shared" si="117"/>
        <v>4588.6798121313877</v>
      </c>
      <c r="K206" s="14">
        <f t="shared" si="117"/>
        <v>5394.012709854861</v>
      </c>
      <c r="L206" s="14">
        <f t="shared" si="117"/>
        <v>6235.3814108255119</v>
      </c>
      <c r="M206" s="14">
        <f t="shared" si="117"/>
        <v>7110.5438958932009</v>
      </c>
      <c r="N206" s="187">
        <f t="shared" si="117"/>
        <v>8028.726848275247</v>
      </c>
      <c r="O206" s="14">
        <f t="shared" si="117"/>
        <v>9013.3103783208953</v>
      </c>
      <c r="P206" s="14">
        <f t="shared" si="117"/>
        <v>10042.941907577406</v>
      </c>
      <c r="Q206" s="14">
        <f t="shared" si="117"/>
        <v>11201.743299751222</v>
      </c>
      <c r="R206" s="14">
        <f t="shared" si="117"/>
        <v>12410.887678565943</v>
      </c>
      <c r="S206" s="14">
        <f t="shared" si="117"/>
        <v>13776.172782224468</v>
      </c>
      <c r="T206" s="14">
        <f t="shared" si="117"/>
        <v>15187.387286315512</v>
      </c>
      <c r="U206" s="14">
        <f t="shared" si="117"/>
        <v>16629.873969052165</v>
      </c>
      <c r="V206" s="14">
        <f t="shared" si="117"/>
        <v>18101.526037004765</v>
      </c>
      <c r="W206" s="14">
        <f t="shared" si="117"/>
        <v>19749.716342146341</v>
      </c>
      <c r="X206" s="187">
        <f t="shared" si="117"/>
        <v>21424.682988575918</v>
      </c>
      <c r="Y206" s="158">
        <f t="shared" ref="Y206:AH206" si="118">X206+Y194</f>
        <v>23122.080198738538</v>
      </c>
      <c r="Z206" s="158">
        <f t="shared" si="118"/>
        <v>24836.310932880035</v>
      </c>
      <c r="AA206" s="158">
        <f t="shared" si="118"/>
        <v>26573.107252588637</v>
      </c>
      <c r="AB206" s="158">
        <f t="shared" si="118"/>
        <v>28335.855942627069</v>
      </c>
      <c r="AC206" s="158">
        <f t="shared" si="118"/>
        <v>30120.735714825449</v>
      </c>
      <c r="AD206" s="158">
        <f t="shared" si="118"/>
        <v>31936.430231438499</v>
      </c>
      <c r="AE206" s="158">
        <f t="shared" si="118"/>
        <v>33785.399849543217</v>
      </c>
      <c r="AF206" s="158">
        <f t="shared" si="118"/>
        <v>35672.686690933078</v>
      </c>
      <c r="AG206" s="158">
        <f t="shared" si="118"/>
        <v>37599.885033705737</v>
      </c>
      <c r="AH206" s="187">
        <f t="shared" si="118"/>
        <v>39562.708086955812</v>
      </c>
    </row>
    <row r="207" spans="1:34">
      <c r="A207" s="1" t="s">
        <v>456</v>
      </c>
      <c r="C207" s="331"/>
      <c r="D207" s="331">
        <f>D200</f>
        <v>9038.8320000000022</v>
      </c>
      <c r="E207" s="331">
        <f>D207+E200</f>
        <v>16918.345600208842</v>
      </c>
      <c r="F207" s="331">
        <f>E207+F200</f>
        <v>25242.739225365116</v>
      </c>
      <c r="G207" s="331">
        <f t="shared" ref="G207:X207" si="119">F207+G200</f>
        <v>33158.981166363606</v>
      </c>
      <c r="H207" s="402">
        <f t="shared" si="119"/>
        <v>40930.201079322876</v>
      </c>
      <c r="I207" s="14">
        <f t="shared" si="119"/>
        <v>48917.606402477315</v>
      </c>
      <c r="J207" s="14">
        <f t="shared" si="119"/>
        <v>57259.799408865874</v>
      </c>
      <c r="K207" s="14">
        <f t="shared" si="119"/>
        <v>65496.735117748132</v>
      </c>
      <c r="L207" s="14">
        <f t="shared" si="119"/>
        <v>73721.403975066423</v>
      </c>
      <c r="M207" s="14">
        <f t="shared" si="119"/>
        <v>82059.962934662151</v>
      </c>
      <c r="N207" s="187">
        <f t="shared" si="119"/>
        <v>90553.689936895651</v>
      </c>
      <c r="O207" s="14">
        <f t="shared" si="119"/>
        <v>99156.117800843043</v>
      </c>
      <c r="P207" s="14">
        <f t="shared" si="119"/>
        <v>107899.5638298533</v>
      </c>
      <c r="Q207" s="14">
        <f t="shared" si="119"/>
        <v>116863.59185929435</v>
      </c>
      <c r="R207" s="14">
        <f t="shared" si="119"/>
        <v>126001.74882923822</v>
      </c>
      <c r="S207" s="14">
        <f t="shared" si="119"/>
        <v>135243.30861485633</v>
      </c>
      <c r="T207" s="14">
        <f t="shared" si="119"/>
        <v>144582.31184986525</v>
      </c>
      <c r="U207" s="14">
        <f t="shared" si="119"/>
        <v>154019.25040107465</v>
      </c>
      <c r="V207" s="14">
        <f t="shared" si="119"/>
        <v>163569.39260320208</v>
      </c>
      <c r="W207" s="14">
        <f t="shared" si="119"/>
        <v>173161.24798207654</v>
      </c>
      <c r="X207" s="187">
        <f t="shared" si="119"/>
        <v>182856.99322618713</v>
      </c>
      <c r="Y207" s="158">
        <f t="shared" ref="Y207:AH207" si="120">X207+Y200</f>
        <v>192594.89685197067</v>
      </c>
      <c r="Z207" s="158">
        <f t="shared" si="120"/>
        <v>202404.73847403951</v>
      </c>
      <c r="AA207" s="158">
        <f t="shared" si="120"/>
        <v>212264.16306403509</v>
      </c>
      <c r="AB207" s="158">
        <f t="shared" si="120"/>
        <v>222194.01030741021</v>
      </c>
      <c r="AC207" s="158">
        <f t="shared" si="120"/>
        <v>232236.36597912162</v>
      </c>
      <c r="AD207" s="158">
        <f t="shared" si="120"/>
        <v>242379.02013107805</v>
      </c>
      <c r="AE207" s="158">
        <f t="shared" si="120"/>
        <v>252682.45205377432</v>
      </c>
      <c r="AF207" s="158">
        <f t="shared" si="120"/>
        <v>263164.36132464191</v>
      </c>
      <c r="AG207" s="158">
        <f t="shared" si="120"/>
        <v>273786.62893209123</v>
      </c>
      <c r="AH207" s="187">
        <f t="shared" si="120"/>
        <v>284518.03418152226</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565.38786000000005</v>
      </c>
      <c r="D213" s="341">
        <f t="shared" ref="D213:AH213" si="124">SUM(D214:D215)</f>
        <v>672.55313063211929</v>
      </c>
      <c r="E213" s="341">
        <f t="shared" si="124"/>
        <v>650.51918203353762</v>
      </c>
      <c r="F213" s="341">
        <f t="shared" si="124"/>
        <v>718.04608975168776</v>
      </c>
      <c r="G213" s="341">
        <f t="shared" si="124"/>
        <v>733.60187370194103</v>
      </c>
      <c r="H213" s="405">
        <f t="shared" si="124"/>
        <v>677.03979635471569</v>
      </c>
      <c r="I213" s="15">
        <f t="shared" si="124"/>
        <v>741.14225632902912</v>
      </c>
      <c r="J213" s="15">
        <f t="shared" si="124"/>
        <v>822.53239071875009</v>
      </c>
      <c r="K213" s="15">
        <f t="shared" si="124"/>
        <v>874.8261169724035</v>
      </c>
      <c r="L213" s="15">
        <f t="shared" si="124"/>
        <v>936.07629554415598</v>
      </c>
      <c r="M213" s="15">
        <f t="shared" si="124"/>
        <v>1007.695541957092</v>
      </c>
      <c r="N213" s="190">
        <f t="shared" si="124"/>
        <v>1087.8624560250505</v>
      </c>
      <c r="O213" s="15">
        <f t="shared" si="124"/>
        <v>1180.6356877603755</v>
      </c>
      <c r="P213" s="15">
        <f t="shared" si="124"/>
        <v>1283.4368465952416</v>
      </c>
      <c r="Q213" s="15">
        <f t="shared" si="124"/>
        <v>1409.441803112572</v>
      </c>
      <c r="R213" s="15">
        <f t="shared" si="124"/>
        <v>1535.8803897233827</v>
      </c>
      <c r="S213" s="15">
        <f t="shared" si="124"/>
        <v>1671.1444717624322</v>
      </c>
      <c r="T213" s="15">
        <f t="shared" si="124"/>
        <v>1808.6543830603082</v>
      </c>
      <c r="U213" s="15">
        <f t="shared" si="124"/>
        <v>1956.1941541047695</v>
      </c>
      <c r="V213" s="15">
        <f t="shared" si="124"/>
        <v>2117.9563060878345</v>
      </c>
      <c r="W213" s="15">
        <f t="shared" si="124"/>
        <v>2293.8753872777588</v>
      </c>
      <c r="X213" s="190">
        <f t="shared" si="124"/>
        <v>2481.0341318657233</v>
      </c>
      <c r="Y213" s="130">
        <f t="shared" si="124"/>
        <v>2594.4184661828649</v>
      </c>
      <c r="Z213" s="130">
        <f t="shared" si="124"/>
        <v>2718.4978622221834</v>
      </c>
      <c r="AA213" s="130">
        <f t="shared" si="124"/>
        <v>2844.2281359355734</v>
      </c>
      <c r="AB213" s="130">
        <f t="shared" si="124"/>
        <v>2980.7880776733432</v>
      </c>
      <c r="AC213" s="130">
        <f t="shared" si="124"/>
        <v>3133.1539028220177</v>
      </c>
      <c r="AD213" s="130">
        <f t="shared" si="124"/>
        <v>3291.1596591388115</v>
      </c>
      <c r="AE213" s="130">
        <f t="shared" si="124"/>
        <v>3472.5436332532886</v>
      </c>
      <c r="AF213" s="130">
        <f t="shared" si="124"/>
        <v>3668.6750371557146</v>
      </c>
      <c r="AG213" s="130">
        <f t="shared" si="124"/>
        <v>3864.8397089866176</v>
      </c>
      <c r="AH213" s="190">
        <f t="shared" si="124"/>
        <v>4061.4168689091839</v>
      </c>
    </row>
    <row r="214" spans="1:34">
      <c r="A214" t="s">
        <v>398</v>
      </c>
      <c r="C214" s="331">
        <f>C115</f>
        <v>297.5727</v>
      </c>
      <c r="D214" s="331">
        <f t="shared" ref="D214:AH214" si="125">D115</f>
        <v>353.97549257913727</v>
      </c>
      <c r="E214" s="331">
        <f t="shared" si="125"/>
        <v>342.37866448078177</v>
      </c>
      <c r="F214" s="331">
        <f t="shared" si="125"/>
        <v>377.91914948837962</v>
      </c>
      <c r="G214" s="331">
        <f t="shared" si="125"/>
        <v>386.10639971779938</v>
      </c>
      <c r="H214" s="402">
        <f t="shared" si="125"/>
        <v>356.3368770287978</v>
      </c>
      <c r="I214" s="14">
        <f t="shared" si="125"/>
        <v>390.07501961016459</v>
      </c>
      <c r="J214" s="14">
        <f t="shared" si="125"/>
        <v>432.91194056004269</v>
      </c>
      <c r="K214" s="14">
        <f t="shared" si="125"/>
        <v>460.43495608112562</v>
      </c>
      <c r="L214" s="14">
        <f t="shared" si="125"/>
        <v>492.67189485810968</v>
      </c>
      <c r="M214" s="14">
        <f t="shared" si="125"/>
        <v>530.36623879745343</v>
      </c>
      <c r="N214" s="182">
        <f t="shared" si="125"/>
        <v>572.55935574786145</v>
      </c>
      <c r="O214" s="14">
        <f t="shared" si="125"/>
        <v>621.38738680898825</v>
      </c>
      <c r="P214" s="14">
        <f t="shared" si="125"/>
        <v>675.49327579029648</v>
      </c>
      <c r="Q214" s="14">
        <f t="shared" si="125"/>
        <v>741.8116934588428</v>
      </c>
      <c r="R214" s="14">
        <f t="shared" si="125"/>
        <v>808.35833755949079</v>
      </c>
      <c r="S214" s="14">
        <f t="shared" si="125"/>
        <v>879.54998061985282</v>
      </c>
      <c r="T214" s="14">
        <f t="shared" si="125"/>
        <v>951.92363942717952</v>
      </c>
      <c r="U214" s="14">
        <f t="shared" si="125"/>
        <v>1029.5761733376414</v>
      </c>
      <c r="V214" s="14">
        <f t="shared" si="125"/>
        <v>1114.7141731011691</v>
      </c>
      <c r="W214" s="14">
        <f t="shared" si="125"/>
        <v>1207.303190427767</v>
      </c>
      <c r="X214" s="187">
        <f t="shared" si="125"/>
        <v>1305.807821808663</v>
      </c>
      <c r="Y214" s="158">
        <f t="shared" si="125"/>
        <v>1365.4838047869996</v>
      </c>
      <c r="Z214" s="158">
        <f t="shared" si="125"/>
        <v>1430.7887692743668</v>
      </c>
      <c r="AA214" s="158">
        <f t="shared" si="125"/>
        <v>1496.9626170035906</v>
      </c>
      <c r="AB214" s="158">
        <f t="shared" si="125"/>
        <v>1568.8362916848891</v>
      </c>
      <c r="AC214" s="158">
        <f t="shared" si="125"/>
        <v>1649.0288548181716</v>
      </c>
      <c r="AD214" s="158">
        <f t="shared" si="125"/>
        <v>1732.1898036496607</v>
      </c>
      <c r="AE214" s="158">
        <f t="shared" si="125"/>
        <v>1827.6550812560238</v>
      </c>
      <c r="AF214" s="158">
        <f t="shared" si="125"/>
        <v>1930.8821662963692</v>
      </c>
      <c r="AG214" s="158">
        <f t="shared" si="125"/>
        <v>2034.1267607779037</v>
      </c>
      <c r="AH214" s="187">
        <f t="shared" si="125"/>
        <v>2137.5884543188904</v>
      </c>
    </row>
    <row r="215" spans="1:34">
      <c r="A215" t="s">
        <v>399</v>
      </c>
      <c r="C215" s="331">
        <f>C142</f>
        <v>267.81515999999999</v>
      </c>
      <c r="D215" s="331">
        <f t="shared" ref="D215:AH215" si="126">D142</f>
        <v>318.57763805298197</v>
      </c>
      <c r="E215" s="331">
        <f t="shared" si="126"/>
        <v>308.1405175527558</v>
      </c>
      <c r="F215" s="331">
        <f t="shared" si="126"/>
        <v>340.1269402633082</v>
      </c>
      <c r="G215" s="331">
        <f t="shared" si="126"/>
        <v>347.4954739841416</v>
      </c>
      <c r="H215" s="402">
        <f t="shared" si="126"/>
        <v>320.70291932591795</v>
      </c>
      <c r="I215" s="14">
        <f t="shared" si="126"/>
        <v>351.06723671886459</v>
      </c>
      <c r="J215" s="14">
        <f t="shared" si="126"/>
        <v>389.6204501587074</v>
      </c>
      <c r="K215" s="14">
        <f t="shared" si="126"/>
        <v>414.39116089127782</v>
      </c>
      <c r="L215" s="14">
        <f t="shared" si="126"/>
        <v>443.40440068604636</v>
      </c>
      <c r="M215" s="14">
        <f t="shared" si="126"/>
        <v>477.32930315963858</v>
      </c>
      <c r="N215" s="182">
        <f t="shared" si="126"/>
        <v>515.30310027718895</v>
      </c>
      <c r="O215" s="14">
        <f t="shared" si="126"/>
        <v>559.24830095138725</v>
      </c>
      <c r="P215" s="14">
        <f t="shared" si="126"/>
        <v>607.94357080494524</v>
      </c>
      <c r="Q215" s="14">
        <f t="shared" si="126"/>
        <v>667.63010965372928</v>
      </c>
      <c r="R215" s="14">
        <f t="shared" si="126"/>
        <v>727.52205216389189</v>
      </c>
      <c r="S215" s="14">
        <f t="shared" si="126"/>
        <v>791.5944911425795</v>
      </c>
      <c r="T215" s="14">
        <f t="shared" si="126"/>
        <v>856.73074363312867</v>
      </c>
      <c r="U215" s="14">
        <f t="shared" si="126"/>
        <v>926.61798076712796</v>
      </c>
      <c r="V215" s="14">
        <f t="shared" si="126"/>
        <v>1003.2421329866652</v>
      </c>
      <c r="W215" s="14">
        <f t="shared" si="126"/>
        <v>1086.5721968499918</v>
      </c>
      <c r="X215" s="187">
        <f t="shared" si="126"/>
        <v>1175.2263100570603</v>
      </c>
      <c r="Y215" s="158">
        <f t="shared" si="126"/>
        <v>1228.9346613958651</v>
      </c>
      <c r="Z215" s="158">
        <f t="shared" si="126"/>
        <v>1287.7090929478163</v>
      </c>
      <c r="AA215" s="158">
        <f t="shared" si="126"/>
        <v>1347.2655189319828</v>
      </c>
      <c r="AB215" s="158">
        <f t="shared" si="126"/>
        <v>1411.951785988454</v>
      </c>
      <c r="AC215" s="158">
        <f t="shared" si="126"/>
        <v>1484.1250480038464</v>
      </c>
      <c r="AD215" s="158">
        <f t="shared" si="126"/>
        <v>1558.9698554891509</v>
      </c>
      <c r="AE215" s="158">
        <f t="shared" si="126"/>
        <v>1644.8885519972648</v>
      </c>
      <c r="AF215" s="158">
        <f t="shared" si="126"/>
        <v>1737.7928708593456</v>
      </c>
      <c r="AG215" s="158">
        <f t="shared" si="126"/>
        <v>1830.7129482087139</v>
      </c>
      <c r="AH215" s="187">
        <f t="shared" si="126"/>
        <v>1923.8284145902935</v>
      </c>
    </row>
    <row r="216" spans="1:34">
      <c r="A216" t="s">
        <v>400</v>
      </c>
      <c r="C216" s="331">
        <f>SUM(C217:C218)</f>
        <v>2925.7311500000005</v>
      </c>
      <c r="D216" s="331">
        <f t="shared" ref="D216:AH216" si="127">SUM(D217:D218)</f>
        <v>3255.7974720767716</v>
      </c>
      <c r="E216" s="331">
        <f t="shared" si="127"/>
        <v>2944.2036885718044</v>
      </c>
      <c r="F216" s="331">
        <f t="shared" si="127"/>
        <v>3040.1604096220512</v>
      </c>
      <c r="G216" s="331">
        <f t="shared" si="127"/>
        <v>2905.3984309219622</v>
      </c>
      <c r="H216" s="402">
        <f t="shared" si="127"/>
        <v>2635.8969898476407</v>
      </c>
      <c r="I216" s="14">
        <f t="shared" si="127"/>
        <v>2734.7350044345067</v>
      </c>
      <c r="J216" s="14">
        <f t="shared" si="127"/>
        <v>2876.3689760619</v>
      </c>
      <c r="K216" s="14">
        <f t="shared" si="127"/>
        <v>2899.1438103114524</v>
      </c>
      <c r="L216" s="14">
        <f t="shared" si="127"/>
        <v>2939.6364236287613</v>
      </c>
      <c r="M216" s="14">
        <f t="shared" si="127"/>
        <v>2998.6343607647013</v>
      </c>
      <c r="N216" s="190">
        <f t="shared" si="127"/>
        <v>3067.3160310945404</v>
      </c>
      <c r="O216" s="14">
        <f t="shared" si="127"/>
        <v>3067.7501002619319</v>
      </c>
      <c r="P216" s="14">
        <f t="shared" si="127"/>
        <v>3072.774516456539</v>
      </c>
      <c r="Q216" s="14">
        <f t="shared" si="127"/>
        <v>3108.7537501454976</v>
      </c>
      <c r="R216" s="14">
        <f t="shared" si="127"/>
        <v>3120.388324792304</v>
      </c>
      <c r="S216" s="15">
        <f t="shared" si="127"/>
        <v>3126.83210976174</v>
      </c>
      <c r="T216" s="14">
        <f t="shared" si="127"/>
        <v>3116.0957282329173</v>
      </c>
      <c r="U216" s="14">
        <f t="shared" si="127"/>
        <v>3102.8095950327324</v>
      </c>
      <c r="V216" s="14">
        <f t="shared" si="127"/>
        <v>3092.2127989898299</v>
      </c>
      <c r="W216" s="14">
        <f t="shared" si="127"/>
        <v>3082.1266939465459</v>
      </c>
      <c r="X216" s="187">
        <f t="shared" si="127"/>
        <v>3067.315979908185</v>
      </c>
      <c r="Y216" s="158">
        <f t="shared" si="127"/>
        <v>3054.2680150554938</v>
      </c>
      <c r="Z216" s="158">
        <f t="shared" si="127"/>
        <v>3047.2390406241138</v>
      </c>
      <c r="AA216" s="158">
        <f t="shared" si="127"/>
        <v>3035.4348062504923</v>
      </c>
      <c r="AB216" s="158">
        <f t="shared" si="127"/>
        <v>3028.5485203994012</v>
      </c>
      <c r="AC216" s="158">
        <f t="shared" si="127"/>
        <v>3030.3972384451554</v>
      </c>
      <c r="AD216" s="158">
        <f t="shared" si="127"/>
        <v>3030.037860374649</v>
      </c>
      <c r="AE216" s="158">
        <f t="shared" si="127"/>
        <v>3042.9468904489927</v>
      </c>
      <c r="AF216" s="158">
        <f t="shared" si="127"/>
        <v>3059.631667632179</v>
      </c>
      <c r="AG216" s="158">
        <f t="shared" si="127"/>
        <v>3067.3949406333477</v>
      </c>
      <c r="AH216" s="187">
        <f t="shared" si="127"/>
        <v>3067.315979908185</v>
      </c>
    </row>
    <row r="217" spans="1:34">
      <c r="A217" t="s">
        <v>401</v>
      </c>
      <c r="C217" s="331">
        <f>C114</f>
        <v>1539.8585</v>
      </c>
      <c r="D217" s="331">
        <f t="shared" ref="D217:AH217" si="128">D114</f>
        <v>1713.5776168825112</v>
      </c>
      <c r="E217" s="331">
        <f t="shared" si="128"/>
        <v>1549.5808887220023</v>
      </c>
      <c r="F217" s="331">
        <f t="shared" si="128"/>
        <v>1600.0844261168691</v>
      </c>
      <c r="G217" s="331">
        <f t="shared" si="128"/>
        <v>1529.1570689062958</v>
      </c>
      <c r="H217" s="402">
        <f t="shared" si="128"/>
        <v>1387.3142051829689</v>
      </c>
      <c r="I217" s="14">
        <f t="shared" si="128"/>
        <v>1439.3342128602667</v>
      </c>
      <c r="J217" s="14">
        <f t="shared" si="128"/>
        <v>1513.8784084536317</v>
      </c>
      <c r="K217" s="14">
        <f t="shared" si="128"/>
        <v>1525.8651633218171</v>
      </c>
      <c r="L217" s="14">
        <f t="shared" si="128"/>
        <v>1547.177065067769</v>
      </c>
      <c r="M217" s="14">
        <f t="shared" si="128"/>
        <v>1578.2286109287902</v>
      </c>
      <c r="N217" s="187">
        <f t="shared" si="128"/>
        <v>1614.3768584708107</v>
      </c>
      <c r="O217" s="14">
        <f t="shared" si="128"/>
        <v>1614.6053159273324</v>
      </c>
      <c r="P217" s="14">
        <f t="shared" si="128"/>
        <v>1617.2497455034415</v>
      </c>
      <c r="Q217" s="14">
        <f t="shared" si="128"/>
        <v>1636.186184287104</v>
      </c>
      <c r="R217" s="14">
        <f t="shared" si="128"/>
        <v>1642.3096446275285</v>
      </c>
      <c r="S217" s="14">
        <f t="shared" si="128"/>
        <v>1645.7011104009157</v>
      </c>
      <c r="T217" s="14">
        <f t="shared" si="128"/>
        <v>1640.0503832804827</v>
      </c>
      <c r="U217" s="14">
        <f t="shared" si="128"/>
        <v>1633.0576815961749</v>
      </c>
      <c r="V217" s="14">
        <f t="shared" si="128"/>
        <v>1627.480420520963</v>
      </c>
      <c r="W217" s="14">
        <f t="shared" si="128"/>
        <v>1622.1719441823927</v>
      </c>
      <c r="X217" s="187">
        <f t="shared" si="128"/>
        <v>1614.3768315306238</v>
      </c>
      <c r="Y217" s="158">
        <f t="shared" si="128"/>
        <v>1607.5094816081546</v>
      </c>
      <c r="Z217" s="158">
        <f t="shared" si="128"/>
        <v>1603.8100213811124</v>
      </c>
      <c r="AA217" s="158">
        <f t="shared" si="128"/>
        <v>1597.5972664476274</v>
      </c>
      <c r="AB217" s="158">
        <f t="shared" si="128"/>
        <v>1593.9729054733691</v>
      </c>
      <c r="AC217" s="158">
        <f t="shared" si="128"/>
        <v>1594.9459149711345</v>
      </c>
      <c r="AD217" s="158">
        <f t="shared" si="128"/>
        <v>1594.7567686182363</v>
      </c>
      <c r="AE217" s="158">
        <f t="shared" si="128"/>
        <v>1601.550994973154</v>
      </c>
      <c r="AF217" s="158">
        <f t="shared" si="128"/>
        <v>1610.3324566485153</v>
      </c>
      <c r="AG217" s="158">
        <f t="shared" si="128"/>
        <v>1614.4183898070251</v>
      </c>
      <c r="AH217" s="187">
        <f t="shared" si="128"/>
        <v>1614.3768315306236</v>
      </c>
    </row>
    <row r="218" spans="1:34">
      <c r="A218" t="s">
        <v>402</v>
      </c>
      <c r="C218" s="331">
        <f>C141</f>
        <v>1385.8726500000002</v>
      </c>
      <c r="D218" s="331">
        <f t="shared" ref="D218:AH218" si="129">D141</f>
        <v>1542.2198551942602</v>
      </c>
      <c r="E218" s="331">
        <f t="shared" si="129"/>
        <v>1394.622799849802</v>
      </c>
      <c r="F218" s="331">
        <f t="shared" si="129"/>
        <v>1440.0759835051822</v>
      </c>
      <c r="G218" s="331">
        <f t="shared" si="129"/>
        <v>1376.2413620156663</v>
      </c>
      <c r="H218" s="402">
        <f t="shared" si="129"/>
        <v>1248.5827846646721</v>
      </c>
      <c r="I218" s="14">
        <f t="shared" si="129"/>
        <v>1295.4007915742402</v>
      </c>
      <c r="J218" s="14">
        <f t="shared" si="129"/>
        <v>1362.4905676082685</v>
      </c>
      <c r="K218" s="14">
        <f t="shared" si="129"/>
        <v>1373.2786469896355</v>
      </c>
      <c r="L218" s="14">
        <f t="shared" si="129"/>
        <v>1392.4593585609923</v>
      </c>
      <c r="M218" s="14">
        <f t="shared" si="129"/>
        <v>1420.4057498359111</v>
      </c>
      <c r="N218" s="187">
        <f t="shared" si="129"/>
        <v>1452.9391726237297</v>
      </c>
      <c r="O218" s="14">
        <f t="shared" si="129"/>
        <v>1453.1447843345993</v>
      </c>
      <c r="P218" s="14">
        <f t="shared" si="129"/>
        <v>1455.5247709530975</v>
      </c>
      <c r="Q218" s="14">
        <f t="shared" si="129"/>
        <v>1472.5675658583937</v>
      </c>
      <c r="R218" s="14">
        <f t="shared" si="129"/>
        <v>1478.0786801647757</v>
      </c>
      <c r="S218" s="14">
        <f t="shared" si="129"/>
        <v>1481.130999360824</v>
      </c>
      <c r="T218" s="14">
        <f t="shared" si="129"/>
        <v>1476.0453449524343</v>
      </c>
      <c r="U218" s="14">
        <f t="shared" si="129"/>
        <v>1469.7519134365575</v>
      </c>
      <c r="V218" s="14">
        <f t="shared" si="129"/>
        <v>1464.7323784688667</v>
      </c>
      <c r="W218" s="14">
        <f t="shared" si="129"/>
        <v>1459.9547497641533</v>
      </c>
      <c r="X218" s="187">
        <f t="shared" si="129"/>
        <v>1452.9391483775614</v>
      </c>
      <c r="Y218" s="158">
        <f t="shared" si="129"/>
        <v>1446.7585334473392</v>
      </c>
      <c r="Z218" s="158">
        <f t="shared" si="129"/>
        <v>1443.4290192430012</v>
      </c>
      <c r="AA218" s="158">
        <f t="shared" si="129"/>
        <v>1437.8375398028647</v>
      </c>
      <c r="AB218" s="158">
        <f t="shared" si="129"/>
        <v>1434.5756149260321</v>
      </c>
      <c r="AC218" s="158">
        <f t="shared" si="129"/>
        <v>1435.4513234740209</v>
      </c>
      <c r="AD218" s="158">
        <f t="shared" si="129"/>
        <v>1435.2810917564127</v>
      </c>
      <c r="AE218" s="158">
        <f t="shared" si="129"/>
        <v>1441.3958954758386</v>
      </c>
      <c r="AF218" s="158">
        <f t="shared" si="129"/>
        <v>1449.2992109836637</v>
      </c>
      <c r="AG218" s="158">
        <f t="shared" si="129"/>
        <v>1452.9765508263226</v>
      </c>
      <c r="AH218" s="187">
        <f t="shared" si="129"/>
        <v>1452.9391483775614</v>
      </c>
    </row>
    <row r="219" spans="1:34" s="1" customFormat="1">
      <c r="A219" s="1" t="s">
        <v>394</v>
      </c>
      <c r="B219" s="13"/>
      <c r="C219" s="341">
        <f>SUM(C220:C221)</f>
        <v>7572.4879999999994</v>
      </c>
      <c r="D219" s="341">
        <f t="shared" ref="D219:AH219" si="130">SUM(D220:D221)</f>
        <v>8458.1390294739213</v>
      </c>
      <c r="E219" s="341">
        <f t="shared" si="130"/>
        <v>7665.6712878249145</v>
      </c>
      <c r="F219" s="341">
        <f t="shared" si="130"/>
        <v>7969.1698944286236</v>
      </c>
      <c r="G219" s="341">
        <f t="shared" si="130"/>
        <v>7658.7285837066729</v>
      </c>
      <c r="H219" s="405">
        <f t="shared" si="130"/>
        <v>7770.9482129592725</v>
      </c>
      <c r="I219" s="15">
        <f t="shared" si="130"/>
        <v>7967.3335100253416</v>
      </c>
      <c r="J219" s="15">
        <f t="shared" si="130"/>
        <v>8280.4121262992157</v>
      </c>
      <c r="K219" s="15">
        <f t="shared" si="130"/>
        <v>8251.0376731554279</v>
      </c>
      <c r="L219" s="15">
        <f t="shared" si="130"/>
        <v>8262.2781885982367</v>
      </c>
      <c r="M219" s="15">
        <f t="shared" si="130"/>
        <v>8321.8023726274023</v>
      </c>
      <c r="N219" s="190">
        <f t="shared" si="130"/>
        <v>8403.3430589653344</v>
      </c>
      <c r="O219" s="15">
        <f t="shared" si="130"/>
        <v>8497.6914503929875</v>
      </c>
      <c r="P219" s="15">
        <f t="shared" si="130"/>
        <v>8604.3142930342274</v>
      </c>
      <c r="Q219" s="15">
        <f t="shared" si="130"/>
        <v>8798.0917862134484</v>
      </c>
      <c r="R219" s="15">
        <f t="shared" si="130"/>
        <v>8923.0267396664894</v>
      </c>
      <c r="S219" s="15">
        <f t="shared" si="130"/>
        <v>9032.1150900164175</v>
      </c>
      <c r="T219" s="15">
        <f t="shared" si="130"/>
        <v>9089.8272234815831</v>
      </c>
      <c r="U219" s="15">
        <f t="shared" si="130"/>
        <v>9137.1092165752416</v>
      </c>
      <c r="V219" s="15">
        <f t="shared" si="130"/>
        <v>9188.9950056298403</v>
      </c>
      <c r="W219" s="15">
        <f t="shared" si="130"/>
        <v>9238.7707676527134</v>
      </c>
      <c r="X219" s="190">
        <f t="shared" si="130"/>
        <v>9270.1025210555326</v>
      </c>
      <c r="Y219" s="130">
        <f t="shared" si="130"/>
        <v>9274.6758008810611</v>
      </c>
      <c r="Z219" s="130">
        <f t="shared" si="130"/>
        <v>9295.7670030209338</v>
      </c>
      <c r="AA219" s="130">
        <f t="shared" si="130"/>
        <v>9300.3930710433888</v>
      </c>
      <c r="AB219" s="130">
        <f t="shared" si="130"/>
        <v>9318.0975343049722</v>
      </c>
      <c r="AC219" s="130">
        <f t="shared" si="130"/>
        <v>9360.7456752166163</v>
      </c>
      <c r="AD219" s="130">
        <f t="shared" si="130"/>
        <v>9394.5138110730149</v>
      </c>
      <c r="AE219" s="130">
        <f t="shared" si="130"/>
        <v>9467.3820793212635</v>
      </c>
      <c r="AF219" s="130">
        <f t="shared" si="130"/>
        <v>9549.9014094836621</v>
      </c>
      <c r="AG219" s="130">
        <f t="shared" si="130"/>
        <v>9602.1291242620791</v>
      </c>
      <c r="AH219" s="190">
        <f t="shared" si="130"/>
        <v>9626.9937234031477</v>
      </c>
    </row>
    <row r="220" spans="1:34">
      <c r="A220" t="s">
        <v>403</v>
      </c>
      <c r="C220" s="331">
        <f>SUM(C116:C117)</f>
        <v>3985.5199999999995</v>
      </c>
      <c r="D220" s="331">
        <f t="shared" ref="D220:AH220" si="131">SUM(D116:D117)</f>
        <v>4451.6521207757478</v>
      </c>
      <c r="E220" s="331">
        <f t="shared" si="131"/>
        <v>4034.5638356973232</v>
      </c>
      <c r="F220" s="331">
        <f t="shared" si="131"/>
        <v>4194.2999444361176</v>
      </c>
      <c r="G220" s="331">
        <f t="shared" si="131"/>
        <v>4030.9097808982488</v>
      </c>
      <c r="H220" s="402">
        <f t="shared" si="131"/>
        <v>4089.9727436627745</v>
      </c>
      <c r="I220" s="14">
        <f t="shared" si="131"/>
        <v>4193.3334263291272</v>
      </c>
      <c r="J220" s="14">
        <f t="shared" si="131"/>
        <v>4358.1116454206394</v>
      </c>
      <c r="K220" s="14">
        <f t="shared" si="131"/>
        <v>4342.6514069239092</v>
      </c>
      <c r="L220" s="14">
        <f t="shared" si="131"/>
        <v>4348.5674676832823</v>
      </c>
      <c r="M220" s="14">
        <f t="shared" si="131"/>
        <v>4379.8959855933699</v>
      </c>
      <c r="N220" s="187">
        <f t="shared" si="131"/>
        <v>4422.8121362975444</v>
      </c>
      <c r="O220" s="14">
        <f t="shared" si="131"/>
        <v>4472.4691844173622</v>
      </c>
      <c r="P220" s="14">
        <f t="shared" si="131"/>
        <v>4528.5864700180146</v>
      </c>
      <c r="Q220" s="14">
        <f t="shared" si="131"/>
        <v>4630.5746243228677</v>
      </c>
      <c r="R220" s="14">
        <f t="shared" si="131"/>
        <v>4696.329862982363</v>
      </c>
      <c r="S220" s="14">
        <f t="shared" si="131"/>
        <v>4753.7447842191668</v>
      </c>
      <c r="T220" s="14">
        <f t="shared" si="131"/>
        <v>4784.1195913060965</v>
      </c>
      <c r="U220" s="14">
        <f t="shared" si="131"/>
        <v>4809.0048508290747</v>
      </c>
      <c r="V220" s="14">
        <f t="shared" si="131"/>
        <v>4836.3131608578105</v>
      </c>
      <c r="W220" s="14">
        <f t="shared" si="131"/>
        <v>4862.5109303435338</v>
      </c>
      <c r="X220" s="187">
        <f t="shared" si="131"/>
        <v>4879.0013268713328</v>
      </c>
      <c r="Y220" s="158">
        <f t="shared" si="131"/>
        <v>4881.4083162531897</v>
      </c>
      <c r="Z220" s="158">
        <f t="shared" si="131"/>
        <v>4892.5089489583861</v>
      </c>
      <c r="AA220" s="158">
        <f t="shared" si="131"/>
        <v>4894.9437216017841</v>
      </c>
      <c r="AB220" s="158">
        <f t="shared" si="131"/>
        <v>4904.2618601605109</v>
      </c>
      <c r="AC220" s="158">
        <f t="shared" si="131"/>
        <v>4926.7082501140085</v>
      </c>
      <c r="AD220" s="158">
        <f t="shared" si="131"/>
        <v>4944.4809531963238</v>
      </c>
      <c r="AE220" s="158">
        <f t="shared" si="131"/>
        <v>4982.8326733269805</v>
      </c>
      <c r="AF220" s="158">
        <f t="shared" si="131"/>
        <v>5026.2638997282429</v>
      </c>
      <c r="AG220" s="158">
        <f t="shared" si="131"/>
        <v>5053.7521706642519</v>
      </c>
      <c r="AH220" s="187">
        <f t="shared" si="131"/>
        <v>5066.8388017911302</v>
      </c>
    </row>
    <row r="221" spans="1:34">
      <c r="A221" t="s">
        <v>404</v>
      </c>
      <c r="C221" s="331">
        <f>SUM(C143:C144)</f>
        <v>3586.9679999999998</v>
      </c>
      <c r="D221" s="331">
        <f t="shared" ref="D221:AH221" si="132">SUM(D143:D144)</f>
        <v>4006.4869086981735</v>
      </c>
      <c r="E221" s="331">
        <f t="shared" si="132"/>
        <v>3631.1074521275909</v>
      </c>
      <c r="F221" s="331">
        <f t="shared" si="132"/>
        <v>3774.869949992506</v>
      </c>
      <c r="G221" s="331">
        <f t="shared" si="132"/>
        <v>3627.8188028084242</v>
      </c>
      <c r="H221" s="402">
        <f t="shared" si="132"/>
        <v>3680.9754692964975</v>
      </c>
      <c r="I221" s="14">
        <f t="shared" si="132"/>
        <v>3774.0000836962145</v>
      </c>
      <c r="J221" s="14">
        <f t="shared" si="132"/>
        <v>3922.3004808785754</v>
      </c>
      <c r="K221" s="14">
        <f t="shared" si="132"/>
        <v>3908.3862662315187</v>
      </c>
      <c r="L221" s="14">
        <f t="shared" si="132"/>
        <v>3913.7107209149544</v>
      </c>
      <c r="M221" s="14">
        <f t="shared" si="132"/>
        <v>3941.9063870340324</v>
      </c>
      <c r="N221" s="187">
        <f t="shared" si="132"/>
        <v>3980.53092266779</v>
      </c>
      <c r="O221" s="14">
        <f t="shared" si="132"/>
        <v>4025.2222659756262</v>
      </c>
      <c r="P221" s="14">
        <f t="shared" si="132"/>
        <v>4075.7278230162128</v>
      </c>
      <c r="Q221" s="14">
        <f t="shared" si="132"/>
        <v>4167.5171618905806</v>
      </c>
      <c r="R221" s="14">
        <f t="shared" si="132"/>
        <v>4226.6968766841273</v>
      </c>
      <c r="S221" s="14">
        <f t="shared" si="132"/>
        <v>4278.3703057972507</v>
      </c>
      <c r="T221" s="14">
        <f t="shared" si="132"/>
        <v>4305.7076321754867</v>
      </c>
      <c r="U221" s="14">
        <f t="shared" si="132"/>
        <v>4328.1043657461669</v>
      </c>
      <c r="V221" s="14">
        <f t="shared" si="132"/>
        <v>4352.6818447720298</v>
      </c>
      <c r="W221" s="14">
        <f t="shared" si="132"/>
        <v>4376.2598373091805</v>
      </c>
      <c r="X221" s="187">
        <f t="shared" si="132"/>
        <v>4391.1011941841998</v>
      </c>
      <c r="Y221" s="158">
        <f t="shared" si="132"/>
        <v>4393.2674846278705</v>
      </c>
      <c r="Z221" s="158">
        <f t="shared" si="132"/>
        <v>4403.2580540625477</v>
      </c>
      <c r="AA221" s="158">
        <f t="shared" si="132"/>
        <v>4405.4493494416056</v>
      </c>
      <c r="AB221" s="158">
        <f t="shared" si="132"/>
        <v>4413.8356741444604</v>
      </c>
      <c r="AC221" s="158">
        <f t="shared" si="132"/>
        <v>4434.0374251026078</v>
      </c>
      <c r="AD221" s="158">
        <f t="shared" si="132"/>
        <v>4450.0328578766912</v>
      </c>
      <c r="AE221" s="158">
        <f t="shared" si="132"/>
        <v>4484.549405994283</v>
      </c>
      <c r="AF221" s="158">
        <f t="shared" si="132"/>
        <v>4523.6375097554192</v>
      </c>
      <c r="AG221" s="158">
        <f t="shared" si="132"/>
        <v>4548.3769535978263</v>
      </c>
      <c r="AH221" s="187">
        <f t="shared" si="132"/>
        <v>4560.1549216120175</v>
      </c>
    </row>
    <row r="222" spans="1:34">
      <c r="A222" s="1" t="s">
        <v>426</v>
      </c>
      <c r="C222" s="331">
        <f>SUM(C210,C213,C216,C219)</f>
        <v>11063.60701</v>
      </c>
      <c r="D222" s="331">
        <f t="shared" ref="D222:AH222" si="133">SUM(D210,D213,D216,D219)</f>
        <v>12386.489632182813</v>
      </c>
      <c r="E222" s="331">
        <f t="shared" si="133"/>
        <v>11260.394158430256</v>
      </c>
      <c r="F222" s="331">
        <f t="shared" si="133"/>
        <v>11727.376393802362</v>
      </c>
      <c r="G222" s="331">
        <f t="shared" si="133"/>
        <v>11297.728888330577</v>
      </c>
      <c r="H222" s="402">
        <f t="shared" si="133"/>
        <v>11083.88499916163</v>
      </c>
      <c r="I222" s="14">
        <f t="shared" si="133"/>
        <v>11443.210770788877</v>
      </c>
      <c r="J222" s="14">
        <f t="shared" si="133"/>
        <v>11979.313493079866</v>
      </c>
      <c r="K222" s="14">
        <f t="shared" si="133"/>
        <v>12025.007600439283</v>
      </c>
      <c r="L222" s="14">
        <f t="shared" si="133"/>
        <v>12137.990907771155</v>
      </c>
      <c r="M222" s="14">
        <f t="shared" si="133"/>
        <v>12328.132275349195</v>
      </c>
      <c r="N222" s="187">
        <f t="shared" si="133"/>
        <v>12558.521546084925</v>
      </c>
      <c r="O222" s="14">
        <f t="shared" si="133"/>
        <v>12746.077238415295</v>
      </c>
      <c r="P222" s="14">
        <f t="shared" si="133"/>
        <v>12960.525656086007</v>
      </c>
      <c r="Q222" s="14">
        <f t="shared" si="133"/>
        <v>13316.287339471517</v>
      </c>
      <c r="R222" s="14">
        <f t="shared" si="133"/>
        <v>13579.295454182176</v>
      </c>
      <c r="S222" s="14">
        <f t="shared" si="133"/>
        <v>13830.091671540589</v>
      </c>
      <c r="T222" s="14">
        <f t="shared" si="133"/>
        <v>14014.577334774809</v>
      </c>
      <c r="U222" s="14">
        <f t="shared" si="133"/>
        <v>14196.112965712744</v>
      </c>
      <c r="V222" s="14">
        <f t="shared" si="133"/>
        <v>14399.164110707505</v>
      </c>
      <c r="W222" s="14">
        <f t="shared" si="133"/>
        <v>14614.772848877019</v>
      </c>
      <c r="X222" s="187">
        <f t="shared" si="133"/>
        <v>14818.452632829441</v>
      </c>
      <c r="Y222" s="158">
        <f t="shared" si="133"/>
        <v>14923.36228211942</v>
      </c>
      <c r="Z222" s="158">
        <f t="shared" si="133"/>
        <v>15061.50390586723</v>
      </c>
      <c r="AA222" s="158">
        <f t="shared" si="133"/>
        <v>15180.056013229454</v>
      </c>
      <c r="AB222" s="158">
        <f t="shared" si="133"/>
        <v>15327.434132377717</v>
      </c>
      <c r="AC222" s="158">
        <f t="shared" si="133"/>
        <v>15524.296816483789</v>
      </c>
      <c r="AD222" s="158">
        <f t="shared" si="133"/>
        <v>15715.711330586475</v>
      </c>
      <c r="AE222" s="158">
        <f t="shared" si="133"/>
        <v>15982.872603023545</v>
      </c>
      <c r="AF222" s="158">
        <f t="shared" si="133"/>
        <v>16278.208114271556</v>
      </c>
      <c r="AG222" s="158">
        <f t="shared" si="133"/>
        <v>16534.363773882043</v>
      </c>
      <c r="AH222" s="187">
        <f t="shared" si="133"/>
        <v>16755.726572220516</v>
      </c>
    </row>
    <row r="223" spans="1:34" s="1" customFormat="1">
      <c r="A223" s="1" t="s">
        <v>444</v>
      </c>
      <c r="B223" s="13"/>
      <c r="C223" s="328" t="s">
        <v>0</v>
      </c>
      <c r="D223" s="341">
        <f>D210+D213</f>
        <v>672.55313063211929</v>
      </c>
      <c r="E223" s="341">
        <f t="shared" ref="E223:AH223" si="134">E210+E213</f>
        <v>650.51918203353762</v>
      </c>
      <c r="F223" s="341">
        <f t="shared" si="134"/>
        <v>718.04608975168776</v>
      </c>
      <c r="G223" s="341">
        <f t="shared" si="134"/>
        <v>733.60187370194103</v>
      </c>
      <c r="H223" s="405">
        <f>H210+H213</f>
        <v>677.03979635471569</v>
      </c>
      <c r="I223" s="15">
        <f t="shared" si="134"/>
        <v>741.14225632902912</v>
      </c>
      <c r="J223" s="15">
        <f t="shared" si="134"/>
        <v>822.53239071875009</v>
      </c>
      <c r="K223" s="15">
        <f t="shared" si="134"/>
        <v>874.8261169724035</v>
      </c>
      <c r="L223" s="15">
        <f t="shared" si="134"/>
        <v>936.07629554415598</v>
      </c>
      <c r="M223" s="15">
        <f t="shared" si="134"/>
        <v>1007.695541957092</v>
      </c>
      <c r="N223" s="190">
        <f t="shared" si="134"/>
        <v>1087.8624560250505</v>
      </c>
      <c r="O223" s="15">
        <f t="shared" si="134"/>
        <v>1180.6356877603755</v>
      </c>
      <c r="P223" s="15">
        <f t="shared" si="134"/>
        <v>1283.4368465952416</v>
      </c>
      <c r="Q223" s="15">
        <f t="shared" si="134"/>
        <v>1409.441803112572</v>
      </c>
      <c r="R223" s="15">
        <f t="shared" si="134"/>
        <v>1535.8803897233827</v>
      </c>
      <c r="S223" s="15">
        <f t="shared" si="134"/>
        <v>1671.1444717624322</v>
      </c>
      <c r="T223" s="15">
        <f t="shared" si="134"/>
        <v>1808.6543830603082</v>
      </c>
      <c r="U223" s="15">
        <f t="shared" si="134"/>
        <v>1956.1941541047695</v>
      </c>
      <c r="V223" s="15">
        <f t="shared" si="134"/>
        <v>2117.9563060878345</v>
      </c>
      <c r="W223" s="15">
        <f t="shared" si="134"/>
        <v>2293.8753872777588</v>
      </c>
      <c r="X223" s="190">
        <f t="shared" si="134"/>
        <v>2481.0341318657233</v>
      </c>
      <c r="Y223" s="130">
        <f t="shared" si="134"/>
        <v>2594.4184661828649</v>
      </c>
      <c r="Z223" s="130">
        <f t="shared" si="134"/>
        <v>2718.4978622221834</v>
      </c>
      <c r="AA223" s="130">
        <f t="shared" si="134"/>
        <v>2844.2281359355734</v>
      </c>
      <c r="AB223" s="130">
        <f t="shared" si="134"/>
        <v>2980.7880776733432</v>
      </c>
      <c r="AC223" s="130">
        <f t="shared" si="134"/>
        <v>3133.1539028220177</v>
      </c>
      <c r="AD223" s="130">
        <f t="shared" si="134"/>
        <v>3291.1596591388115</v>
      </c>
      <c r="AE223" s="130">
        <f t="shared" si="134"/>
        <v>3472.5436332532886</v>
      </c>
      <c r="AF223" s="130">
        <f t="shared" si="134"/>
        <v>3668.6750371557146</v>
      </c>
      <c r="AG223" s="130">
        <f t="shared" si="134"/>
        <v>3864.8397089866176</v>
      </c>
      <c r="AH223" s="190">
        <f t="shared" si="134"/>
        <v>4061.4168689091839</v>
      </c>
    </row>
    <row r="224" spans="1:34">
      <c r="A224" t="s">
        <v>447</v>
      </c>
      <c r="D224" s="331">
        <f>D210+D213+D216</f>
        <v>3928.3506027088906</v>
      </c>
      <c r="E224" s="331">
        <f t="shared" ref="E224:AH224" si="135">E210+E213+E216</f>
        <v>3594.722870605342</v>
      </c>
      <c r="F224" s="331">
        <f t="shared" si="135"/>
        <v>3758.206499373739</v>
      </c>
      <c r="G224" s="331">
        <f t="shared" si="135"/>
        <v>3639.0003046239035</v>
      </c>
      <c r="H224" s="402">
        <f t="shared" si="135"/>
        <v>3312.9367862023564</v>
      </c>
      <c r="I224" s="14">
        <f t="shared" si="135"/>
        <v>3475.8772607635356</v>
      </c>
      <c r="J224" s="14">
        <f t="shared" si="135"/>
        <v>3698.9013667806503</v>
      </c>
      <c r="K224" s="14">
        <f t="shared" si="135"/>
        <v>3773.9699272838561</v>
      </c>
      <c r="L224" s="14">
        <f t="shared" si="135"/>
        <v>3875.7127191729173</v>
      </c>
      <c r="M224" s="14">
        <f t="shared" si="135"/>
        <v>4006.3299027217936</v>
      </c>
      <c r="N224" s="187">
        <f t="shared" si="135"/>
        <v>4155.1784871195905</v>
      </c>
      <c r="O224" s="14">
        <f t="shared" si="135"/>
        <v>4248.3857880223077</v>
      </c>
      <c r="P224" s="14">
        <f t="shared" si="135"/>
        <v>4356.2113630517806</v>
      </c>
      <c r="Q224" s="14">
        <f t="shared" si="135"/>
        <v>4518.1955532580696</v>
      </c>
      <c r="R224" s="14">
        <f t="shared" si="135"/>
        <v>4656.268714515687</v>
      </c>
      <c r="S224" s="14">
        <f t="shared" si="135"/>
        <v>4797.9765815241717</v>
      </c>
      <c r="T224" s="14">
        <f t="shared" si="135"/>
        <v>4924.7501112932259</v>
      </c>
      <c r="U224" s="14">
        <f t="shared" si="135"/>
        <v>5059.0037491375024</v>
      </c>
      <c r="V224" s="14">
        <f t="shared" si="135"/>
        <v>5210.1691050776644</v>
      </c>
      <c r="W224" s="14">
        <f t="shared" si="135"/>
        <v>5376.0020812243047</v>
      </c>
      <c r="X224" s="187">
        <f t="shared" si="135"/>
        <v>5548.3501117739088</v>
      </c>
      <c r="Y224" s="158">
        <f t="shared" si="135"/>
        <v>5648.6864812383592</v>
      </c>
      <c r="Z224" s="158">
        <f t="shared" si="135"/>
        <v>5765.7369028462972</v>
      </c>
      <c r="AA224" s="158">
        <f t="shared" si="135"/>
        <v>5879.6629421860653</v>
      </c>
      <c r="AB224" s="158">
        <f t="shared" si="135"/>
        <v>6009.3365980727449</v>
      </c>
      <c r="AC224" s="158">
        <f t="shared" si="135"/>
        <v>6163.5511412671731</v>
      </c>
      <c r="AD224" s="158">
        <f t="shared" si="135"/>
        <v>6321.1975195134601</v>
      </c>
      <c r="AE224" s="158">
        <f t="shared" si="135"/>
        <v>6515.4905237022813</v>
      </c>
      <c r="AF224" s="158">
        <f t="shared" si="135"/>
        <v>6728.306704787894</v>
      </c>
      <c r="AG224" s="158">
        <f t="shared" si="135"/>
        <v>6932.2346496199652</v>
      </c>
      <c r="AH224" s="187">
        <f t="shared" si="135"/>
        <v>7128.7328488173689</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672.55313063211929</v>
      </c>
      <c r="E226" s="331">
        <f>D226+E210+E213</f>
        <v>1323.0723126656569</v>
      </c>
      <c r="F226" s="331">
        <f>E226+F210+F213</f>
        <v>2041.1184024173447</v>
      </c>
      <c r="G226" s="331">
        <f>F226+G210+G213</f>
        <v>2774.7202761192857</v>
      </c>
      <c r="H226" s="402">
        <f t="shared" ref="H226:X226" si="136">G226+H210+H213</f>
        <v>3451.7600724740014</v>
      </c>
      <c r="I226" s="14">
        <f t="shared" si="136"/>
        <v>4192.9023288030303</v>
      </c>
      <c r="J226" s="14">
        <f t="shared" si="136"/>
        <v>5015.4347195217806</v>
      </c>
      <c r="K226" s="14">
        <f t="shared" si="136"/>
        <v>5890.2608364941843</v>
      </c>
      <c r="L226" s="14">
        <f t="shared" si="136"/>
        <v>6826.3371320383403</v>
      </c>
      <c r="M226" s="14">
        <f t="shared" si="136"/>
        <v>7834.0326739954326</v>
      </c>
      <c r="N226" s="187">
        <f t="shared" si="136"/>
        <v>8921.8951300204826</v>
      </c>
      <c r="O226" s="14">
        <f t="shared" si="136"/>
        <v>10102.530817780858</v>
      </c>
      <c r="P226" s="14">
        <f t="shared" si="136"/>
        <v>11385.967664376099</v>
      </c>
      <c r="Q226" s="14">
        <f t="shared" si="136"/>
        <v>12795.409467488671</v>
      </c>
      <c r="R226" s="14">
        <f t="shared" si="136"/>
        <v>14331.289857212054</v>
      </c>
      <c r="S226" s="14">
        <f t="shared" si="136"/>
        <v>16002.434328974487</v>
      </c>
      <c r="T226" s="14">
        <f t="shared" si="136"/>
        <v>17811.088712034794</v>
      </c>
      <c r="U226" s="14">
        <f t="shared" si="136"/>
        <v>19767.282866139565</v>
      </c>
      <c r="V226" s="14">
        <f t="shared" si="136"/>
        <v>21885.239172227401</v>
      </c>
      <c r="W226" s="14">
        <f t="shared" si="136"/>
        <v>24179.11455950516</v>
      </c>
      <c r="X226" s="187">
        <f t="shared" si="136"/>
        <v>26660.148691370883</v>
      </c>
      <c r="Y226" s="158">
        <f t="shared" ref="Y226:AH226" si="137">X226+Y210+Y213</f>
        <v>29254.567157553749</v>
      </c>
      <c r="Z226" s="158">
        <f t="shared" si="137"/>
        <v>31973.065019775931</v>
      </c>
      <c r="AA226" s="158">
        <f t="shared" si="137"/>
        <v>34817.293155711508</v>
      </c>
      <c r="AB226" s="158">
        <f t="shared" si="137"/>
        <v>37798.081233384852</v>
      </c>
      <c r="AC226" s="158">
        <f t="shared" si="137"/>
        <v>40931.235136206873</v>
      </c>
      <c r="AD226" s="158">
        <f t="shared" si="137"/>
        <v>44222.394795345681</v>
      </c>
      <c r="AE226" s="158">
        <f t="shared" si="137"/>
        <v>47694.938428598973</v>
      </c>
      <c r="AF226" s="158">
        <f t="shared" si="137"/>
        <v>51363.613465754686</v>
      </c>
      <c r="AG226" s="158">
        <f t="shared" si="137"/>
        <v>55228.453174741306</v>
      </c>
      <c r="AH226" s="187">
        <f t="shared" si="137"/>
        <v>59289.870043650488</v>
      </c>
    </row>
    <row r="227" spans="1:34">
      <c r="A227" s="1" t="s">
        <v>455</v>
      </c>
      <c r="D227" s="331">
        <f>D219</f>
        <v>8458.1390294739213</v>
      </c>
      <c r="E227" s="331">
        <f>D227+E219</f>
        <v>16123.810317298836</v>
      </c>
      <c r="F227" s="331">
        <f>E227+F219</f>
        <v>24092.980211727459</v>
      </c>
      <c r="G227" s="331">
        <f t="shared" ref="G227:X227" si="138">F227+G219</f>
        <v>31751.708795434133</v>
      </c>
      <c r="H227" s="402">
        <f t="shared" si="138"/>
        <v>39522.657008393406</v>
      </c>
      <c r="I227" s="14">
        <f t="shared" si="138"/>
        <v>47489.990518418745</v>
      </c>
      <c r="J227" s="14">
        <f t="shared" si="138"/>
        <v>55770.402644717964</v>
      </c>
      <c r="K227" s="14">
        <f t="shared" si="138"/>
        <v>64021.440317873392</v>
      </c>
      <c r="L227" s="14">
        <f t="shared" si="138"/>
        <v>72283.718506471632</v>
      </c>
      <c r="M227" s="14">
        <f t="shared" si="138"/>
        <v>80605.520879099029</v>
      </c>
      <c r="N227" s="187">
        <f t="shared" si="138"/>
        <v>89008.863938064358</v>
      </c>
      <c r="O227" s="14">
        <f t="shared" si="138"/>
        <v>97506.555388457346</v>
      </c>
      <c r="P227" s="14">
        <f t="shared" si="138"/>
        <v>106110.86968149157</v>
      </c>
      <c r="Q227" s="14">
        <f t="shared" si="138"/>
        <v>114908.96146770503</v>
      </c>
      <c r="R227" s="14">
        <f t="shared" si="138"/>
        <v>123831.98820737151</v>
      </c>
      <c r="S227" s="14">
        <f t="shared" si="138"/>
        <v>132864.10329738792</v>
      </c>
      <c r="T227" s="14">
        <f t="shared" si="138"/>
        <v>141953.9305208695</v>
      </c>
      <c r="U227" s="14">
        <f t="shared" si="138"/>
        <v>151091.03973744475</v>
      </c>
      <c r="V227" s="14">
        <f t="shared" si="138"/>
        <v>160280.03474307459</v>
      </c>
      <c r="W227" s="14">
        <f t="shared" si="138"/>
        <v>169518.80551072731</v>
      </c>
      <c r="X227" s="187">
        <f t="shared" si="138"/>
        <v>178788.90803178283</v>
      </c>
      <c r="Y227" s="158">
        <f t="shared" ref="Y227:AH227" si="139">X227+Y219</f>
        <v>188063.58383266389</v>
      </c>
      <c r="Z227" s="158">
        <f t="shared" si="139"/>
        <v>197359.35083568483</v>
      </c>
      <c r="AA227" s="158">
        <f t="shared" si="139"/>
        <v>206659.74390672822</v>
      </c>
      <c r="AB227" s="158">
        <f t="shared" si="139"/>
        <v>215977.8414410332</v>
      </c>
      <c r="AC227" s="158">
        <f t="shared" si="139"/>
        <v>225338.58711624981</v>
      </c>
      <c r="AD227" s="158">
        <f t="shared" si="139"/>
        <v>234733.10092732281</v>
      </c>
      <c r="AE227" s="158">
        <f t="shared" si="139"/>
        <v>244200.48300664406</v>
      </c>
      <c r="AF227" s="158">
        <f t="shared" si="139"/>
        <v>253750.38441612772</v>
      </c>
      <c r="AG227" s="158">
        <f t="shared" si="139"/>
        <v>263352.51354038983</v>
      </c>
      <c r="AH227" s="187">
        <f t="shared" si="139"/>
        <v>272979.50726379297</v>
      </c>
    </row>
    <row r="228" spans="1:34">
      <c r="A228" s="1" t="s">
        <v>457</v>
      </c>
      <c r="D228" s="331">
        <f t="shared" ref="D228:AH228" si="140">D227-D207</f>
        <v>-580.6929705260809</v>
      </c>
      <c r="E228" s="331">
        <f t="shared" si="140"/>
        <v>-794.53528291000657</v>
      </c>
      <c r="F228" s="331">
        <f t="shared" si="140"/>
        <v>-1149.7590136376566</v>
      </c>
      <c r="G228" s="331">
        <f t="shared" si="140"/>
        <v>-1407.2723709294733</v>
      </c>
      <c r="H228" s="402">
        <f>H227-H207</f>
        <v>-1407.5440709294708</v>
      </c>
      <c r="I228" s="14">
        <f t="shared" si="140"/>
        <v>-1427.6158840585704</v>
      </c>
      <c r="J228" s="14">
        <f t="shared" si="140"/>
        <v>-1489.3967641479103</v>
      </c>
      <c r="K228" s="14">
        <f t="shared" si="140"/>
        <v>-1475.2947998747404</v>
      </c>
      <c r="L228" s="14">
        <f t="shared" si="140"/>
        <v>-1437.685468594791</v>
      </c>
      <c r="M228" s="14">
        <f t="shared" si="140"/>
        <v>-1454.4420555631223</v>
      </c>
      <c r="N228" s="187">
        <f t="shared" si="140"/>
        <v>-1544.825998831293</v>
      </c>
      <c r="O228" s="14">
        <f t="shared" si="140"/>
        <v>-1649.5624123856978</v>
      </c>
      <c r="P228" s="14">
        <f t="shared" si="140"/>
        <v>-1788.6941483617265</v>
      </c>
      <c r="Q228" s="14">
        <f t="shared" si="140"/>
        <v>-1954.6303915893222</v>
      </c>
      <c r="R228" s="14">
        <f t="shared" si="140"/>
        <v>-2169.7606218667061</v>
      </c>
      <c r="S228" s="14">
        <f t="shared" si="140"/>
        <v>-2379.2053174684115</v>
      </c>
      <c r="T228" s="14">
        <f t="shared" si="140"/>
        <v>-2628.381328995747</v>
      </c>
      <c r="U228" s="14">
        <f t="shared" si="140"/>
        <v>-2928.2106636298995</v>
      </c>
      <c r="V228" s="14">
        <f t="shared" si="140"/>
        <v>-3289.357860127493</v>
      </c>
      <c r="W228" s="14">
        <f t="shared" si="140"/>
        <v>-3642.4424713492335</v>
      </c>
      <c r="X228" s="187">
        <f t="shared" si="140"/>
        <v>-4068.0851944042952</v>
      </c>
      <c r="Y228" s="158">
        <f t="shared" si="140"/>
        <v>-4531.3130193067773</v>
      </c>
      <c r="Z228" s="158">
        <f t="shared" si="140"/>
        <v>-5045.387638354674</v>
      </c>
      <c r="AA228" s="158">
        <f t="shared" si="140"/>
        <v>-5604.4191573068674</v>
      </c>
      <c r="AB228" s="158">
        <f t="shared" si="140"/>
        <v>-6216.1688663770037</v>
      </c>
      <c r="AC228" s="158">
        <f t="shared" si="140"/>
        <v>-6897.7788628718117</v>
      </c>
      <c r="AD228" s="158">
        <f t="shared" si="140"/>
        <v>-7645.9192037552421</v>
      </c>
      <c r="AE228" s="158">
        <f t="shared" si="140"/>
        <v>-8481.9690471302602</v>
      </c>
      <c r="AF228" s="158">
        <f t="shared" si="140"/>
        <v>-9413.9769085141888</v>
      </c>
      <c r="AG228" s="158">
        <f t="shared" si="140"/>
        <v>-10434.115391701402</v>
      </c>
      <c r="AH228" s="187">
        <f t="shared" si="140"/>
        <v>-11538.526917729294</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72.85100063211928</v>
      </c>
      <c r="E234" s="331">
        <f t="shared" si="145"/>
        <v>35.274693250981841</v>
      </c>
      <c r="F234" s="331">
        <f t="shared" si="145"/>
        <v>123.9156741650047</v>
      </c>
      <c r="G234" s="331">
        <f t="shared" si="145"/>
        <v>75.544841843239624</v>
      </c>
      <c r="H234" s="402">
        <f>H213-H194</f>
        <v>-2.7000000000043656E-4</v>
      </c>
      <c r="I234" s="14">
        <f t="shared" si="145"/>
        <v>39.254778575383625</v>
      </c>
      <c r="J234" s="14">
        <f t="shared" si="145"/>
        <v>79.914188923663687</v>
      </c>
      <c r="K234" s="14">
        <f t="shared" si="145"/>
        <v>69.493219248930018</v>
      </c>
      <c r="L234" s="14">
        <f t="shared" si="145"/>
        <v>94.707594573504593</v>
      </c>
      <c r="M234" s="14">
        <f t="shared" si="145"/>
        <v>132.53305688940259</v>
      </c>
      <c r="N234" s="187">
        <f t="shared" si="145"/>
        <v>169.6795036430043</v>
      </c>
      <c r="O234" s="14">
        <f t="shared" si="145"/>
        <v>196.05215771472763</v>
      </c>
      <c r="P234" s="14">
        <f t="shared" si="145"/>
        <v>253.80531733873158</v>
      </c>
      <c r="Q234" s="14">
        <f t="shared" si="145"/>
        <v>250.64041093875448</v>
      </c>
      <c r="R234" s="14">
        <f t="shared" si="145"/>
        <v>326.73601090866237</v>
      </c>
      <c r="S234" s="14">
        <f t="shared" si="145"/>
        <v>305.85936810390695</v>
      </c>
      <c r="T234" s="14">
        <f t="shared" si="145"/>
        <v>397.43987896926546</v>
      </c>
      <c r="U234" s="14">
        <f t="shared" si="145"/>
        <v>513.70747136811724</v>
      </c>
      <c r="V234" s="14">
        <f t="shared" si="145"/>
        <v>646.30423813523385</v>
      </c>
      <c r="W234" s="14">
        <f t="shared" si="145"/>
        <v>645.68508213618475</v>
      </c>
      <c r="X234" s="187">
        <f t="shared" si="145"/>
        <v>806.06748543614799</v>
      </c>
      <c r="Y234" s="158">
        <f t="shared" si="145"/>
        <v>897.02125602024535</v>
      </c>
      <c r="Z234" s="158">
        <f t="shared" si="145"/>
        <v>1004.267128080689</v>
      </c>
      <c r="AA234" s="158">
        <f t="shared" si="145"/>
        <v>1107.431816226971</v>
      </c>
      <c r="AB234" s="158">
        <f t="shared" si="145"/>
        <v>1218.0393876349119</v>
      </c>
      <c r="AC234" s="158">
        <f t="shared" si="145"/>
        <v>1348.2741306236385</v>
      </c>
      <c r="AD234" s="158">
        <f t="shared" si="145"/>
        <v>1475.46514252576</v>
      </c>
      <c r="AE234" s="158">
        <f t="shared" si="145"/>
        <v>1623.5740151485716</v>
      </c>
      <c r="AF234" s="158">
        <f t="shared" si="145"/>
        <v>1781.3881957658509</v>
      </c>
      <c r="AG234" s="158">
        <f t="shared" si="145"/>
        <v>1937.6413662139576</v>
      </c>
      <c r="AH234" s="187">
        <f t="shared" si="145"/>
        <v>2098.5938156591069</v>
      </c>
    </row>
    <row r="235" spans="1:34">
      <c r="A235" t="s">
        <v>418</v>
      </c>
      <c r="C235" s="331">
        <f t="shared" ref="C235:AH235" si="146">C214-C195</f>
        <v>0</v>
      </c>
      <c r="D235" s="331">
        <f t="shared" si="146"/>
        <v>38.342792579137267</v>
      </c>
      <c r="E235" s="331">
        <f t="shared" si="146"/>
        <v>18.565775647857663</v>
      </c>
      <c r="F235" s="331">
        <f t="shared" si="146"/>
        <v>65.218930758546378</v>
      </c>
      <c r="G235" s="331">
        <f t="shared" si="146"/>
        <v>39.760593476377551</v>
      </c>
      <c r="H235" s="402">
        <f t="shared" si="146"/>
        <v>0</v>
      </c>
      <c r="I235" s="14">
        <f t="shared" si="146"/>
        <v>20.660557634561712</v>
      </c>
      <c r="J235" s="14">
        <f t="shared" si="146"/>
        <v>42.060255404733994</v>
      </c>
      <c r="K235" s="14">
        <f t="shared" si="146"/>
        <v>36.575536226665804</v>
      </c>
      <c r="L235" s="14">
        <f t="shared" si="146"/>
        <v>49.846262768293172</v>
      </c>
      <c r="M235" s="14">
        <f t="shared" si="146"/>
        <v>69.754404551301093</v>
      </c>
      <c r="N235" s="187">
        <f t="shared" si="146"/>
        <v>89.305170283626524</v>
      </c>
      <c r="O235" s="14">
        <f t="shared" si="146"/>
        <v>103.18552889022624</v>
      </c>
      <c r="P235" s="14">
        <f t="shared" si="146"/>
        <v>133.58194460265963</v>
      </c>
      <c r="Q235" s="14">
        <f t="shared" si="146"/>
        <v>131.91622389367581</v>
      </c>
      <c r="R235" s="14">
        <f t="shared" si="146"/>
        <v>171.96655923595381</v>
      </c>
      <c r="S235" s="14">
        <f t="shared" si="146"/>
        <v>160.97887343115531</v>
      </c>
      <c r="T235" s="14">
        <f t="shared" si="146"/>
        <v>209.17916358978857</v>
      </c>
      <c r="U235" s="14">
        <f t="shared" si="146"/>
        <v>270.37265610782447</v>
      </c>
      <c r="V235" s="14">
        <f t="shared" si="146"/>
        <v>340.16045312611618</v>
      </c>
      <c r="W235" s="14">
        <f t="shared" si="146"/>
        <v>339.83460877430707</v>
      </c>
      <c r="X235" s="187">
        <f t="shared" si="146"/>
        <v>424.2464289509918</v>
      </c>
      <c r="Y235" s="158">
        <f t="shared" si="146"/>
        <v>472.11685206983145</v>
      </c>
      <c r="Z235" s="158">
        <f t="shared" si="146"/>
        <v>528.56206709463299</v>
      </c>
      <c r="AA235" s="158">
        <f t="shared" si="146"/>
        <v>582.85929084116833</v>
      </c>
      <c r="AB235" s="158">
        <f t="shared" si="146"/>
        <v>641.07382324360958</v>
      </c>
      <c r="AC235" s="158">
        <f t="shared" si="146"/>
        <v>709.61844839797209</v>
      </c>
      <c r="AD235" s="158">
        <f t="shared" si="146"/>
        <v>776.56111069542317</v>
      </c>
      <c r="AE235" s="158">
        <f t="shared" si="146"/>
        <v>854.51317699038327</v>
      </c>
      <c r="AF235" s="158">
        <f t="shared" si="146"/>
        <v>937.5733024069674</v>
      </c>
      <c r="AG235" s="158">
        <f t="shared" si="146"/>
        <v>1019.8118435291353</v>
      </c>
      <c r="AH235" s="187">
        <f t="shared" si="146"/>
        <v>1104.5236894504289</v>
      </c>
    </row>
    <row r="236" spans="1:34">
      <c r="A236" t="s">
        <v>419</v>
      </c>
      <c r="C236" s="331">
        <f t="shared" ref="C236:AH236" si="147">C215-C196</f>
        <v>-2.7000000000043656E-4</v>
      </c>
      <c r="D236" s="331">
        <f t="shared" si="147"/>
        <v>34.508208052981956</v>
      </c>
      <c r="E236" s="331">
        <f t="shared" si="147"/>
        <v>16.708917603124121</v>
      </c>
      <c r="F236" s="331">
        <f t="shared" si="147"/>
        <v>58.696743406458324</v>
      </c>
      <c r="G236" s="331">
        <f t="shared" si="147"/>
        <v>35.784248366862016</v>
      </c>
      <c r="H236" s="402">
        <f>H215-H196</f>
        <v>-2.7000000000043656E-4</v>
      </c>
      <c r="I236" s="14">
        <f t="shared" si="147"/>
        <v>18.594220940822026</v>
      </c>
      <c r="J236" s="14">
        <f t="shared" si="147"/>
        <v>37.853933518929637</v>
      </c>
      <c r="K236" s="14">
        <f t="shared" si="147"/>
        <v>32.9176830222641</v>
      </c>
      <c r="L236" s="14">
        <f t="shared" si="147"/>
        <v>44.861331805211535</v>
      </c>
      <c r="M236" s="14">
        <f t="shared" si="147"/>
        <v>62.778652338101551</v>
      </c>
      <c r="N236" s="187">
        <f t="shared" si="147"/>
        <v>80.374333359377658</v>
      </c>
      <c r="O236" s="14">
        <f t="shared" si="147"/>
        <v>92.866628824501447</v>
      </c>
      <c r="P236" s="14">
        <f t="shared" si="147"/>
        <v>120.22337273607212</v>
      </c>
      <c r="Q236" s="14">
        <f t="shared" si="147"/>
        <v>118.72418704507891</v>
      </c>
      <c r="R236" s="14">
        <f t="shared" si="147"/>
        <v>154.76945167270867</v>
      </c>
      <c r="S236" s="14">
        <f t="shared" si="147"/>
        <v>144.88049467275164</v>
      </c>
      <c r="T236" s="14">
        <f t="shared" si="147"/>
        <v>188.26071537947678</v>
      </c>
      <c r="U236" s="14">
        <f t="shared" si="147"/>
        <v>243.33481526029277</v>
      </c>
      <c r="V236" s="14">
        <f t="shared" si="147"/>
        <v>306.14378500911755</v>
      </c>
      <c r="W236" s="14">
        <f t="shared" si="147"/>
        <v>305.85047336187768</v>
      </c>
      <c r="X236" s="187">
        <f t="shared" si="147"/>
        <v>381.82105648515619</v>
      </c>
      <c r="Y236" s="158">
        <f t="shared" si="147"/>
        <v>424.90440395041378</v>
      </c>
      <c r="Z236" s="158">
        <f t="shared" si="147"/>
        <v>475.70506098605574</v>
      </c>
      <c r="AA236" s="158">
        <f t="shared" si="147"/>
        <v>524.57252538580269</v>
      </c>
      <c r="AB236" s="158">
        <f t="shared" si="147"/>
        <v>576.96556439130234</v>
      </c>
      <c r="AC236" s="158">
        <f t="shared" si="147"/>
        <v>638.65568222566674</v>
      </c>
      <c r="AD236" s="158">
        <f t="shared" si="147"/>
        <v>698.90403183033686</v>
      </c>
      <c r="AE236" s="158">
        <f t="shared" si="147"/>
        <v>769.06083815818829</v>
      </c>
      <c r="AF236" s="158">
        <f t="shared" si="147"/>
        <v>843.81489335888386</v>
      </c>
      <c r="AG236" s="158">
        <f t="shared" si="147"/>
        <v>917.82952268482234</v>
      </c>
      <c r="AH236" s="187">
        <f t="shared" si="147"/>
        <v>994.07012620867806</v>
      </c>
    </row>
    <row r="237" spans="1:34">
      <c r="A237" t="s">
        <v>420</v>
      </c>
      <c r="C237" s="331">
        <f t="shared" ref="C237:AH237" si="148">C216-C197</f>
        <v>0</v>
      </c>
      <c r="D237" s="331">
        <f t="shared" si="148"/>
        <v>690.76232207677094</v>
      </c>
      <c r="E237" s="331">
        <f t="shared" si="148"/>
        <v>248.56652369940366</v>
      </c>
      <c r="F237" s="331">
        <f t="shared" si="148"/>
        <v>369.41254765935128</v>
      </c>
      <c r="G237" s="331">
        <f t="shared" si="148"/>
        <v>277.30110323581494</v>
      </c>
      <c r="H237" s="402">
        <f t="shared" si="148"/>
        <v>0</v>
      </c>
      <c r="I237" s="14">
        <f t="shared" si="148"/>
        <v>-1.2296786067404355</v>
      </c>
      <c r="J237" s="14">
        <f t="shared" si="148"/>
        <v>24.491081915551604</v>
      </c>
      <c r="K237" s="14">
        <f t="shared" si="148"/>
        <v>-65.404076069693929</v>
      </c>
      <c r="L237" s="14">
        <f t="shared" si="148"/>
        <v>-112.39537357003928</v>
      </c>
      <c r="M237" s="14">
        <f t="shared" si="148"/>
        <v>-68.681593550301386</v>
      </c>
      <c r="N237" s="187">
        <f t="shared" si="148"/>
        <v>0</v>
      </c>
      <c r="O237" s="14">
        <f t="shared" si="148"/>
        <v>0.43406916739149892</v>
      </c>
      <c r="P237" s="14">
        <f t="shared" si="148"/>
        <v>5.4585109551776441</v>
      </c>
      <c r="Q237" s="14">
        <f t="shared" si="148"/>
        <v>41.437719050957185</v>
      </c>
      <c r="R237" s="14">
        <f t="shared" si="148"/>
        <v>53.07237047730132</v>
      </c>
      <c r="S237" s="14">
        <f t="shared" si="148"/>
        <v>59.509949100751328</v>
      </c>
      <c r="T237" s="14">
        <f t="shared" si="148"/>
        <v>48.779722731555921</v>
      </c>
      <c r="U237" s="14">
        <f t="shared" si="148"/>
        <v>35.493615124550615</v>
      </c>
      <c r="V237" s="14">
        <f t="shared" si="148"/>
        <v>24.896819081648118</v>
      </c>
      <c r="W237" s="14">
        <f t="shared" si="148"/>
        <v>14.810662852005407</v>
      </c>
      <c r="X237" s="187">
        <f t="shared" si="148"/>
        <v>0</v>
      </c>
      <c r="Y237" s="158">
        <f t="shared" si="148"/>
        <v>-13.047964852687983</v>
      </c>
      <c r="Z237" s="158">
        <f t="shared" si="148"/>
        <v>-20.076964877247519</v>
      </c>
      <c r="AA237" s="158">
        <f t="shared" si="148"/>
        <v>-31.881135267920399</v>
      </c>
      <c r="AB237" s="158">
        <f t="shared" si="148"/>
        <v>-38.767459508780576</v>
      </c>
      <c r="AC237" s="158">
        <f t="shared" si="148"/>
        <v>-36.918792649385068</v>
      </c>
      <c r="AD237" s="158">
        <f t="shared" si="148"/>
        <v>-37.278170719891477</v>
      </c>
      <c r="AE237" s="158">
        <f t="shared" si="148"/>
        <v>-24.369140645547759</v>
      </c>
      <c r="AF237" s="158">
        <f t="shared" si="148"/>
        <v>-7.6843634623614889</v>
      </c>
      <c r="AG237" s="158">
        <f t="shared" si="148"/>
        <v>7.8960725165870826E-2</v>
      </c>
      <c r="AH237" s="187">
        <f t="shared" si="148"/>
        <v>0</v>
      </c>
    </row>
    <row r="238" spans="1:34">
      <c r="A238" t="s">
        <v>421</v>
      </c>
      <c r="C238" s="331">
        <f t="shared" ref="C238:AH238" si="149">C217-C198</f>
        <v>0</v>
      </c>
      <c r="D238" s="331">
        <f t="shared" si="149"/>
        <v>363.55911688251103</v>
      </c>
      <c r="E238" s="331">
        <f t="shared" si="149"/>
        <v>130.82448615758085</v>
      </c>
      <c r="F238" s="331">
        <f t="shared" si="149"/>
        <v>194.42765666281662</v>
      </c>
      <c r="G238" s="331">
        <f t="shared" si="149"/>
        <v>145.94794907148139</v>
      </c>
      <c r="H238" s="402">
        <f t="shared" si="149"/>
        <v>0</v>
      </c>
      <c r="I238" s="14">
        <f t="shared" si="149"/>
        <v>-0.64719926670545647</v>
      </c>
      <c r="J238" s="14">
        <f t="shared" si="149"/>
        <v>12.890043113448428</v>
      </c>
      <c r="K238" s="14">
        <f t="shared" si="149"/>
        <v>-34.42319793141769</v>
      </c>
      <c r="L238" s="14">
        <f t="shared" si="149"/>
        <v>-59.155459773704933</v>
      </c>
      <c r="M238" s="14">
        <f t="shared" si="149"/>
        <v>-36.148207131737536</v>
      </c>
      <c r="N238" s="187">
        <f t="shared" si="149"/>
        <v>0</v>
      </c>
      <c r="O238" s="14">
        <f t="shared" si="149"/>
        <v>0.2284574565217099</v>
      </c>
      <c r="P238" s="14">
        <f t="shared" si="149"/>
        <v>2.8729005027250878</v>
      </c>
      <c r="Q238" s="14">
        <f t="shared" si="149"/>
        <v>21.809325816293267</v>
      </c>
      <c r="R238" s="14">
        <f t="shared" si="149"/>
        <v>27.932826567000802</v>
      </c>
      <c r="S238" s="14">
        <f t="shared" si="149"/>
        <v>31.321025842500831</v>
      </c>
      <c r="T238" s="14">
        <f t="shared" si="149"/>
        <v>25.673538279766262</v>
      </c>
      <c r="U238" s="14">
        <f t="shared" si="149"/>
        <v>18.680850065552931</v>
      </c>
      <c r="V238" s="14">
        <f t="shared" si="149"/>
        <v>13.103588990340995</v>
      </c>
      <c r="W238" s="14">
        <f t="shared" si="149"/>
        <v>7.7950857115820327</v>
      </c>
      <c r="X238" s="187">
        <f t="shared" si="149"/>
        <v>1.8189894035458565E-12</v>
      </c>
      <c r="Y238" s="158">
        <f t="shared" si="149"/>
        <v>-6.8673499224673833</v>
      </c>
      <c r="Z238" s="158">
        <f t="shared" si="149"/>
        <v>-10.566823619604065</v>
      </c>
      <c r="AA238" s="158">
        <f t="shared" si="149"/>
        <v>-16.779544877853141</v>
      </c>
      <c r="AB238" s="158">
        <f t="shared" si="149"/>
        <v>-20.403926057252875</v>
      </c>
      <c r="AC238" s="158">
        <f t="shared" si="149"/>
        <v>-19.430943499676232</v>
      </c>
      <c r="AD238" s="158">
        <f t="shared" si="149"/>
        <v>-19.620089852574438</v>
      </c>
      <c r="AE238" s="158">
        <f t="shared" si="149"/>
        <v>-12.825863497656655</v>
      </c>
      <c r="AF238" s="158">
        <f t="shared" si="149"/>
        <v>-4.0444018222954128</v>
      </c>
      <c r="AG238" s="158">
        <f t="shared" si="149"/>
        <v>4.1558276403065975E-2</v>
      </c>
      <c r="AH238" s="187">
        <f t="shared" si="149"/>
        <v>0</v>
      </c>
    </row>
    <row r="239" spans="1:34">
      <c r="A239" t="s">
        <v>422</v>
      </c>
      <c r="C239" s="331">
        <f t="shared" ref="C239:AH239" si="150">C218-C199</f>
        <v>0</v>
      </c>
      <c r="D239" s="331">
        <f t="shared" si="150"/>
        <v>327.20320519425991</v>
      </c>
      <c r="E239" s="331">
        <f t="shared" si="150"/>
        <v>117.74203754182258</v>
      </c>
      <c r="F239" s="331">
        <f t="shared" si="150"/>
        <v>174.98489099653489</v>
      </c>
      <c r="G239" s="331">
        <f t="shared" si="150"/>
        <v>131.35315416433332</v>
      </c>
      <c r="H239" s="402">
        <f t="shared" si="150"/>
        <v>0</v>
      </c>
      <c r="I239" s="14">
        <f t="shared" si="150"/>
        <v>-0.58247934003475166</v>
      </c>
      <c r="J239" s="14">
        <f t="shared" si="150"/>
        <v>11.601038802103403</v>
      </c>
      <c r="K239" s="14">
        <f t="shared" si="150"/>
        <v>-30.980878138276012</v>
      </c>
      <c r="L239" s="14">
        <f t="shared" si="150"/>
        <v>-53.239913796334349</v>
      </c>
      <c r="M239" s="14">
        <f t="shared" si="150"/>
        <v>-32.53338641856385</v>
      </c>
      <c r="N239" s="187">
        <f t="shared" si="150"/>
        <v>0</v>
      </c>
      <c r="O239" s="14">
        <f t="shared" si="150"/>
        <v>0.20561171086956165</v>
      </c>
      <c r="P239" s="14">
        <f t="shared" si="150"/>
        <v>2.5856104524525563</v>
      </c>
      <c r="Q239" s="14">
        <f t="shared" si="150"/>
        <v>19.628393234663918</v>
      </c>
      <c r="R239" s="14">
        <f t="shared" si="150"/>
        <v>25.139543910300745</v>
      </c>
      <c r="S239" s="14">
        <f t="shared" si="150"/>
        <v>28.188923258250497</v>
      </c>
      <c r="T239" s="14">
        <f t="shared" si="150"/>
        <v>23.106184451789431</v>
      </c>
      <c r="U239" s="14">
        <f t="shared" si="150"/>
        <v>16.812765058997684</v>
      </c>
      <c r="V239" s="14">
        <f t="shared" si="150"/>
        <v>11.793230091306896</v>
      </c>
      <c r="W239" s="14">
        <f t="shared" si="150"/>
        <v>7.015577140423602</v>
      </c>
      <c r="X239" s="187">
        <f t="shared" si="150"/>
        <v>0</v>
      </c>
      <c r="Y239" s="158">
        <f t="shared" si="150"/>
        <v>-6.1806149302205995</v>
      </c>
      <c r="Z239" s="158">
        <f t="shared" si="150"/>
        <v>-9.5101412576436815</v>
      </c>
      <c r="AA239" s="158">
        <f t="shared" si="150"/>
        <v>-15.101590390067713</v>
      </c>
      <c r="AB239" s="158">
        <f t="shared" si="150"/>
        <v>-18.363533451527701</v>
      </c>
      <c r="AC239" s="158">
        <f t="shared" si="150"/>
        <v>-17.487849149708836</v>
      </c>
      <c r="AD239" s="158">
        <f t="shared" si="150"/>
        <v>-17.65808086731704</v>
      </c>
      <c r="AE239" s="158">
        <f t="shared" si="150"/>
        <v>-11.543277147891104</v>
      </c>
      <c r="AF239" s="158">
        <f t="shared" si="150"/>
        <v>-3.6399616400660761</v>
      </c>
      <c r="AG239" s="158">
        <f t="shared" si="150"/>
        <v>3.7402448762804852E-2</v>
      </c>
      <c r="AH239" s="187">
        <f t="shared" si="150"/>
        <v>0</v>
      </c>
    </row>
    <row r="240" spans="1:34">
      <c r="A240" t="s">
        <v>394</v>
      </c>
      <c r="C240" s="331">
        <f>C219-C200</f>
        <v>1.4629999999997381</v>
      </c>
      <c r="D240" s="331">
        <f t="shared" ref="D240:AH240" si="151">D219-D200+D249+D252</f>
        <v>-580.6929705260809</v>
      </c>
      <c r="E240" s="331">
        <f t="shared" si="151"/>
        <v>-213.84231238392749</v>
      </c>
      <c r="F240" s="331">
        <f t="shared" si="151"/>
        <v>-355.22373072765004</v>
      </c>
      <c r="G240" s="331">
        <f t="shared" si="151"/>
        <v>-257.51335729181665</v>
      </c>
      <c r="H240" s="402">
        <f t="shared" si="151"/>
        <v>-0.27169999999750871</v>
      </c>
      <c r="I240" s="14">
        <f t="shared" si="151"/>
        <v>-20.071813129095062</v>
      </c>
      <c r="J240" s="14">
        <f t="shared" si="151"/>
        <v>-61.780880089347193</v>
      </c>
      <c r="K240" s="14">
        <f t="shared" si="151"/>
        <v>14.101964273166232</v>
      </c>
      <c r="L240" s="14">
        <f t="shared" si="151"/>
        <v>37.609331279945764</v>
      </c>
      <c r="M240" s="14">
        <f t="shared" si="151"/>
        <v>-16.756586968331248</v>
      </c>
      <c r="N240" s="187">
        <f t="shared" si="151"/>
        <v>-90.383943268167059</v>
      </c>
      <c r="O240" s="14">
        <f t="shared" si="151"/>
        <v>-104.73641355440486</v>
      </c>
      <c r="P240" s="14">
        <f t="shared" si="151"/>
        <v>-139.13173597603418</v>
      </c>
      <c r="Q240" s="14">
        <f t="shared" si="151"/>
        <v>-165.93624322760115</v>
      </c>
      <c r="R240" s="14">
        <f t="shared" si="151"/>
        <v>-215.13023027738382</v>
      </c>
      <c r="S240" s="14">
        <f t="shared" si="151"/>
        <v>-209.44469560170182</v>
      </c>
      <c r="T240" s="14">
        <f t="shared" si="151"/>
        <v>-249.17601152732277</v>
      </c>
      <c r="U240" s="14">
        <f t="shared" si="151"/>
        <v>-299.8293346341743</v>
      </c>
      <c r="V240" s="14">
        <f t="shared" si="151"/>
        <v>-361.1471964975899</v>
      </c>
      <c r="W240" s="14">
        <f t="shared" si="151"/>
        <v>-353.08461122173685</v>
      </c>
      <c r="X240" s="187">
        <f t="shared" si="151"/>
        <v>-425.64272305506711</v>
      </c>
      <c r="Y240" s="158">
        <f t="shared" si="151"/>
        <v>-463.227824902473</v>
      </c>
      <c r="Z240" s="158">
        <f t="shared" si="151"/>
        <v>-514.0746190478967</v>
      </c>
      <c r="AA240" s="158">
        <f t="shared" si="151"/>
        <v>-559.03151895220981</v>
      </c>
      <c r="AB240" s="158">
        <f t="shared" si="151"/>
        <v>-611.74970907015449</v>
      </c>
      <c r="AC240" s="158">
        <f t="shared" si="151"/>
        <v>-681.60999649480618</v>
      </c>
      <c r="AD240" s="158">
        <f t="shared" si="151"/>
        <v>-748.14034088342851</v>
      </c>
      <c r="AE240" s="158">
        <f t="shared" si="151"/>
        <v>-836.04984337501992</v>
      </c>
      <c r="AF240" s="158">
        <f t="shared" si="151"/>
        <v>-932.00786138392141</v>
      </c>
      <c r="AG240" s="158">
        <f t="shared" si="151"/>
        <v>-1020.1384831872347</v>
      </c>
      <c r="AH240" s="187">
        <f t="shared" si="151"/>
        <v>-1104.4115260278795</v>
      </c>
    </row>
    <row r="241" spans="1:34">
      <c r="A241" t="s">
        <v>423</v>
      </c>
      <c r="C241" s="331">
        <f>C220-C201</f>
        <v>0.76999999999952706</v>
      </c>
      <c r="D241" s="331">
        <f t="shared" ref="D241:AH241" si="152">D220-D201+D250+D253</f>
        <v>-305.62787922425287</v>
      </c>
      <c r="E241" s="331">
        <f t="shared" si="152"/>
        <v>-112.54858546522519</v>
      </c>
      <c r="F241" s="331">
        <f t="shared" si="152"/>
        <v>-186.95985827771074</v>
      </c>
      <c r="G241" s="331">
        <f t="shared" si="152"/>
        <v>-135.53334594306125</v>
      </c>
      <c r="H241" s="402">
        <f t="shared" si="152"/>
        <v>-0.14299999999957436</v>
      </c>
      <c r="I241" s="14">
        <f t="shared" si="152"/>
        <v>-10.564112173207832</v>
      </c>
      <c r="J241" s="14">
        <f t="shared" si="152"/>
        <v>-32.51625267860436</v>
      </c>
      <c r="K241" s="14">
        <f t="shared" si="152"/>
        <v>7.4220864595608873</v>
      </c>
      <c r="L241" s="14">
        <f t="shared" si="152"/>
        <v>19.794384884182364</v>
      </c>
      <c r="M241" s="14">
        <f t="shared" si="152"/>
        <v>-8.8192562991216619</v>
      </c>
      <c r="N241" s="187">
        <f t="shared" si="152"/>
        <v>-47.570496456929504</v>
      </c>
      <c r="O241" s="14">
        <f t="shared" si="152"/>
        <v>-55.124428186528348</v>
      </c>
      <c r="P241" s="14">
        <f t="shared" si="152"/>
        <v>-73.227229461070237</v>
      </c>
      <c r="Q241" s="14">
        <f t="shared" si="152"/>
        <v>-87.334864856631611</v>
      </c>
      <c r="R241" s="14">
        <f t="shared" si="152"/>
        <v>-113.22643698809679</v>
      </c>
      <c r="S241" s="14">
        <f t="shared" si="152"/>
        <v>-110.23405031668608</v>
      </c>
      <c r="T241" s="14">
        <f t="shared" si="152"/>
        <v>-131.14526922490586</v>
      </c>
      <c r="U241" s="14">
        <f t="shared" si="152"/>
        <v>-157.80491296535456</v>
      </c>
      <c r="V241" s="14">
        <f t="shared" si="152"/>
        <v>-190.07747184083746</v>
      </c>
      <c r="W241" s="14">
        <f t="shared" si="152"/>
        <v>-185.83400590617657</v>
      </c>
      <c r="X241" s="187">
        <f t="shared" si="152"/>
        <v>-224.02248581845652</v>
      </c>
      <c r="Y241" s="158">
        <f t="shared" si="152"/>
        <v>-243.80411836972326</v>
      </c>
      <c r="Z241" s="158">
        <f t="shared" si="152"/>
        <v>-270.56558897257673</v>
      </c>
      <c r="AA241" s="158">
        <f t="shared" si="152"/>
        <v>-294.22711523800444</v>
      </c>
      <c r="AB241" s="158">
        <f t="shared" si="152"/>
        <v>-321.97353108955576</v>
      </c>
      <c r="AC241" s="158">
        <f t="shared" si="152"/>
        <v>-358.74210341831895</v>
      </c>
      <c r="AD241" s="158">
        <f t="shared" si="152"/>
        <v>-393.7580741491729</v>
      </c>
      <c r="AE241" s="158">
        <f t="shared" si="152"/>
        <v>-440.0262333552746</v>
      </c>
      <c r="AF241" s="158">
        <f t="shared" si="152"/>
        <v>-490.53045335995921</v>
      </c>
      <c r="AG241" s="158">
        <f t="shared" si="152"/>
        <v>-536.91499115117676</v>
      </c>
      <c r="AH241" s="187">
        <f t="shared" si="152"/>
        <v>-581.26922422520056</v>
      </c>
    </row>
    <row r="242" spans="1:34">
      <c r="A242" t="s">
        <v>424</v>
      </c>
      <c r="C242" s="331">
        <f>C221-C202</f>
        <v>0.69299999999975626</v>
      </c>
      <c r="D242" s="331">
        <f t="shared" ref="D242:AH242" si="153">D221-D202+D251+D254</f>
        <v>-275.06509130182712</v>
      </c>
      <c r="E242" s="331">
        <f t="shared" si="153"/>
        <v>-101.29372691870276</v>
      </c>
      <c r="F242" s="331">
        <f t="shared" si="153"/>
        <v>-168.2638724499393</v>
      </c>
      <c r="G242" s="331">
        <f t="shared" si="153"/>
        <v>-121.9800113487554</v>
      </c>
      <c r="H242" s="402">
        <f t="shared" si="153"/>
        <v>-0.12869999999884385</v>
      </c>
      <c r="I242" s="14">
        <f t="shared" si="153"/>
        <v>-9.5077009558872305</v>
      </c>
      <c r="J242" s="14">
        <f t="shared" si="153"/>
        <v>-29.264627410744652</v>
      </c>
      <c r="K242" s="14">
        <f t="shared" si="153"/>
        <v>6.6798778136053443</v>
      </c>
      <c r="L242" s="14">
        <f t="shared" si="153"/>
        <v>17.814946395764309</v>
      </c>
      <c r="M242" s="14">
        <f t="shared" si="153"/>
        <v>-7.9373306692100414</v>
      </c>
      <c r="N242" s="187">
        <f t="shared" si="153"/>
        <v>-42.8134468112371</v>
      </c>
      <c r="O242" s="14">
        <f t="shared" si="153"/>
        <v>-49.611985367875604</v>
      </c>
      <c r="P242" s="14">
        <f t="shared" si="153"/>
        <v>-65.904506514963941</v>
      </c>
      <c r="Q242" s="14">
        <f t="shared" si="153"/>
        <v>-78.601378370969542</v>
      </c>
      <c r="R242" s="14">
        <f t="shared" si="153"/>
        <v>-101.90379328928702</v>
      </c>
      <c r="S242" s="14">
        <f t="shared" si="153"/>
        <v>-99.210645285016653</v>
      </c>
      <c r="T242" s="14">
        <f t="shared" si="153"/>
        <v>-118.030742302416</v>
      </c>
      <c r="U242" s="14">
        <f t="shared" si="153"/>
        <v>-142.02442166881974</v>
      </c>
      <c r="V242" s="14">
        <f t="shared" si="153"/>
        <v>-171.06972465675335</v>
      </c>
      <c r="W242" s="14">
        <f t="shared" si="153"/>
        <v>-167.25060531555846</v>
      </c>
      <c r="X242" s="187">
        <f t="shared" si="153"/>
        <v>-201.62023723661059</v>
      </c>
      <c r="Y242" s="158">
        <f t="shared" si="153"/>
        <v>-219.42370653275066</v>
      </c>
      <c r="Z242" s="158">
        <f t="shared" si="153"/>
        <v>-243.50903007531997</v>
      </c>
      <c r="AA242" s="158">
        <f t="shared" si="153"/>
        <v>-264.80440371420445</v>
      </c>
      <c r="AB242" s="158">
        <f t="shared" si="153"/>
        <v>-289.77617798059964</v>
      </c>
      <c r="AC242" s="158">
        <f t="shared" si="153"/>
        <v>-322.86789307648723</v>
      </c>
      <c r="AD242" s="158">
        <f t="shared" si="153"/>
        <v>-354.38226673425561</v>
      </c>
      <c r="AE242" s="158">
        <f t="shared" si="153"/>
        <v>-396.02361001974623</v>
      </c>
      <c r="AF242" s="158">
        <f t="shared" si="153"/>
        <v>-441.4774080239622</v>
      </c>
      <c r="AG242" s="158">
        <f t="shared" si="153"/>
        <v>-483.22349203605881</v>
      </c>
      <c r="AH242" s="187">
        <f t="shared" si="153"/>
        <v>-523.14230180267987</v>
      </c>
    </row>
    <row r="243" spans="1:34" s="1" customFormat="1">
      <c r="A243" s="1" t="s">
        <v>405</v>
      </c>
      <c r="B243" s="13"/>
      <c r="C243" s="341">
        <f>C222-C203</f>
        <v>1.4627299999992829</v>
      </c>
      <c r="D243" s="341">
        <f t="shared" ref="D243:AH243" si="154">D222-D203+D249+D252</f>
        <v>182.92035218280944</v>
      </c>
      <c r="E243" s="341">
        <f t="shared" si="154"/>
        <v>69.998904566456986</v>
      </c>
      <c r="F243" s="341">
        <f t="shared" si="154"/>
        <v>138.10449109670662</v>
      </c>
      <c r="G243" s="341">
        <f t="shared" si="154"/>
        <v>95.33258778723939</v>
      </c>
      <c r="H243" s="405">
        <f t="shared" si="154"/>
        <v>-0.27196999999614491</v>
      </c>
      <c r="I243" s="15">
        <f t="shared" si="154"/>
        <v>17.953286839549037</v>
      </c>
      <c r="J243" s="15">
        <f t="shared" si="154"/>
        <v>42.624390749868326</v>
      </c>
      <c r="K243" s="15">
        <f t="shared" si="154"/>
        <v>18.191107452401411</v>
      </c>
      <c r="L243" s="15">
        <f t="shared" si="154"/>
        <v>19.921552283411074</v>
      </c>
      <c r="M243" s="15">
        <f t="shared" si="154"/>
        <v>47.094876370769271</v>
      </c>
      <c r="N243" s="190">
        <f t="shared" si="154"/>
        <v>79.295560374837805</v>
      </c>
      <c r="O243" s="15">
        <f t="shared" si="154"/>
        <v>91.749813327714946</v>
      </c>
      <c r="P243" s="15">
        <f t="shared" si="154"/>
        <v>120.13209231787368</v>
      </c>
      <c r="Q243" s="15">
        <f t="shared" si="154"/>
        <v>126.14188676211052</v>
      </c>
      <c r="R243" s="15">
        <f t="shared" si="154"/>
        <v>164.67815110858101</v>
      </c>
      <c r="S243" s="15">
        <f t="shared" si="154"/>
        <v>155.92462160295509</v>
      </c>
      <c r="T243" s="15">
        <f t="shared" si="154"/>
        <v>197.04359017349816</v>
      </c>
      <c r="U243" s="15">
        <f t="shared" si="154"/>
        <v>249.37175185849446</v>
      </c>
      <c r="V243" s="15">
        <f t="shared" si="154"/>
        <v>310.05386071929206</v>
      </c>
      <c r="W243" s="15">
        <f t="shared" si="154"/>
        <v>307.41113376645444</v>
      </c>
      <c r="X243" s="190">
        <f t="shared" si="154"/>
        <v>380.42476238108429</v>
      </c>
      <c r="Y243" s="130">
        <f t="shared" si="154"/>
        <v>420.74546626508527</v>
      </c>
      <c r="Z243" s="130">
        <f t="shared" si="154"/>
        <v>470.11554415554383</v>
      </c>
      <c r="AA243" s="130">
        <f t="shared" si="154"/>
        <v>516.51916200683991</v>
      </c>
      <c r="AB243" s="130">
        <f t="shared" si="154"/>
        <v>567.52221905597798</v>
      </c>
      <c r="AC243" s="130">
        <f t="shared" si="154"/>
        <v>629.74534147944723</v>
      </c>
      <c r="AD243" s="130">
        <f t="shared" si="154"/>
        <v>690.04663092243936</v>
      </c>
      <c r="AE243" s="130">
        <f t="shared" si="154"/>
        <v>763.15503112800434</v>
      </c>
      <c r="AF243" s="130">
        <f t="shared" si="154"/>
        <v>841.69597091956894</v>
      </c>
      <c r="AG243" s="130">
        <f t="shared" si="154"/>
        <v>917.5818437518883</v>
      </c>
      <c r="AH243" s="190">
        <f t="shared" si="154"/>
        <v>994.18228963122965</v>
      </c>
    </row>
    <row r="244" spans="1:34">
      <c r="A244" t="s">
        <v>445</v>
      </c>
      <c r="C244" s="331"/>
      <c r="D244" s="331">
        <f>D231+D234</f>
        <v>72.85100063211928</v>
      </c>
      <c r="E244" s="331">
        <f t="shared" ref="E244:N244" si="155">E231+E234</f>
        <v>35.274693250981841</v>
      </c>
      <c r="F244" s="331">
        <f t="shared" si="155"/>
        <v>123.9156741650047</v>
      </c>
      <c r="G244" s="331">
        <f t="shared" si="155"/>
        <v>75.544841843239624</v>
      </c>
      <c r="H244" s="402">
        <f t="shared" si="155"/>
        <v>-2.7000000000043656E-4</v>
      </c>
      <c r="I244" s="14">
        <f t="shared" si="155"/>
        <v>39.254778575383625</v>
      </c>
      <c r="J244" s="14">
        <f t="shared" si="155"/>
        <v>79.914188923663687</v>
      </c>
      <c r="K244" s="14">
        <f t="shared" si="155"/>
        <v>69.493219248930018</v>
      </c>
      <c r="L244" s="14">
        <f t="shared" si="155"/>
        <v>94.707594573504593</v>
      </c>
      <c r="M244" s="14">
        <f t="shared" si="155"/>
        <v>132.53305688940259</v>
      </c>
      <c r="N244" s="187">
        <f t="shared" si="155"/>
        <v>169.6795036430043</v>
      </c>
      <c r="O244" s="14">
        <f>O231+O234</f>
        <v>196.05215771472763</v>
      </c>
      <c r="P244" s="14">
        <f t="shared" ref="P244:AH244" si="156">P231+P234</f>
        <v>253.80531733873158</v>
      </c>
      <c r="Q244" s="14">
        <f t="shared" si="156"/>
        <v>250.64041093875448</v>
      </c>
      <c r="R244" s="14">
        <f t="shared" si="156"/>
        <v>326.73601090866237</v>
      </c>
      <c r="S244" s="14">
        <f t="shared" si="156"/>
        <v>305.85936810390695</v>
      </c>
      <c r="T244" s="14">
        <f t="shared" si="156"/>
        <v>397.43987896926546</v>
      </c>
      <c r="U244" s="14">
        <f t="shared" si="156"/>
        <v>513.70747136811724</v>
      </c>
      <c r="V244" s="14">
        <f t="shared" si="156"/>
        <v>646.30423813523385</v>
      </c>
      <c r="W244" s="14">
        <f t="shared" si="156"/>
        <v>645.68508213618475</v>
      </c>
      <c r="X244" s="187">
        <f t="shared" si="156"/>
        <v>806.06748543614799</v>
      </c>
      <c r="Y244" s="158">
        <f t="shared" si="156"/>
        <v>897.02125602024535</v>
      </c>
      <c r="Z244" s="158">
        <f t="shared" si="156"/>
        <v>1004.267128080689</v>
      </c>
      <c r="AA244" s="158">
        <f t="shared" si="156"/>
        <v>1107.431816226971</v>
      </c>
      <c r="AB244" s="158">
        <f t="shared" si="156"/>
        <v>1218.0393876349119</v>
      </c>
      <c r="AC244" s="158">
        <f t="shared" si="156"/>
        <v>1348.2741306236385</v>
      </c>
      <c r="AD244" s="158">
        <f t="shared" si="156"/>
        <v>1475.46514252576</v>
      </c>
      <c r="AE244" s="158">
        <f t="shared" si="156"/>
        <v>1623.5740151485716</v>
      </c>
      <c r="AF244" s="158">
        <f t="shared" si="156"/>
        <v>1781.3881957658509</v>
      </c>
      <c r="AG244" s="158">
        <f t="shared" si="156"/>
        <v>1937.6413662139576</v>
      </c>
      <c r="AH244" s="187">
        <f t="shared" si="156"/>
        <v>2098.5938156591069</v>
      </c>
    </row>
    <row r="245" spans="1:34">
      <c r="A245" t="s">
        <v>446</v>
      </c>
      <c r="D245" s="331">
        <f>D231+D234+D237</f>
        <v>763.61332270889022</v>
      </c>
      <c r="E245" s="331">
        <f t="shared" ref="E245:N245" si="157">E231+E234+E237</f>
        <v>283.8412169503855</v>
      </c>
      <c r="F245" s="331">
        <f t="shared" si="157"/>
        <v>493.32822182435598</v>
      </c>
      <c r="G245" s="331">
        <f t="shared" si="157"/>
        <v>352.84594507905456</v>
      </c>
      <c r="H245" s="402">
        <f t="shared" si="157"/>
        <v>-2.7000000000043656E-4</v>
      </c>
      <c r="I245" s="14">
        <f t="shared" si="157"/>
        <v>38.02509996864319</v>
      </c>
      <c r="J245" s="14">
        <f t="shared" si="157"/>
        <v>104.40527083921529</v>
      </c>
      <c r="K245" s="14">
        <f t="shared" si="157"/>
        <v>4.0891431792360891</v>
      </c>
      <c r="L245" s="14">
        <f t="shared" si="157"/>
        <v>-17.687778996534689</v>
      </c>
      <c r="M245" s="14">
        <f t="shared" si="157"/>
        <v>63.851463339101201</v>
      </c>
      <c r="N245" s="187">
        <f t="shared" si="157"/>
        <v>169.6795036430043</v>
      </c>
      <c r="O245" s="14">
        <f>O231+O234+O237</f>
        <v>196.48622688211913</v>
      </c>
      <c r="P245" s="14">
        <f t="shared" ref="P245:AH245" si="158">P231+P234+P237</f>
        <v>259.26382829390923</v>
      </c>
      <c r="Q245" s="14">
        <f t="shared" si="158"/>
        <v>292.07812998971167</v>
      </c>
      <c r="R245" s="14">
        <f t="shared" si="158"/>
        <v>379.80838138596368</v>
      </c>
      <c r="S245" s="14">
        <f t="shared" si="158"/>
        <v>365.36931720465827</v>
      </c>
      <c r="T245" s="14">
        <f t="shared" si="158"/>
        <v>446.21960170082139</v>
      </c>
      <c r="U245" s="14">
        <f t="shared" si="158"/>
        <v>549.20108649266786</v>
      </c>
      <c r="V245" s="14">
        <f t="shared" si="158"/>
        <v>671.20105721688196</v>
      </c>
      <c r="W245" s="14">
        <f t="shared" si="158"/>
        <v>660.49574498819015</v>
      </c>
      <c r="X245" s="187">
        <f t="shared" si="158"/>
        <v>806.06748543614799</v>
      </c>
      <c r="Y245" s="158">
        <f t="shared" si="158"/>
        <v>883.97329116755736</v>
      </c>
      <c r="Z245" s="158">
        <f t="shared" si="158"/>
        <v>984.19016320344144</v>
      </c>
      <c r="AA245" s="158">
        <f t="shared" si="158"/>
        <v>1075.5506809590506</v>
      </c>
      <c r="AB245" s="158">
        <f t="shared" si="158"/>
        <v>1179.2719281261313</v>
      </c>
      <c r="AC245" s="158">
        <f t="shared" si="158"/>
        <v>1311.3553379742534</v>
      </c>
      <c r="AD245" s="158">
        <f t="shared" si="158"/>
        <v>1438.1869718058686</v>
      </c>
      <c r="AE245" s="158">
        <f t="shared" si="158"/>
        <v>1599.2048745030238</v>
      </c>
      <c r="AF245" s="158">
        <f t="shared" si="158"/>
        <v>1773.7038323034894</v>
      </c>
      <c r="AG245" s="158">
        <f t="shared" si="158"/>
        <v>1937.7203269391234</v>
      </c>
      <c r="AH245" s="187">
        <f t="shared" si="158"/>
        <v>2098.5938156591069</v>
      </c>
    </row>
    <row r="246" spans="1:34" s="1" customFormat="1">
      <c r="A246" s="1" t="s">
        <v>449</v>
      </c>
      <c r="B246" s="13"/>
      <c r="C246" s="328"/>
      <c r="D246" s="341">
        <f>D243</f>
        <v>182.92035218280944</v>
      </c>
      <c r="E246" s="341">
        <f>D246+E243</f>
        <v>252.91925674926642</v>
      </c>
      <c r="F246" s="341">
        <f>E246+F243</f>
        <v>391.02374784597305</v>
      </c>
      <c r="G246" s="341">
        <f>F246+G243</f>
        <v>486.35633563321244</v>
      </c>
      <c r="H246" s="405"/>
      <c r="I246" s="15">
        <f t="shared" ref="I246:X246" si="159">H246+I243</f>
        <v>17.953286839549037</v>
      </c>
      <c r="J246" s="15">
        <f t="shared" si="159"/>
        <v>60.577677589417362</v>
      </c>
      <c r="K246" s="15">
        <f t="shared" si="159"/>
        <v>78.768785041818774</v>
      </c>
      <c r="L246" s="15">
        <f t="shared" si="159"/>
        <v>98.690337325229848</v>
      </c>
      <c r="M246" s="15">
        <f t="shared" si="159"/>
        <v>145.78521369599912</v>
      </c>
      <c r="N246" s="190">
        <f t="shared" si="159"/>
        <v>225.08077407083692</v>
      </c>
      <c r="O246" s="15">
        <f t="shared" si="159"/>
        <v>316.83058739855187</v>
      </c>
      <c r="P246" s="15">
        <f t="shared" si="159"/>
        <v>436.96267971642555</v>
      </c>
      <c r="Q246" s="15">
        <f t="shared" si="159"/>
        <v>563.10456647853607</v>
      </c>
      <c r="R246" s="15">
        <f t="shared" si="159"/>
        <v>727.78271758711708</v>
      </c>
      <c r="S246" s="15">
        <f t="shared" si="159"/>
        <v>883.70733919007216</v>
      </c>
      <c r="T246" s="15">
        <f t="shared" si="159"/>
        <v>1080.7509293635703</v>
      </c>
      <c r="U246" s="15">
        <f t="shared" si="159"/>
        <v>1330.1226812220648</v>
      </c>
      <c r="V246" s="15">
        <f t="shared" si="159"/>
        <v>1640.1765419413568</v>
      </c>
      <c r="W246" s="15">
        <f t="shared" si="159"/>
        <v>1947.5876757078113</v>
      </c>
      <c r="X246" s="190">
        <f t="shared" si="159"/>
        <v>2328.0124380888956</v>
      </c>
      <c r="Y246" s="130">
        <f t="shared" ref="Y246:AH246" si="160">X246+Y243</f>
        <v>2748.7579043539808</v>
      </c>
      <c r="Z246" s="130">
        <f t="shared" si="160"/>
        <v>3218.8734485095247</v>
      </c>
      <c r="AA246" s="130">
        <f t="shared" si="160"/>
        <v>3735.3926105163646</v>
      </c>
      <c r="AB246" s="130">
        <f t="shared" si="160"/>
        <v>4302.9148295723426</v>
      </c>
      <c r="AC246" s="130">
        <f t="shared" si="160"/>
        <v>4932.6601710517898</v>
      </c>
      <c r="AD246" s="130">
        <f t="shared" si="160"/>
        <v>5622.7068019742292</v>
      </c>
      <c r="AE246" s="130">
        <f t="shared" si="160"/>
        <v>6385.8618331022335</v>
      </c>
      <c r="AF246" s="130">
        <f t="shared" si="160"/>
        <v>7227.5578040218024</v>
      </c>
      <c r="AG246" s="130">
        <f t="shared" si="160"/>
        <v>8145.1396477736907</v>
      </c>
      <c r="AH246" s="190">
        <f t="shared" si="160"/>
        <v>9139.3219374049204</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5"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48677</v>
      </c>
      <c r="D4" s="329">
        <f>EIA_electricity_aeo2014!F58 * 1000</f>
        <v>54485</v>
      </c>
      <c r="E4" s="329">
        <f>EIA_electricity_aeo2014!G58 * 1000</f>
        <v>49560.130125971227</v>
      </c>
      <c r="F4" s="329">
        <f>EIA_electricity_aeo2014!H58 * 1000</f>
        <v>51477.932797920483</v>
      </c>
      <c r="G4" s="329">
        <f>EIA_electricity_aeo2014!I58 * 1000</f>
        <v>49488.636793042482</v>
      </c>
      <c r="H4" s="21">
        <f>EIA_electricity_aeo2014!J58 * 1000</f>
        <v>48872.968046548725</v>
      </c>
      <c r="I4" s="21">
        <f>EIA_electricity_aeo2014!K58 * 1000</f>
        <v>50342.96585844965</v>
      </c>
      <c r="J4" s="21">
        <f>EIA_electricity_aeo2014!L58 * 1000</f>
        <v>52574.314600899721</v>
      </c>
      <c r="K4" s="21">
        <f>EIA_electricity_aeo2014!M58 * 1000</f>
        <v>52617.008392190808</v>
      </c>
      <c r="L4" s="21">
        <f>EIA_electricity_aeo2014!N58 * 1000</f>
        <v>52978.415965488552</v>
      </c>
      <c r="M4" s="21">
        <f>EIA_electricity_aeo2014!O58 * 1000</f>
        <v>53665.984763085697</v>
      </c>
      <c r="N4" s="388">
        <f>EIA_electricity_aeo2014!P58 * 1000</f>
        <v>54516.171004693366</v>
      </c>
      <c r="O4" s="21">
        <f>EIA_electricity_aeo2014!Q58 * 1000</f>
        <v>55203.201279681649</v>
      </c>
      <c r="P4" s="21">
        <f>EIA_electricity_aeo2014!R58 * 1000</f>
        <v>55991.210997473398</v>
      </c>
      <c r="Q4" s="21">
        <f>EIA_electricity_aeo2014!S58 * 1000</f>
        <v>57370.615061375764</v>
      </c>
      <c r="R4" s="21">
        <f>EIA_electricity_aeo2014!T58 * 1000</f>
        <v>58330.641599853792</v>
      </c>
      <c r="S4" s="21">
        <f>EIA_electricity_aeo2014!U58 * 1000</f>
        <v>59217.53905632544</v>
      </c>
      <c r="T4" s="21">
        <f>EIA_electricity_aeo2014!V58 * 1000</f>
        <v>59798.314663598787</v>
      </c>
      <c r="U4" s="21">
        <f>EIA_electricity_aeo2014!W58 * 1000</f>
        <v>60345.142354459102</v>
      </c>
      <c r="V4" s="21">
        <f>EIA_electricity_aeo2014!X58 * 1000</f>
        <v>60959.915468945714</v>
      </c>
      <c r="W4" s="21">
        <f>EIA_electricity_aeo2014!Y58 * 1000</f>
        <v>61601.910555426199</v>
      </c>
      <c r="X4" s="388">
        <f>EIA_electricity_aeo2014!Z58 * 1000</f>
        <v>62166.168274382529</v>
      </c>
      <c r="Y4" s="21">
        <f>EIA_electricity_aeo2014!AA58 * 1000</f>
        <v>62424.095977072691</v>
      </c>
      <c r="Z4" s="21">
        <f>EIA_electricity_aeo2014!AB58 * 1000</f>
        <v>62810.478900876486</v>
      </c>
      <c r="AA4" s="21">
        <f>EIA_electricity_aeo2014!AC58 * 1000</f>
        <v>63104.221199951658</v>
      </c>
      <c r="AB4" s="21">
        <f>EIA_electricity_aeo2014!AD58 * 1000</f>
        <v>63506.175258751129</v>
      </c>
      <c r="AC4" s="21">
        <f>EIA_electricity_aeo2014!AE58 * 1000</f>
        <v>64099.91586004787</v>
      </c>
      <c r="AD4" s="21">
        <f>EIA_electricity_aeo2014!AF58 * 1000</f>
        <v>64657.000939779537</v>
      </c>
      <c r="AE4" s="21">
        <f>EIA_electricity_aeo2014!AG58 * 1000</f>
        <v>65509.636679428026</v>
      </c>
      <c r="AF4" s="21">
        <f>EIA_electricity_aeo2014!AH58 * 1000</f>
        <v>66459.580878160516</v>
      </c>
      <c r="AG4" s="21">
        <f>EIA_electricity_aeo2014!AI58 * 1000</f>
        <v>67231.176964589293</v>
      </c>
      <c r="AH4" s="21">
        <f>EIA_electricity_aeo2014!AJ58 * 1000</f>
        <v>67843.410203351668</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-0.01</v>
      </c>
      <c r="D7" s="330">
        <f>EIA_RE_aeo2014!F73*1000-D15</f>
        <v>-0.01</v>
      </c>
      <c r="E7" s="330">
        <f>EIA_RE_aeo2014!G73*1000-E15</f>
        <v>-0.01</v>
      </c>
      <c r="F7" s="330">
        <f>EIA_RE_aeo2014!H73*1000-F15</f>
        <v>-0.01</v>
      </c>
      <c r="G7" s="330">
        <f>EIA_RE_aeo2014!I73*1000-G15</f>
        <v>-0.01</v>
      </c>
      <c r="H7" s="174">
        <f>EIA_RE_aeo2014!J73*1000-H15</f>
        <v>-0.01</v>
      </c>
      <c r="I7" s="174">
        <f>EIA_RE_aeo2014!K73*1000-I15</f>
        <v>-0.01</v>
      </c>
      <c r="J7" s="174">
        <f>EIA_RE_aeo2014!L73*1000-J15</f>
        <v>-0.01</v>
      </c>
      <c r="K7" s="174">
        <f>EIA_RE_aeo2014!M73*1000-K15</f>
        <v>-0.01</v>
      </c>
      <c r="L7" s="174">
        <f>EIA_RE_aeo2014!N73*1000-L15</f>
        <v>-0.01</v>
      </c>
      <c r="M7" s="174">
        <f>EIA_RE_aeo2014!O73*1000-M15</f>
        <v>-0.01</v>
      </c>
      <c r="N7" s="184">
        <f>EIA_RE_aeo2014!P73*1000-N15</f>
        <v>-0.01</v>
      </c>
      <c r="O7" s="174">
        <f>EIA_RE_aeo2014!Q73*1000-O15</f>
        <v>-0.01</v>
      </c>
      <c r="P7" s="174">
        <f>EIA_RE_aeo2014!R73*1000-P15</f>
        <v>-0.01</v>
      </c>
      <c r="Q7" s="174">
        <f>EIA_RE_aeo2014!S73*1000-Q15</f>
        <v>-0.01</v>
      </c>
      <c r="R7" s="174">
        <f>EIA_RE_aeo2014!T73*1000-R15</f>
        <v>-0.01</v>
      </c>
      <c r="S7" s="83">
        <f>EIA_RE_aeo2014!U73*1000-S15</f>
        <v>-0.01</v>
      </c>
      <c r="T7" s="83">
        <f>EIA_RE_aeo2014!V73*1000-T15</f>
        <v>-0.01</v>
      </c>
      <c r="U7" s="83">
        <f>EIA_RE_aeo2014!W73*1000-U15</f>
        <v>-0.01</v>
      </c>
      <c r="V7" s="83">
        <f>EIA_RE_aeo2014!X73*1000-V15</f>
        <v>-0.01</v>
      </c>
      <c r="W7" s="83">
        <f>EIA_RE_aeo2014!Y73*1000-W15</f>
        <v>-0.01</v>
      </c>
      <c r="X7" s="184">
        <f>EIA_RE_aeo2014!Z73*1000-X15</f>
        <v>-0.01</v>
      </c>
      <c r="Y7" s="174">
        <f>EIA_RE_aeo2014!AA73*1000-Y15</f>
        <v>-0.01</v>
      </c>
      <c r="Z7" s="174">
        <f>EIA_RE_aeo2014!AB73*1000-Z15</f>
        <v>-0.01</v>
      </c>
      <c r="AA7" s="174">
        <f>EIA_RE_aeo2014!AC73*1000-AA15</f>
        <v>-0.01</v>
      </c>
      <c r="AB7" s="174">
        <f>EIA_RE_aeo2014!AD73*1000-AB15</f>
        <v>-0.01</v>
      </c>
      <c r="AC7" s="174">
        <f>EIA_RE_aeo2014!AE73*1000-AC15</f>
        <v>-0.01</v>
      </c>
      <c r="AD7" s="174">
        <f>EIA_RE_aeo2014!AF73*1000-AD15</f>
        <v>-0.01</v>
      </c>
      <c r="AE7" s="174">
        <f>EIA_RE_aeo2014!AG73*1000-AE15</f>
        <v>-0.01</v>
      </c>
      <c r="AF7" s="174">
        <f>EIA_RE_aeo2014!AH73*1000-AF15</f>
        <v>-0.01</v>
      </c>
      <c r="AG7" s="174">
        <f>EIA_RE_aeo2014!AI73*1000-AG15</f>
        <v>-0.01</v>
      </c>
      <c r="AH7" s="174">
        <f>EIA_RE_aeo2014!AJ73*1000-AH15</f>
        <v>-0.01</v>
      </c>
    </row>
    <row r="8" spans="1:34">
      <c r="A8" s="9" t="s">
        <v>59</v>
      </c>
      <c r="B8" s="34">
        <v>0</v>
      </c>
      <c r="C8" s="330">
        <f>EIA_electricity_aeo2014!E52*1000</f>
        <v>10999</v>
      </c>
      <c r="D8" s="330">
        <f>EIA_electricity_aeo2014!F52*1000</f>
        <v>9643</v>
      </c>
      <c r="E8" s="330">
        <f>EIA_electricity_aeo2014!G52*1000</f>
        <v>10133.985018317297</v>
      </c>
      <c r="F8" s="330">
        <f>EIA_electricity_aeo2014!H52*1000</f>
        <v>10040.416210386089</v>
      </c>
      <c r="G8" s="330">
        <f>EIA_electricity_aeo2014!I52*1000</f>
        <v>9880.0758559629594</v>
      </c>
      <c r="H8" s="3">
        <f>EIA_electricity_aeo2014!J52*1000</f>
        <v>9909.3978941640635</v>
      </c>
      <c r="I8" s="3">
        <f>EIA_electricity_aeo2014!K52*1000</f>
        <v>10285.592229478372</v>
      </c>
      <c r="J8" s="3">
        <f>EIA_electricity_aeo2014!L52*1000</f>
        <v>10721.356181001309</v>
      </c>
      <c r="K8" s="3">
        <f>EIA_electricity_aeo2014!M52*1000</f>
        <v>11144.927580380248</v>
      </c>
      <c r="L8" s="3">
        <f>EIA_electricity_aeo2014!N52*1000</f>
        <v>11473.814463153385</v>
      </c>
      <c r="M8" s="3">
        <f>EIA_electricity_aeo2014!O52*1000</f>
        <v>11531.273700432341</v>
      </c>
      <c r="N8" s="388">
        <f>EIA_electricity_aeo2014!P52*1000</f>
        <v>11531.273989077219</v>
      </c>
      <c r="O8" s="3">
        <f>EIA_electricity_aeo2014!Q52*1000</f>
        <v>11531.273989077219</v>
      </c>
      <c r="P8" s="3">
        <f>EIA_electricity_aeo2014!R52*1000</f>
        <v>11531.27389286226</v>
      </c>
      <c r="Q8" s="3">
        <f>EIA_electricity_aeo2014!S52*1000</f>
        <v>11531.273989077219</v>
      </c>
      <c r="R8" s="3">
        <f>EIA_electricity_aeo2014!T52*1000</f>
        <v>11531.273700432341</v>
      </c>
      <c r="S8" s="3">
        <f>EIA_electricity_aeo2014!U52*1000</f>
        <v>11531.297032560105</v>
      </c>
      <c r="T8" s="3">
        <f>EIA_electricity_aeo2014!V52*1000</f>
        <v>11531.27389286226</v>
      </c>
      <c r="U8" s="3">
        <f>EIA_electricity_aeo2014!W52*1000</f>
        <v>11531.2737966473</v>
      </c>
      <c r="V8" s="3">
        <f>EIA_electricity_aeo2014!X52*1000</f>
        <v>11531.2737966473</v>
      </c>
      <c r="W8" s="3">
        <f>EIA_electricity_aeo2014!Y52*1000</f>
        <v>11531.273989077219</v>
      </c>
      <c r="X8" s="184">
        <f>EIA_electricity_aeo2014!Z52*1000</f>
        <v>11531.2737966473</v>
      </c>
      <c r="Y8" s="174">
        <f>EIA_electricity_aeo2014!AA52*1000</f>
        <v>11531.2737966473</v>
      </c>
      <c r="Z8" s="174">
        <f>EIA_electricity_aeo2014!AB52*1000</f>
        <v>11531.27389286226</v>
      </c>
      <c r="AA8" s="174">
        <f>EIA_electricity_aeo2014!AC52*1000</f>
        <v>11531.27365232486</v>
      </c>
      <c r="AB8" s="174">
        <f>EIA_electricity_aeo2014!AD52*1000</f>
        <v>11531.2737966473</v>
      </c>
      <c r="AC8" s="174">
        <f>EIA_electricity_aeo2014!AE52*1000</f>
        <v>11531.273989077219</v>
      </c>
      <c r="AD8" s="174">
        <f>EIA_electricity_aeo2014!AF52*1000</f>
        <v>11531.273989077219</v>
      </c>
      <c r="AE8" s="174">
        <f>EIA_electricity_aeo2014!AG52*1000</f>
        <v>11531.273989077219</v>
      </c>
      <c r="AF8" s="174">
        <f>EIA_electricity_aeo2014!AH52*1000</f>
        <v>11531.273989077219</v>
      </c>
      <c r="AG8" s="174">
        <f>EIA_electricity_aeo2014!AI52*1000</f>
        <v>11531.2737966473</v>
      </c>
      <c r="AH8" s="174">
        <f>EIA_electricity_aeo2014!AJ52*1000</f>
        <v>11531.2737966473</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1417</v>
      </c>
      <c r="D10" s="330">
        <f>EIA_RE_aeo2014!F76*1000</f>
        <v>1503</v>
      </c>
      <c r="E10" s="330">
        <f>EIA_RE_aeo2014!G76*1000</f>
        <v>1541.0110997900194</v>
      </c>
      <c r="F10" s="330">
        <f>EIA_RE_aeo2014!H76*1000</f>
        <v>1488.092867616301</v>
      </c>
      <c r="G10" s="330">
        <f>EIA_RE_aeo2014!I76*1000</f>
        <v>1648.3033888195801</v>
      </c>
      <c r="H10" s="83">
        <f>EIA_RE_aeo2014!J76*1000</f>
        <v>1695.8796445692274</v>
      </c>
      <c r="I10" s="174">
        <f>EIA_RE_aeo2014!K76*1000</f>
        <v>1758.1439639312994</v>
      </c>
      <c r="J10" s="174">
        <f>EIA_RE_aeo2014!L76*1000</f>
        <v>1860.2194533314698</v>
      </c>
      <c r="K10" s="174">
        <f>EIA_RE_aeo2014!M76*1000</f>
        <v>2017.3942825971892</v>
      </c>
      <c r="L10" s="174">
        <f>EIA_RE_aeo2014!N76*1000</f>
        <v>2107.7049061849357</v>
      </c>
      <c r="M10" s="174">
        <f>EIA_RE_aeo2014!O76*1000</f>
        <v>2192.400927776011</v>
      </c>
      <c r="N10" s="184">
        <f>EIA_RE_aeo2014!P76*1000</f>
        <v>2300.221660852309</v>
      </c>
      <c r="O10" s="174">
        <f>EIA_RE_aeo2014!Q76*1000</f>
        <v>2466.6391569397715</v>
      </c>
      <c r="P10" s="174">
        <f>EIA_RE_aeo2014!R76*1000</f>
        <v>2579.541304858461</v>
      </c>
      <c r="Q10" s="174">
        <f>EIA_RE_aeo2014!S76*1000</f>
        <v>2903.2752016606523</v>
      </c>
      <c r="R10" s="174">
        <f>EIA_RE_aeo2014!T76*1000</f>
        <v>3029.4481520361755</v>
      </c>
      <c r="S10" s="83">
        <f>EIA_RE_aeo2014!U76*1000</f>
        <v>3420.7782397432265</v>
      </c>
      <c r="T10" s="83">
        <f>EIA_RE_aeo2014!V76*1000</f>
        <v>3535.8895415548618</v>
      </c>
      <c r="U10" s="83">
        <f>EIA_RE_aeo2014!W76*1000</f>
        <v>3614.261351016652</v>
      </c>
      <c r="V10" s="83">
        <f>EIA_RE_aeo2014!X76*1000</f>
        <v>3687.3547004510142</v>
      </c>
      <c r="W10" s="83">
        <f>EIA_RE_aeo2014!Y76*1000</f>
        <v>4129.8061043508096</v>
      </c>
      <c r="X10" s="184">
        <f>EIA_RE_aeo2014!Z76*1000</f>
        <v>4196.9115898471964</v>
      </c>
      <c r="Y10" s="174">
        <f>EIA_RE_aeo2014!AA76*1000</f>
        <v>4253.1258693180862</v>
      </c>
      <c r="Z10" s="174">
        <f>EIA_RE_aeo2014!AB76*1000</f>
        <v>4295.3150891220184</v>
      </c>
      <c r="AA10" s="174">
        <f>EIA_RE_aeo2014!AC76*1000</f>
        <v>4351.8703567807252</v>
      </c>
      <c r="AB10" s="174">
        <f>EIA_RE_aeo2014!AD76*1000</f>
        <v>4416.9137247179506</v>
      </c>
      <c r="AC10" s="174">
        <f>EIA_RE_aeo2014!AE76*1000</f>
        <v>4472.3800367517597</v>
      </c>
      <c r="AD10" s="174">
        <f>EIA_RE_aeo2014!AF76*1000</f>
        <v>4549.6099946284648</v>
      </c>
      <c r="AE10" s="174">
        <f>EIA_RE_aeo2014!AG76*1000</f>
        <v>4633.0059923090503</v>
      </c>
      <c r="AF10" s="174">
        <f>EIA_RE_aeo2014!AH76*1000</f>
        <v>4729.0389689234844</v>
      </c>
      <c r="AG10" s="174">
        <f>EIA_RE_aeo2014!AI76*1000</f>
        <v>4829.0674980864205</v>
      </c>
      <c r="AH10" s="174">
        <f>EIA_RE_aeo2014!AJ76*1000</f>
        <v>4919.1043618801978</v>
      </c>
    </row>
    <row r="11" spans="1:34" s="20" customFormat="1">
      <c r="A11" s="9" t="s">
        <v>50</v>
      </c>
      <c r="B11" s="35">
        <v>1</v>
      </c>
      <c r="C11" s="330">
        <f>EIA_RE_aeo2014!E74*1000</f>
        <v>0</v>
      </c>
      <c r="D11" s="330">
        <f>EIA_RE_aeo2014!F74*1000</f>
        <v>0</v>
      </c>
      <c r="E11" s="330">
        <f>EIA_RE_aeo2014!G74*1000</f>
        <v>4.0118830000000001E-2</v>
      </c>
      <c r="F11" s="330">
        <f>EIA_RE_aeo2014!H74*1000</f>
        <v>3.7581990000000003E-2</v>
      </c>
      <c r="G11" s="330">
        <f>EIA_RE_aeo2014!I74*1000</f>
        <v>4.1090540000000002E-2</v>
      </c>
      <c r="H11" s="83">
        <f>EIA_RE_aeo2014!J74*1000</f>
        <v>4.1090700000000001E-2</v>
      </c>
      <c r="I11" s="83">
        <f>EIA_RE_aeo2014!K74*1000</f>
        <v>4.107798E-2</v>
      </c>
      <c r="J11" s="83">
        <f>EIA_RE_aeo2014!L74*1000</f>
        <v>4.1001170000000003E-2</v>
      </c>
      <c r="K11" s="83">
        <f>EIA_RE_aeo2014!M74*1000</f>
        <v>4.5077809999999996E-2</v>
      </c>
      <c r="L11" s="83">
        <f>EIA_RE_aeo2014!N74*1000</f>
        <v>4.9009479999999994E-2</v>
      </c>
      <c r="M11" s="83">
        <f>EIA_RE_aeo2014!O74*1000</f>
        <v>4.9156640000000001E-2</v>
      </c>
      <c r="N11" s="388">
        <f>EIA_RE_aeo2014!P74*1000</f>
        <v>4.9143330000000006E-2</v>
      </c>
      <c r="O11" s="83">
        <f>EIA_RE_aeo2014!Q74*1000</f>
        <v>4.9132240000000001E-2</v>
      </c>
      <c r="P11" s="83">
        <f>EIA_RE_aeo2014!R74*1000</f>
        <v>4.9197499999999998E-2</v>
      </c>
      <c r="Q11" s="83">
        <f>EIA_RE_aeo2014!S74*1000</f>
        <v>4.9287999999999998E-2</v>
      </c>
      <c r="R11" s="83">
        <f>EIA_RE_aeo2014!T74*1000</f>
        <v>4.9247539999999999E-2</v>
      </c>
      <c r="S11" s="83">
        <f>EIA_RE_aeo2014!U74*1000</f>
        <v>4.9286719999999999E-2</v>
      </c>
      <c r="T11" s="83">
        <f>EIA_RE_aeo2014!V74*1000</f>
        <v>4.9275430000000002E-2</v>
      </c>
      <c r="U11" s="83">
        <f>EIA_RE_aeo2014!W74*1000</f>
        <v>5.310198E-2</v>
      </c>
      <c r="V11" s="83">
        <f>EIA_RE_aeo2014!X74*1000</f>
        <v>5.550130000000001E-2</v>
      </c>
      <c r="W11" s="83">
        <f>EIA_RE_aeo2014!Y74*1000</f>
        <v>5.5720200000000011E-2</v>
      </c>
      <c r="X11" s="184">
        <f>EIA_RE_aeo2014!Z74*1000</f>
        <v>5.8294080000000005E-2</v>
      </c>
      <c r="Y11" s="174">
        <f>EIA_RE_aeo2014!AA74*1000</f>
        <v>6.0471730000000001E-2</v>
      </c>
      <c r="Z11" s="174">
        <f>EIA_RE_aeo2014!AB74*1000</f>
        <v>6.0445360000000004E-2</v>
      </c>
      <c r="AA11" s="174">
        <f>EIA_RE_aeo2014!AC74*1000</f>
        <v>6.0421290000000002E-2</v>
      </c>
      <c r="AB11" s="174">
        <f>EIA_RE_aeo2014!AD74*1000</f>
        <v>6.0398E-2</v>
      </c>
      <c r="AC11" s="174">
        <f>EIA_RE_aeo2014!AE74*1000</f>
        <v>6.0375640000000001E-2</v>
      </c>
      <c r="AD11" s="174">
        <f>EIA_RE_aeo2014!AF74*1000</f>
        <v>6.0354030000000003E-2</v>
      </c>
      <c r="AE11" s="174">
        <f>EIA_RE_aeo2014!AG74*1000</f>
        <v>6.0333230000000009E-2</v>
      </c>
      <c r="AF11" s="174">
        <f>EIA_RE_aeo2014!AH74*1000</f>
        <v>6.0313510000000008E-2</v>
      </c>
      <c r="AG11" s="174">
        <f>EIA_RE_aeo2014!AI74*1000</f>
        <v>6.0293980000000004E-2</v>
      </c>
      <c r="AH11" s="174">
        <f>EIA_RE_aeo2014!AJ74*1000</f>
        <v>6.0275830000000002E-2</v>
      </c>
    </row>
    <row r="12" spans="1:34" s="20" customFormat="1">
      <c r="A12" s="9" t="s">
        <v>51</v>
      </c>
      <c r="B12" s="35">
        <v>1</v>
      </c>
      <c r="C12" s="330">
        <f>EIA_RE_aeo2014!E75*1000</f>
        <v>0</v>
      </c>
      <c r="D12" s="330">
        <f>EIA_RE_aeo2014!F75*1000</f>
        <v>0</v>
      </c>
      <c r="E12" s="330">
        <f>EIA_RE_aeo2014!G75*1000</f>
        <v>1.3393529999999999E-3</v>
      </c>
      <c r="F12" s="330">
        <f>EIA_RE_aeo2014!H75*1000</f>
        <v>1.3868399999999999E-3</v>
      </c>
      <c r="G12" s="330">
        <f>EIA_RE_aeo2014!I75*1000</f>
        <v>1.1280109999999999E-3</v>
      </c>
      <c r="H12" s="83">
        <f>EIA_RE_aeo2014!J75*1000</f>
        <v>1.2137750000000001E-3</v>
      </c>
      <c r="I12" s="174">
        <f>EIA_RE_aeo2014!K75*1000</f>
        <v>1.1110189999999998E-3</v>
      </c>
      <c r="J12" s="174">
        <f>EIA_RE_aeo2014!L75*1000</f>
        <v>1.2996959999999999E-3</v>
      </c>
      <c r="K12" s="174">
        <f>EIA_RE_aeo2014!M75*1000</f>
        <v>1.3086109999999999E-3</v>
      </c>
      <c r="L12" s="174">
        <f>EIA_RE_aeo2014!N75*1000</f>
        <v>1.3088319999999998E-3</v>
      </c>
      <c r="M12" s="174">
        <f>EIA_RE_aeo2014!O75*1000</f>
        <v>1.3002439999999999E-3</v>
      </c>
      <c r="N12" s="184">
        <f>EIA_RE_aeo2014!P75*1000</f>
        <v>1.2998630000000001E-3</v>
      </c>
      <c r="O12" s="174">
        <f>EIA_RE_aeo2014!Q75*1000</f>
        <v>1.2996369999999998E-3</v>
      </c>
      <c r="P12" s="174">
        <f>EIA_RE_aeo2014!R75*1000</f>
        <v>1.3080209999999999E-3</v>
      </c>
      <c r="Q12" s="174">
        <f>EIA_RE_aeo2014!S75*1000</f>
        <v>1.2992279999999997E-3</v>
      </c>
      <c r="R12" s="174">
        <f>EIA_RE_aeo2014!T75*1000</f>
        <v>1.2990320000000001E-3</v>
      </c>
      <c r="S12" s="83">
        <f>EIA_RE_aeo2014!U75*1000</f>
        <v>1.3074349999999998E-3</v>
      </c>
      <c r="T12" s="83">
        <f>EIA_RE_aeo2014!V75*1000</f>
        <v>1.2846369999999999E-3</v>
      </c>
      <c r="U12" s="83">
        <f>EIA_RE_aeo2014!W75*1000</f>
        <v>1.2981029999999999E-3</v>
      </c>
      <c r="V12" s="83">
        <f>EIA_RE_aeo2014!X75*1000</f>
        <v>1.297704E-3</v>
      </c>
      <c r="W12" s="83">
        <f>EIA_RE_aeo2014!Y75*1000</f>
        <v>1.2972439999999999E-3</v>
      </c>
      <c r="X12" s="184">
        <f>EIA_RE_aeo2014!Z75*1000</f>
        <v>1.2967479999999999E-3</v>
      </c>
      <c r="Y12" s="174">
        <f>EIA_RE_aeo2014!AA75*1000</f>
        <v>1.2962539999999999E-3</v>
      </c>
      <c r="Z12" s="174">
        <f>EIA_RE_aeo2014!AB75*1000</f>
        <v>1.3044589999999998E-3</v>
      </c>
      <c r="AA12" s="174">
        <f>EIA_RE_aeo2014!AC75*1000</f>
        <v>1.3161710000000001E-3</v>
      </c>
      <c r="AB12" s="174">
        <f>EIA_RE_aeo2014!AD75*1000</f>
        <v>1.3335859999999999E-3</v>
      </c>
      <c r="AC12" s="174">
        <f>EIA_RE_aeo2014!AE75*1000</f>
        <v>1.333243E-3</v>
      </c>
      <c r="AD12" s="174">
        <f>EIA_RE_aeo2014!AF75*1000</f>
        <v>1.3329069999999999E-3</v>
      </c>
      <c r="AE12" s="174">
        <f>EIA_RE_aeo2014!AG75*1000</f>
        <v>1.3581589999999998E-3</v>
      </c>
      <c r="AF12" s="174">
        <f>EIA_RE_aeo2014!AH75*1000</f>
        <v>1.3578999999999998E-3</v>
      </c>
      <c r="AG12" s="174">
        <f>EIA_RE_aeo2014!AI75*1000</f>
        <v>1.3576220000000002E-3</v>
      </c>
      <c r="AH12" s="174">
        <f>EIA_RE_aeo2014!AJ75*1000</f>
        <v>1.3573469999999996E-3</v>
      </c>
    </row>
    <row r="13" spans="1:34">
      <c r="A13" s="9" t="s">
        <v>347</v>
      </c>
      <c r="B13" s="34">
        <v>1</v>
      </c>
      <c r="C13" s="330">
        <f>(EIA_RE_aeo2014!E34+EIA_RE_aeo2014!E54)*1000</f>
        <v>0</v>
      </c>
      <c r="D13" s="330">
        <f>(EIA_RE_aeo2014!F34+EIA_RE_aeo2014!F54)*1000</f>
        <v>0</v>
      </c>
      <c r="E13" s="330">
        <f>(EIA_RE_aeo2014!G34+EIA_RE_aeo2014!G54)*1000</f>
        <v>0.2</v>
      </c>
      <c r="F13" s="330">
        <f>(EIA_RE_aeo2014!H34+EIA_RE_aeo2014!H54)*1000</f>
        <v>0.2</v>
      </c>
      <c r="G13" s="330">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88">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EIA_RE_aeo2014!AJ77*1000</f>
        <v>0</v>
      </c>
    </row>
    <row r="14" spans="1:34">
      <c r="A14" s="9" t="s">
        <v>348</v>
      </c>
      <c r="B14" s="34">
        <v>1</v>
      </c>
      <c r="C14" s="330">
        <f>EIA_RE_aeo2014!E33*1000</f>
        <v>0</v>
      </c>
      <c r="D14" s="330">
        <f>EIA_RE_aeo2014!F33*1000</f>
        <v>0</v>
      </c>
      <c r="E14" s="330">
        <f>EIA_RE_aeo2014!G33*1000</f>
        <v>0.1</v>
      </c>
      <c r="F14" s="330">
        <f>EIA_RE_aeo2014!H33*1000</f>
        <v>0.1</v>
      </c>
      <c r="G14" s="330">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8">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0</v>
      </c>
      <c r="D16" s="330">
        <f>EIA_RE_aeo2014!F78*1000</f>
        <v>0</v>
      </c>
      <c r="E16" s="330">
        <f>EIA_RE_aeo2014!G78*1000</f>
        <v>3.8983921000000005E-2</v>
      </c>
      <c r="F16" s="330">
        <f>EIA_RE_aeo2014!H78*1000</f>
        <v>4.3605923000000005E-2</v>
      </c>
      <c r="G16" s="330">
        <f>EIA_RE_aeo2014!I78*1000</f>
        <v>4.6780897999999994E-2</v>
      </c>
      <c r="H16" s="3">
        <f>EIA_RE_aeo2014!J78*1000</f>
        <v>4.7040753000000005E-2</v>
      </c>
      <c r="I16" s="3">
        <f>EIA_RE_aeo2014!K78*1000</f>
        <v>5.9372953999999999E-2</v>
      </c>
      <c r="J16" s="3">
        <f>EIA_RE_aeo2014!L78*1000</f>
        <v>6.7380640000000006E-2</v>
      </c>
      <c r="K16" s="3">
        <f>EIA_RE_aeo2014!M78*1000</f>
        <v>6.7380969999999984E-2</v>
      </c>
      <c r="L16" s="3">
        <f>EIA_RE_aeo2014!N78*1000</f>
        <v>6.7371153999999989E-2</v>
      </c>
      <c r="M16" s="3">
        <f>EIA_RE_aeo2014!O78*1000</f>
        <v>6.7383626999999988E-2</v>
      </c>
      <c r="N16" s="388">
        <f>EIA_RE_aeo2014!P78*1000</f>
        <v>6.7387489999999994E-2</v>
      </c>
      <c r="O16" s="3">
        <f>EIA_RE_aeo2014!Q78*1000</f>
        <v>6.7393858000000001E-2</v>
      </c>
      <c r="P16" s="3">
        <f>EIA_RE_aeo2014!R78*1000</f>
        <v>6.7421112999999991E-2</v>
      </c>
      <c r="Q16" s="3">
        <f>EIA_RE_aeo2014!S78*1000</f>
        <v>6.7413718999999997E-2</v>
      </c>
      <c r="R16" s="3">
        <f>EIA_RE_aeo2014!T78*1000</f>
        <v>6.7409741999999995E-2</v>
      </c>
      <c r="S16" s="3">
        <f>EIA_RE_aeo2014!U78*1000</f>
        <v>6.7406160999999992E-2</v>
      </c>
      <c r="T16" s="3">
        <f>EIA_RE_aeo2014!V78*1000</f>
        <v>6.7415045999999992E-2</v>
      </c>
      <c r="U16" s="3">
        <f>EIA_RE_aeo2014!W78*1000</f>
        <v>6.7431210999999977E-2</v>
      </c>
      <c r="V16" s="3">
        <f>EIA_RE_aeo2014!X78*1000</f>
        <v>6.7428821999999985E-2</v>
      </c>
      <c r="W16" s="3">
        <f>EIA_RE_aeo2014!Y78*1000</f>
        <v>6.7500607000000004E-2</v>
      </c>
      <c r="X16" s="184">
        <f>EIA_RE_aeo2014!Z78*1000</f>
        <v>6.7593868000000001E-2</v>
      </c>
      <c r="Y16" s="174">
        <f>EIA_RE_aeo2014!AA78*1000</f>
        <v>6.7692880999999996E-2</v>
      </c>
      <c r="Z16" s="174">
        <f>EIA_RE_aeo2014!AB78*1000</f>
        <v>6.7802678000000005E-2</v>
      </c>
      <c r="AA16" s="174">
        <f>EIA_RE_aeo2014!AC78*1000</f>
        <v>6.7932296000000003E-2</v>
      </c>
      <c r="AB16" s="174">
        <f>EIA_RE_aeo2014!AD78*1000</f>
        <v>6.8157133000000009E-2</v>
      </c>
      <c r="AC16" s="174">
        <f>EIA_RE_aeo2014!AE78*1000</f>
        <v>6.8263563999999999E-2</v>
      </c>
      <c r="AD16" s="174">
        <f>EIA_RE_aeo2014!AF78*1000</f>
        <v>6.8268463000000001E-2</v>
      </c>
      <c r="AE16" s="174">
        <f>EIA_RE_aeo2014!AG78*1000</f>
        <v>6.8581467000000007E-2</v>
      </c>
      <c r="AF16" s="174">
        <f>EIA_RE_aeo2014!AH78*1000</f>
        <v>6.8813841000000001E-2</v>
      </c>
      <c r="AG16" s="174">
        <f>EIA_RE_aeo2014!AI78*1000</f>
        <v>6.9208895999999992E-2</v>
      </c>
      <c r="AH16" s="174">
        <f>EIA_RE_aeo2014!AJ78*1000</f>
        <v>6.9860670999999985E-2</v>
      </c>
    </row>
    <row r="17" spans="1:34">
      <c r="A17" s="11" t="s">
        <v>327</v>
      </c>
      <c r="B17" s="36"/>
      <c r="C17" s="330">
        <f t="shared" ref="C17:AH17" si="0">SUM(C7:C16)</f>
        <v>12416</v>
      </c>
      <c r="D17" s="330">
        <f t="shared" si="0"/>
        <v>11146</v>
      </c>
      <c r="E17" s="330">
        <f t="shared" si="0"/>
        <v>11675.376560211318</v>
      </c>
      <c r="F17" s="330">
        <f t="shared" si="0"/>
        <v>11528.89165275539</v>
      </c>
      <c r="G17" s="330">
        <f t="shared" si="0"/>
        <v>11528.76824423154</v>
      </c>
      <c r="H17" s="3">
        <f t="shared" si="0"/>
        <v>11605.666883961292</v>
      </c>
      <c r="I17" s="3">
        <f t="shared" si="0"/>
        <v>12044.137755362673</v>
      </c>
      <c r="J17" s="3">
        <f t="shared" si="0"/>
        <v>12581.98531583878</v>
      </c>
      <c r="K17" s="3">
        <f t="shared" si="0"/>
        <v>13162.735630368439</v>
      </c>
      <c r="L17" s="3">
        <f t="shared" si="0"/>
        <v>13581.937058804322</v>
      </c>
      <c r="M17" s="3">
        <f t="shared" si="0"/>
        <v>13724.092468719351</v>
      </c>
      <c r="N17" s="388">
        <f t="shared" si="0"/>
        <v>13831.913480612529</v>
      </c>
      <c r="O17" s="3">
        <f t="shared" si="0"/>
        <v>13998.330971751991</v>
      </c>
      <c r="P17" s="3">
        <f t="shared" si="0"/>
        <v>14111.233124354723</v>
      </c>
      <c r="Q17" s="3">
        <f t="shared" si="0"/>
        <v>14434.967191684873</v>
      </c>
      <c r="R17" s="3">
        <f t="shared" si="0"/>
        <v>14561.139808782516</v>
      </c>
      <c r="S17" s="3">
        <f t="shared" si="0"/>
        <v>14952.493272619333</v>
      </c>
      <c r="T17" s="3">
        <f t="shared" si="0"/>
        <v>15067.581409530121</v>
      </c>
      <c r="U17" s="3">
        <f t="shared" si="0"/>
        <v>15145.956978957953</v>
      </c>
      <c r="V17" s="3">
        <f t="shared" si="0"/>
        <v>15219.052724924315</v>
      </c>
      <c r="W17" s="3">
        <f t="shared" si="0"/>
        <v>15661.504611479029</v>
      </c>
      <c r="X17" s="184">
        <f t="shared" si="0"/>
        <v>15728.612571190495</v>
      </c>
      <c r="Y17" s="174">
        <f t="shared" si="0"/>
        <v>15784.829126830387</v>
      </c>
      <c r="Z17" s="174">
        <f t="shared" si="0"/>
        <v>15827.018534481282</v>
      </c>
      <c r="AA17" s="174">
        <f t="shared" si="0"/>
        <v>15883.573678862587</v>
      </c>
      <c r="AB17" s="174">
        <f t="shared" si="0"/>
        <v>15948.617410084253</v>
      </c>
      <c r="AC17" s="174">
        <f t="shared" si="0"/>
        <v>16004.083998275981</v>
      </c>
      <c r="AD17" s="174">
        <f t="shared" si="0"/>
        <v>16081.313939105685</v>
      </c>
      <c r="AE17" s="174">
        <f t="shared" si="0"/>
        <v>16164.710254242269</v>
      </c>
      <c r="AF17" s="174">
        <f t="shared" si="0"/>
        <v>16260.743443251704</v>
      </c>
      <c r="AG17" s="174">
        <f t="shared" si="0"/>
        <v>16360.772155231722</v>
      </c>
      <c r="AH17" s="174">
        <f t="shared" si="0"/>
        <v>16450.609652375493</v>
      </c>
    </row>
    <row r="18" spans="1:34">
      <c r="A18" s="10" t="s">
        <v>126</v>
      </c>
      <c r="B18" s="37"/>
      <c r="C18" s="331">
        <f t="shared" ref="C18:AH18" si="1">SUMPRODUCT($B7:$B16,C7:C16)</f>
        <v>1417.01</v>
      </c>
      <c r="D18" s="331">
        <f t="shared" si="1"/>
        <v>1503.01</v>
      </c>
      <c r="E18" s="331">
        <f t="shared" si="1"/>
        <v>1541.4015418940194</v>
      </c>
      <c r="F18" s="331">
        <f t="shared" si="1"/>
        <v>1488.4854423693009</v>
      </c>
      <c r="G18" s="331">
        <f t="shared" si="1"/>
        <v>1648.7023882685799</v>
      </c>
      <c r="H18" s="14">
        <f t="shared" si="1"/>
        <v>1696.2789897972273</v>
      </c>
      <c r="I18" s="14">
        <f t="shared" si="1"/>
        <v>1758.5555258842994</v>
      </c>
      <c r="J18" s="14">
        <f t="shared" si="1"/>
        <v>1860.6391348374698</v>
      </c>
      <c r="K18" s="14">
        <f t="shared" si="1"/>
        <v>2017.8180499881892</v>
      </c>
      <c r="L18" s="14">
        <f t="shared" si="1"/>
        <v>2108.1325956509359</v>
      </c>
      <c r="M18" s="14">
        <f t="shared" si="1"/>
        <v>2192.8287682870109</v>
      </c>
      <c r="N18" s="190">
        <f t="shared" si="1"/>
        <v>2300.6494915353087</v>
      </c>
      <c r="O18" s="14">
        <f t="shared" si="1"/>
        <v>2467.0669826747712</v>
      </c>
      <c r="P18" s="14">
        <f t="shared" si="1"/>
        <v>2579.9692314924609</v>
      </c>
      <c r="Q18" s="14">
        <f t="shared" si="1"/>
        <v>2903.7032026076522</v>
      </c>
      <c r="R18" s="14">
        <f t="shared" si="1"/>
        <v>3029.8761083501759</v>
      </c>
      <c r="S18" s="14">
        <f t="shared" si="1"/>
        <v>3421.2062400592263</v>
      </c>
      <c r="T18" s="14">
        <f t="shared" si="1"/>
        <v>3536.3175166678616</v>
      </c>
      <c r="U18" s="14">
        <f t="shared" si="1"/>
        <v>3614.693182310652</v>
      </c>
      <c r="V18" s="14">
        <f t="shared" si="1"/>
        <v>3687.7889282770138</v>
      </c>
      <c r="W18" s="14">
        <f t="shared" si="1"/>
        <v>4130.2406224018096</v>
      </c>
      <c r="X18" s="187">
        <f t="shared" si="1"/>
        <v>4197.3487745431967</v>
      </c>
      <c r="Y18" s="14">
        <f t="shared" si="1"/>
        <v>4253.5653301830871</v>
      </c>
      <c r="Z18" s="14">
        <f t="shared" si="1"/>
        <v>4295.754641619018</v>
      </c>
      <c r="AA18" s="14">
        <f t="shared" si="1"/>
        <v>4352.3100265377261</v>
      </c>
      <c r="AB18" s="14">
        <f t="shared" si="1"/>
        <v>4417.3536134369506</v>
      </c>
      <c r="AC18" s="14">
        <f t="shared" si="1"/>
        <v>4472.8200091987592</v>
      </c>
      <c r="AD18" s="14">
        <f t="shared" si="1"/>
        <v>4550.049950028465</v>
      </c>
      <c r="AE18" s="14">
        <f t="shared" si="1"/>
        <v>4633.4462651650501</v>
      </c>
      <c r="AF18" s="14">
        <f t="shared" si="1"/>
        <v>4729.4794541744841</v>
      </c>
      <c r="AG18" s="14">
        <f t="shared" si="1"/>
        <v>4829.5083585844213</v>
      </c>
      <c r="AH18" s="14">
        <f t="shared" si="1"/>
        <v>4919.3458557281983</v>
      </c>
    </row>
    <row r="19" spans="1:34">
      <c r="A19" s="10" t="s">
        <v>112</v>
      </c>
      <c r="B19" s="37"/>
      <c r="C19" s="332">
        <f t="shared" ref="C19:AH19" si="2">C18/C4</f>
        <v>2.9110462846929763E-2</v>
      </c>
      <c r="D19" s="332">
        <f t="shared" si="2"/>
        <v>2.7585757547948977E-2</v>
      </c>
      <c r="E19" s="332">
        <f t="shared" si="2"/>
        <v>3.1101644365664639E-2</v>
      </c>
      <c r="F19" s="332">
        <f t="shared" si="2"/>
        <v>2.8915019727237964E-2</v>
      </c>
      <c r="G19" s="332">
        <f t="shared" si="2"/>
        <v>3.3314766683982859E-2</v>
      </c>
      <c r="H19" s="23">
        <f t="shared" si="2"/>
        <v>3.4707918458760638E-2</v>
      </c>
      <c r="I19" s="23">
        <f t="shared" si="2"/>
        <v>3.4931504250839455E-2</v>
      </c>
      <c r="J19" s="23">
        <f t="shared" si="2"/>
        <v>3.5390649387669393E-2</v>
      </c>
      <c r="K19" s="23">
        <f t="shared" si="2"/>
        <v>3.8349159552135713E-2</v>
      </c>
      <c r="L19" s="23">
        <f t="shared" si="2"/>
        <v>3.9792291959507162E-2</v>
      </c>
      <c r="M19" s="23">
        <f t="shared" si="2"/>
        <v>4.0860682571418207E-2</v>
      </c>
      <c r="N19" s="183">
        <f t="shared" si="2"/>
        <v>4.2201230371392791E-2</v>
      </c>
      <c r="O19" s="23">
        <f t="shared" si="2"/>
        <v>4.4690650641357126E-2</v>
      </c>
      <c r="P19" s="23">
        <f t="shared" si="2"/>
        <v>4.6078110930818802E-2</v>
      </c>
      <c r="Q19" s="23">
        <f t="shared" si="2"/>
        <v>5.0613074297726039E-2</v>
      </c>
      <c r="R19" s="23">
        <f t="shared" si="2"/>
        <v>5.1943130149930843E-2</v>
      </c>
      <c r="S19" s="23">
        <f t="shared" si="2"/>
        <v>5.7773529507957208E-2</v>
      </c>
      <c r="T19" s="23">
        <f t="shared" si="2"/>
        <v>5.9137411088619446E-2</v>
      </c>
      <c r="U19" s="23">
        <f t="shared" si="2"/>
        <v>5.9900317428674528E-2</v>
      </c>
      <c r="V19" s="23">
        <f t="shared" si="2"/>
        <v>6.0495309088078583E-2</v>
      </c>
      <c r="W19" s="23">
        <f t="shared" si="2"/>
        <v>6.7047281247643017E-2</v>
      </c>
      <c r="X19" s="185">
        <f t="shared" si="2"/>
        <v>6.7518215953368363E-2</v>
      </c>
      <c r="Y19" s="172">
        <f t="shared" si="2"/>
        <v>6.8139798640341531E-2</v>
      </c>
      <c r="Z19" s="172">
        <f t="shared" si="2"/>
        <v>6.8392324287135361E-2</v>
      </c>
      <c r="AA19" s="172">
        <f t="shared" si="2"/>
        <v>6.897018842443238E-2</v>
      </c>
      <c r="AB19" s="172">
        <f t="shared" si="2"/>
        <v>6.9557859459159307E-2</v>
      </c>
      <c r="AC19" s="172">
        <f t="shared" si="2"/>
        <v>6.9778874889078815E-2</v>
      </c>
      <c r="AD19" s="172">
        <f t="shared" si="2"/>
        <v>7.03721156857601E-2</v>
      </c>
      <c r="AE19" s="172">
        <f t="shared" si="2"/>
        <v>7.0729231606623921E-2</v>
      </c>
      <c r="AF19" s="172">
        <f t="shared" si="2"/>
        <v>7.1163245263989511E-2</v>
      </c>
      <c r="AG19" s="172">
        <f t="shared" si="2"/>
        <v>7.1834356865835128E-2</v>
      </c>
      <c r="AH19" s="172">
        <f t="shared" si="2"/>
        <v>7.2510297477427918E-2</v>
      </c>
    </row>
    <row r="20" spans="1:34">
      <c r="A20" s="10" t="s">
        <v>142</v>
      </c>
      <c r="B20" s="37"/>
      <c r="C20" s="331">
        <f>EIA_electricity_aeo2014!E49*1000</f>
        <v>12958</v>
      </c>
      <c r="D20" s="331">
        <f>EIA_electricity_aeo2014!F49*1000</f>
        <v>13629</v>
      </c>
      <c r="E20" s="331">
        <f>EIA_electricity_aeo2014!G49*1000</f>
        <v>15252.776406508967</v>
      </c>
      <c r="F20" s="331">
        <f>EIA_electricity_aeo2014!H49*1000</f>
        <v>13140.176212873137</v>
      </c>
      <c r="G20" s="331">
        <f>EIA_electricity_aeo2014!I49*1000</f>
        <v>14050.627231400151</v>
      </c>
      <c r="H20" s="14">
        <f>EIA_electricity_aeo2014!J49*1000</f>
        <v>14473.677879397301</v>
      </c>
      <c r="I20" s="14">
        <f>EIA_electricity_aeo2014!K49*1000</f>
        <v>13716.399493901274</v>
      </c>
      <c r="J20" s="14">
        <f>EIA_electricity_aeo2014!L49*1000</f>
        <v>13178.811835528246</v>
      </c>
      <c r="K20" s="14">
        <f>EIA_electricity_aeo2014!M49*1000</f>
        <v>13873.726839715693</v>
      </c>
      <c r="L20" s="14">
        <f>EIA_electricity_aeo2014!N49*1000</f>
        <v>14123.923292215535</v>
      </c>
      <c r="M20" s="14">
        <f>EIA_electricity_aeo2014!O49*1000</f>
        <v>14252.977563593888</v>
      </c>
      <c r="N20" s="190">
        <f>EIA_electricity_aeo2014!P49*1000</f>
        <v>14216.530483636243</v>
      </c>
      <c r="O20" s="14">
        <f>EIA_electricity_aeo2014!Q49*1000</f>
        <v>14335.63210392689</v>
      </c>
      <c r="P20" s="14">
        <f>EIA_electricity_aeo2014!R49*1000</f>
        <v>14446.799167130301</v>
      </c>
      <c r="Q20" s="14">
        <f>EIA_electricity_aeo2014!S49*1000</f>
        <v>14452.9997801635</v>
      </c>
      <c r="R20" s="14">
        <f>EIA_electricity_aeo2014!T49*1000</f>
        <v>14640.013418212213</v>
      </c>
      <c r="S20" s="14">
        <f>EIA_electricity_aeo2014!U49*1000</f>
        <v>14783.882771515473</v>
      </c>
      <c r="T20" s="14">
        <f>EIA_electricity_aeo2014!V49*1000</f>
        <v>14773.407760173115</v>
      </c>
      <c r="U20" s="14">
        <f>EIA_electricity_aeo2014!W49*1000</f>
        <v>14776.508853415691</v>
      </c>
      <c r="V20" s="14">
        <f>EIA_electricity_aeo2014!X49*1000</f>
        <v>14774.412370554721</v>
      </c>
      <c r="W20" s="14">
        <f>EIA_electricity_aeo2014!Y49*1000</f>
        <v>14719.881555693566</v>
      </c>
      <c r="X20" s="187">
        <f>EIA_electricity_aeo2014!Z49*1000</f>
        <v>14731.950267511644</v>
      </c>
      <c r="Y20" s="14">
        <f>EIA_electricity_aeo2014!AA49*1000</f>
        <v>14725.409324558943</v>
      </c>
      <c r="Z20" s="14">
        <f>EIA_electricity_aeo2014!AB49*1000</f>
        <v>14720.497704002437</v>
      </c>
      <c r="AA20" s="14">
        <f>EIA_electricity_aeo2014!AC49*1000</f>
        <v>14705.733643191734</v>
      </c>
      <c r="AB20" s="14">
        <f>EIA_electricity_aeo2014!AD49*1000</f>
        <v>14693.627426469689</v>
      </c>
      <c r="AC20" s="14">
        <f>EIA_electricity_aeo2014!AE49*1000</f>
        <v>14680.464082182762</v>
      </c>
      <c r="AD20" s="14">
        <f>EIA_electricity_aeo2014!AF49*1000</f>
        <v>14667.401928912524</v>
      </c>
      <c r="AE20" s="14">
        <f>EIA_electricity_aeo2014!AG49*1000</f>
        <v>14655.162355688744</v>
      </c>
      <c r="AF20" s="14">
        <f>EIA_electricity_aeo2014!AH49*1000</f>
        <v>14642.810577284596</v>
      </c>
      <c r="AG20" s="14">
        <f>EIA_electricity_aeo2014!AI49*1000</f>
        <v>14642.694348194309</v>
      </c>
      <c r="AH20" s="14">
        <f>EIA_electricity_aeo2014!AJ49*1000</f>
        <v>14642.503238267553</v>
      </c>
    </row>
    <row r="21" spans="1:34">
      <c r="A21" s="10" t="s">
        <v>222</v>
      </c>
      <c r="B21" s="37"/>
      <c r="C21" s="331">
        <f>EIA_electricity_aeo2014!E51*1000</f>
        <v>23267</v>
      </c>
      <c r="D21" s="331">
        <f>EIA_electricity_aeo2014!F51*1000</f>
        <v>29619</v>
      </c>
      <c r="E21" s="331">
        <f>EIA_electricity_aeo2014!G51*1000</f>
        <v>22448.245604059652</v>
      </c>
      <c r="F21" s="331">
        <f>EIA_electricity_aeo2014!H51*1000</f>
        <v>26689.458357252573</v>
      </c>
      <c r="G21" s="331">
        <f>EIA_electricity_aeo2014!I51*1000</f>
        <v>23826.12846715721</v>
      </c>
      <c r="H21" s="14">
        <f>EIA_electricity_aeo2014!J51*1000</f>
        <v>22709.192517537009</v>
      </c>
      <c r="I21" s="14">
        <f>EIA_electricity_aeo2014!K51*1000</f>
        <v>24500.850856119956</v>
      </c>
      <c r="J21" s="14">
        <f>EIA_electricity_aeo2014!L51*1000</f>
        <v>26735.987238101246</v>
      </c>
      <c r="K21" s="14">
        <f>EIA_electricity_aeo2014!M51*1000</f>
        <v>25537.44880086929</v>
      </c>
      <c r="L21" s="14">
        <f>EIA_electricity_aeo2014!N51*1000</f>
        <v>25228.55927868537</v>
      </c>
      <c r="M21" s="14">
        <f>EIA_electricity_aeo2014!O51*1000</f>
        <v>25644.433726337851</v>
      </c>
      <c r="N21" s="190">
        <f>EIA_electricity_aeo2014!P51*1000</f>
        <v>26423.311632313525</v>
      </c>
      <c r="O21" s="14">
        <f>EIA_electricity_aeo2014!Q51*1000</f>
        <v>26824.309828835754</v>
      </c>
      <c r="P21" s="14">
        <f>EIA_electricity_aeo2014!R51*1000</f>
        <v>27387.87082813411</v>
      </c>
      <c r="Q21" s="14">
        <f>EIA_electricity_aeo2014!S51*1000</f>
        <v>28437.086485104679</v>
      </c>
      <c r="R21" s="14">
        <f>EIA_electricity_aeo2014!T51*1000</f>
        <v>29083.225672428332</v>
      </c>
      <c r="S21" s="14">
        <f>EIA_electricity_aeo2014!U51*1000</f>
        <v>29434.106633355917</v>
      </c>
      <c r="T21" s="14">
        <f>EIA_electricity_aeo2014!V51*1000</f>
        <v>29910.818244654183</v>
      </c>
      <c r="U21" s="14">
        <f>EIA_electricity_aeo2014!W51*1000</f>
        <v>30376.307181079123</v>
      </c>
      <c r="V21" s="14">
        <f>EIA_electricity_aeo2014!X51*1000</f>
        <v>30920.047926705716</v>
      </c>
      <c r="W21" s="14">
        <f>EIA_electricity_aeo2014!Y51*1000</f>
        <v>31174.1633193038</v>
      </c>
      <c r="X21" s="187">
        <f>EIA_electricity_aeo2014!Z51*1000</f>
        <v>31659.175302395532</v>
      </c>
      <c r="Y21" s="14">
        <f>EIA_electricity_aeo2014!AA51*1000</f>
        <v>31867.430990194807</v>
      </c>
      <c r="Z21" s="14">
        <f>EIA_electricity_aeo2014!AB51*1000</f>
        <v>32216.543549915408</v>
      </c>
      <c r="AA21" s="14">
        <f>EIA_electricity_aeo2014!AC51*1000</f>
        <v>32468.546691715437</v>
      </c>
      <c r="AB21" s="14">
        <f>EIA_electricity_aeo2014!AD51*1000</f>
        <v>32817.603403076369</v>
      </c>
      <c r="AC21" s="14">
        <f>EIA_electricity_aeo2014!AE51*1000</f>
        <v>33369.084586292942</v>
      </c>
      <c r="AD21" s="14">
        <f>EIA_electricity_aeo2014!AF51*1000</f>
        <v>33862.043774228354</v>
      </c>
      <c r="AE21" s="14">
        <f>EIA_electricity_aeo2014!AG51*1000</f>
        <v>34643.554977786298</v>
      </c>
      <c r="AF21" s="14">
        <f>EIA_electricity_aeo2014!AH51*1000</f>
        <v>35509.865359880874</v>
      </c>
      <c r="AG21" s="14">
        <f>EIA_electricity_aeo2014!AI51*1000</f>
        <v>36181.552577400493</v>
      </c>
      <c r="AH21" s="14">
        <f>EIA_electricity_aeo2014!AJ51*1000</f>
        <v>36703.933361880903</v>
      </c>
    </row>
    <row r="22" spans="1:34">
      <c r="A22" s="10" t="s">
        <v>351</v>
      </c>
      <c r="B22" s="37"/>
      <c r="C22" s="330">
        <f>SUM(C17,C20:C21)</f>
        <v>48641</v>
      </c>
      <c r="D22" s="330">
        <f t="shared" ref="D22:AH22" si="3">SUM(D17,D20:D21)</f>
        <v>54394</v>
      </c>
      <c r="E22" s="330">
        <f t="shared" si="3"/>
        <v>49376.398570779937</v>
      </c>
      <c r="F22" s="330">
        <f t="shared" si="3"/>
        <v>51358.526222881104</v>
      </c>
      <c r="G22" s="330">
        <f t="shared" si="3"/>
        <v>49405.523942788903</v>
      </c>
      <c r="H22" s="79">
        <f t="shared" si="3"/>
        <v>48788.537280895602</v>
      </c>
      <c r="I22" s="79">
        <f t="shared" si="3"/>
        <v>50261.3881053839</v>
      </c>
      <c r="J22" s="79">
        <f t="shared" si="3"/>
        <v>52496.784389468274</v>
      </c>
      <c r="K22" s="79">
        <f t="shared" si="3"/>
        <v>52573.911270953424</v>
      </c>
      <c r="L22" s="79">
        <f t="shared" si="3"/>
        <v>52934.419629705226</v>
      </c>
      <c r="M22" s="79">
        <f t="shared" si="3"/>
        <v>53621.503758651088</v>
      </c>
      <c r="N22" s="388">
        <f t="shared" si="3"/>
        <v>54471.755596562296</v>
      </c>
      <c r="O22" s="79">
        <f t="shared" si="3"/>
        <v>55158.272904514641</v>
      </c>
      <c r="P22" s="79">
        <f t="shared" si="3"/>
        <v>55945.903119619135</v>
      </c>
      <c r="Q22" s="79">
        <f t="shared" si="3"/>
        <v>57325.05345695305</v>
      </c>
      <c r="R22" s="79">
        <f t="shared" si="3"/>
        <v>58284.378899423056</v>
      </c>
      <c r="S22" s="79">
        <f t="shared" si="3"/>
        <v>59170.482677490727</v>
      </c>
      <c r="T22" s="79">
        <f t="shared" si="3"/>
        <v>59751.807414357419</v>
      </c>
      <c r="U22" s="79">
        <f t="shared" si="3"/>
        <v>60298.773013452766</v>
      </c>
      <c r="V22" s="79">
        <f t="shared" si="3"/>
        <v>60913.51302218475</v>
      </c>
      <c r="W22" s="79">
        <f t="shared" si="3"/>
        <v>61555.549486476397</v>
      </c>
      <c r="X22" s="184">
        <f t="shared" si="3"/>
        <v>62119.738141097667</v>
      </c>
      <c r="Y22" s="174">
        <f t="shared" si="3"/>
        <v>62377.669441584134</v>
      </c>
      <c r="Z22" s="174">
        <f t="shared" si="3"/>
        <v>62764.059788399129</v>
      </c>
      <c r="AA22" s="174">
        <f t="shared" si="3"/>
        <v>63057.854013769756</v>
      </c>
      <c r="AB22" s="174">
        <f t="shared" si="3"/>
        <v>63459.848239630315</v>
      </c>
      <c r="AC22" s="174">
        <f t="shared" si="3"/>
        <v>64053.632666751684</v>
      </c>
      <c r="AD22" s="174">
        <f t="shared" si="3"/>
        <v>64610.759642246565</v>
      </c>
      <c r="AE22" s="174">
        <f t="shared" si="3"/>
        <v>65463.427587717313</v>
      </c>
      <c r="AF22" s="174">
        <f t="shared" si="3"/>
        <v>66413.419380417181</v>
      </c>
      <c r="AG22" s="174">
        <f t="shared" si="3"/>
        <v>67185.019080826518</v>
      </c>
      <c r="AH22" s="174">
        <f t="shared" si="3"/>
        <v>67797.046252523956</v>
      </c>
    </row>
    <row r="23" spans="1:34">
      <c r="A23" s="10" t="s">
        <v>328</v>
      </c>
      <c r="B23" s="37"/>
      <c r="C23" s="330">
        <f>EIA_electricity_aeo2014!E50*1000+EIA_electricity_aeo2014!E55*1000</f>
        <v>29</v>
      </c>
      <c r="D23" s="330">
        <f>EIA_electricity_aeo2014!F50*1000+EIA_electricity_aeo2014!F55*1000</f>
        <v>90</v>
      </c>
      <c r="E23" s="330">
        <f>EIA_electricity_aeo2014!G50*1000+EIA_electricity_aeo2014!G55*1000</f>
        <v>184.03155519128867</v>
      </c>
      <c r="F23" s="330">
        <f>EIA_electricity_aeo2014!H50*1000+EIA_electricity_aeo2014!H55*1000</f>
        <v>119.70657503937689</v>
      </c>
      <c r="G23" s="330">
        <f>EIA_electricity_aeo2014!I50*1000+EIA_electricity_aeo2014!I55*1000</f>
        <v>83.412850253575215</v>
      </c>
      <c r="H23" s="330">
        <f>EIA_electricity_aeo2014!J50*1000+EIA_electricity_aeo2014!J55*1000</f>
        <v>84.730765653119647</v>
      </c>
      <c r="I23" s="330">
        <f>EIA_electricity_aeo2014!K50*1000+EIA_electricity_aeo2014!K55*1000</f>
        <v>81.877753065753836</v>
      </c>
      <c r="J23" s="330">
        <f>EIA_electricity_aeo2014!L50*1000+EIA_electricity_aeo2014!L55*1000</f>
        <v>77.830211431444624</v>
      </c>
      <c r="K23" s="330">
        <f>EIA_electricity_aeo2014!M50*1000+EIA_electricity_aeo2014!M55*1000</f>
        <v>43.397121237382819</v>
      </c>
      <c r="L23" s="330">
        <f>EIA_electricity_aeo2014!N50*1000+EIA_electricity_aeo2014!N55*1000</f>
        <v>44.296335783317382</v>
      </c>
      <c r="M23" s="330">
        <f>EIA_electricity_aeo2014!O50*1000+EIA_electricity_aeo2014!O55*1000</f>
        <v>44.781004434609841</v>
      </c>
      <c r="N23" s="330">
        <f>EIA_electricity_aeo2014!P50*1000+EIA_electricity_aeo2014!P55*1000</f>
        <v>44.71540813107071</v>
      </c>
      <c r="O23" s="330">
        <f>EIA_electricity_aeo2014!Q50*1000+EIA_electricity_aeo2014!Q55*1000</f>
        <v>45.228375167011535</v>
      </c>
      <c r="P23" s="330">
        <f>EIA_electricity_aeo2014!R50*1000+EIA_electricity_aeo2014!R55*1000</f>
        <v>45.607877854260487</v>
      </c>
      <c r="Q23" s="330">
        <f>EIA_electricity_aeo2014!S50*1000+EIA_electricity_aeo2014!S55*1000</f>
        <v>45.861604422710947</v>
      </c>
      <c r="R23" s="330">
        <f>EIA_electricity_aeo2014!T50*1000+EIA_electricity_aeo2014!T55*1000</f>
        <v>46.562700430734395</v>
      </c>
      <c r="S23" s="330">
        <f>EIA_electricity_aeo2014!U50*1000+EIA_electricity_aeo2014!U55*1000</f>
        <v>47.356378834721042</v>
      </c>
      <c r="T23" s="330">
        <f>EIA_electricity_aeo2014!V50*1000+EIA_electricity_aeo2014!V55*1000</f>
        <v>46.807249241357923</v>
      </c>
      <c r="U23" s="330">
        <f>EIA_electricity_aeo2014!W50*1000+EIA_electricity_aeo2014!W55*1000</f>
        <v>46.669341006333518</v>
      </c>
      <c r="V23" s="330">
        <f>EIA_electricity_aeo2014!X50*1000+EIA_electricity_aeo2014!X55*1000</f>
        <v>46.702446760960044</v>
      </c>
      <c r="W23" s="330">
        <f>EIA_electricity_aeo2014!Y50*1000+EIA_electricity_aeo2014!Y55*1000</f>
        <v>46.661068949803372</v>
      </c>
      <c r="X23" s="330">
        <f>EIA_electricity_aeo2014!Z50*1000+EIA_electricity_aeo2014!Z55*1000</f>
        <v>46.730133284858539</v>
      </c>
      <c r="Y23" s="330">
        <f>EIA_electricity_aeo2014!AA50*1000+EIA_electricity_aeo2014!AA55*1000</f>
        <v>46.726535488555896</v>
      </c>
      <c r="Z23" s="330">
        <f>EIA_electricity_aeo2014!AB50*1000+EIA_electricity_aeo2014!AB55*1000</f>
        <v>46.719112477362536</v>
      </c>
      <c r="AA23" s="330">
        <f>EIA_electricity_aeo2014!AC50*1000+EIA_electricity_aeo2014!AC55*1000</f>
        <v>46.667186181901975</v>
      </c>
      <c r="AB23" s="330">
        <f>EIA_electricity_aeo2014!AD50*1000+EIA_electricity_aeo2014!AD55*1000</f>
        <v>46.627019120816357</v>
      </c>
      <c r="AC23" s="330">
        <f>EIA_electricity_aeo2014!AE50*1000+EIA_electricity_aeo2014!AE55*1000</f>
        <v>46.58319329618314</v>
      </c>
      <c r="AD23" s="330">
        <f>EIA_electricity_aeo2014!AF50*1000+EIA_electricity_aeo2014!AF55*1000</f>
        <v>46.541297532972486</v>
      </c>
      <c r="AE23" s="330">
        <f>EIA_electricity_aeo2014!AG50*1000+EIA_electricity_aeo2014!AG55*1000</f>
        <v>46.509091710728484</v>
      </c>
      <c r="AF23" s="330">
        <f>EIA_electricity_aeo2014!AH50*1000+EIA_electricity_aeo2014!AH55*1000</f>
        <v>46.461497743325417</v>
      </c>
      <c r="AG23" s="330">
        <f>EIA_electricity_aeo2014!AI50*1000+EIA_electricity_aeo2014!AI55*1000</f>
        <v>46.457883762773207</v>
      </c>
      <c r="AH23" s="330">
        <f>EIA_electricity_aeo2014!AJ50*1000+EIA_electricity_aeo2014!AJ55*1000</f>
        <v>46.46395082770298</v>
      </c>
    </row>
    <row r="24" spans="1:34">
      <c r="A24" s="10" t="s">
        <v>345</v>
      </c>
      <c r="B24" s="37"/>
      <c r="C24" s="330">
        <f>SUM(C22:C23)</f>
        <v>48670</v>
      </c>
      <c r="D24" s="330">
        <f t="shared" ref="D24:AH24" si="4">SUM(D22:D23)</f>
        <v>54484</v>
      </c>
      <c r="E24" s="330">
        <f t="shared" si="4"/>
        <v>49560.430125971223</v>
      </c>
      <c r="F24" s="330">
        <f t="shared" si="4"/>
        <v>51478.232797920478</v>
      </c>
      <c r="G24" s="330">
        <f t="shared" si="4"/>
        <v>49488.936793042478</v>
      </c>
      <c r="H24" s="83">
        <f t="shared" si="4"/>
        <v>48873.268046548721</v>
      </c>
      <c r="I24" s="83">
        <f t="shared" si="4"/>
        <v>50343.265858449653</v>
      </c>
      <c r="J24" s="83">
        <f t="shared" si="4"/>
        <v>52574.614600899717</v>
      </c>
      <c r="K24" s="83">
        <f t="shared" si="4"/>
        <v>52617.308392190804</v>
      </c>
      <c r="L24" s="83">
        <f t="shared" si="4"/>
        <v>52978.71596548854</v>
      </c>
      <c r="M24" s="83">
        <f t="shared" si="4"/>
        <v>53666.2847630857</v>
      </c>
      <c r="N24" s="388">
        <f t="shared" si="4"/>
        <v>54516.471004693369</v>
      </c>
      <c r="O24" s="83">
        <f t="shared" si="4"/>
        <v>55203.501279681652</v>
      </c>
      <c r="P24" s="83">
        <f t="shared" si="4"/>
        <v>55991.510997473393</v>
      </c>
      <c r="Q24" s="83">
        <f t="shared" si="4"/>
        <v>57370.915061375759</v>
      </c>
      <c r="R24" s="83">
        <f t="shared" si="4"/>
        <v>58330.941599853788</v>
      </c>
      <c r="S24" s="83">
        <f t="shared" si="4"/>
        <v>59217.839056325451</v>
      </c>
      <c r="T24" s="83">
        <f t="shared" si="4"/>
        <v>59798.614663598775</v>
      </c>
      <c r="U24" s="83">
        <f t="shared" si="4"/>
        <v>60345.442354459097</v>
      </c>
      <c r="V24" s="83">
        <f t="shared" si="4"/>
        <v>60960.215468945709</v>
      </c>
      <c r="W24" s="83">
        <f t="shared" si="4"/>
        <v>61602.210555426202</v>
      </c>
      <c r="X24" s="184">
        <f t="shared" si="4"/>
        <v>62166.468274382525</v>
      </c>
      <c r="Y24" s="174">
        <f t="shared" si="4"/>
        <v>62424.395977072687</v>
      </c>
      <c r="Z24" s="174">
        <f t="shared" si="4"/>
        <v>62810.778900876488</v>
      </c>
      <c r="AA24" s="174">
        <f t="shared" si="4"/>
        <v>63104.521199951661</v>
      </c>
      <c r="AB24" s="174">
        <f t="shared" si="4"/>
        <v>63506.475258751132</v>
      </c>
      <c r="AC24" s="174">
        <f t="shared" si="4"/>
        <v>64100.215860047865</v>
      </c>
      <c r="AD24" s="174">
        <f t="shared" si="4"/>
        <v>64657.300939779539</v>
      </c>
      <c r="AE24" s="174">
        <f t="shared" si="4"/>
        <v>65509.936679428043</v>
      </c>
      <c r="AF24" s="174">
        <f t="shared" si="4"/>
        <v>66459.880878160504</v>
      </c>
      <c r="AG24" s="174">
        <f t="shared" si="4"/>
        <v>67231.476964589296</v>
      </c>
      <c r="AH24" s="174">
        <f t="shared" si="4"/>
        <v>67843.51020335166</v>
      </c>
    </row>
    <row r="25" spans="1:34">
      <c r="A25" s="10" t="s">
        <v>346</v>
      </c>
      <c r="B25" s="37"/>
      <c r="C25" s="332">
        <f t="shared" ref="C25:AH25" si="5">C24/C4-1</f>
        <v>-1.4380508248246215E-4</v>
      </c>
      <c r="D25" s="332">
        <f t="shared" si="5"/>
        <v>-1.8353675323434793E-5</v>
      </c>
      <c r="E25" s="332">
        <f t="shared" si="5"/>
        <v>6.0532528713963529E-6</v>
      </c>
      <c r="F25" s="332">
        <f t="shared" si="5"/>
        <v>5.8277398429229521E-6</v>
      </c>
      <c r="G25" s="332">
        <f t="shared" si="5"/>
        <v>6.0619976511855356E-6</v>
      </c>
      <c r="H25" s="82">
        <f t="shared" si="5"/>
        <v>6.1383626162037075E-6</v>
      </c>
      <c r="I25" s="82">
        <f t="shared" si="5"/>
        <v>5.9591244752077444E-6</v>
      </c>
      <c r="J25" s="82">
        <f t="shared" si="5"/>
        <v>5.7062084835024507E-6</v>
      </c>
      <c r="K25" s="82">
        <f t="shared" si="5"/>
        <v>5.7015784280523008E-6</v>
      </c>
      <c r="L25" s="82">
        <f t="shared" si="5"/>
        <v>5.6626834630257861E-6</v>
      </c>
      <c r="M25" s="82">
        <f t="shared" si="5"/>
        <v>5.5901331417196332E-6</v>
      </c>
      <c r="N25" s="199">
        <f t="shared" si="5"/>
        <v>5.5029543430951122E-6</v>
      </c>
      <c r="O25" s="82">
        <f t="shared" si="5"/>
        <v>5.4344674411677119E-6</v>
      </c>
      <c r="P25" s="82">
        <f t="shared" si="5"/>
        <v>5.3579837737682823E-6</v>
      </c>
      <c r="Q25" s="82">
        <f t="shared" si="5"/>
        <v>5.2291578132024341E-6</v>
      </c>
      <c r="R25" s="82">
        <f t="shared" si="5"/>
        <v>5.1430944656427613E-6</v>
      </c>
      <c r="S25" s="82">
        <f t="shared" si="5"/>
        <v>5.0660666550683686E-6</v>
      </c>
      <c r="T25" s="82">
        <f t="shared" si="5"/>
        <v>5.0168637975023245E-6</v>
      </c>
      <c r="U25" s="82">
        <f t="shared" si="5"/>
        <v>4.9714026397751354E-6</v>
      </c>
      <c r="V25" s="82">
        <f t="shared" si="5"/>
        <v>4.921266666624291E-6</v>
      </c>
      <c r="W25" s="82">
        <f t="shared" si="5"/>
        <v>4.869978825317034E-6</v>
      </c>
      <c r="X25" s="185">
        <f t="shared" si="5"/>
        <v>4.8257759537317924E-6</v>
      </c>
      <c r="Y25" s="172">
        <f t="shared" si="5"/>
        <v>4.8058365171854689E-6</v>
      </c>
      <c r="Z25" s="172">
        <f t="shared" si="5"/>
        <v>4.7762730877032311E-6</v>
      </c>
      <c r="AA25" s="172">
        <f t="shared" si="5"/>
        <v>4.7540401306722657E-6</v>
      </c>
      <c r="AB25" s="172">
        <f t="shared" si="5"/>
        <v>4.7239500533535761E-6</v>
      </c>
      <c r="AC25" s="172">
        <f t="shared" si="5"/>
        <v>4.6801933508699989E-6</v>
      </c>
      <c r="AD25" s="172">
        <f t="shared" si="5"/>
        <v>4.6398687789661608E-6</v>
      </c>
      <c r="AE25" s="172">
        <f t="shared" si="5"/>
        <v>4.5794789167441508E-6</v>
      </c>
      <c r="AF25" s="172">
        <f t="shared" si="5"/>
        <v>4.5140218465355986E-6</v>
      </c>
      <c r="AG25" s="172">
        <f t="shared" si="5"/>
        <v>4.4622155010998199E-6</v>
      </c>
      <c r="AH25" s="172">
        <f t="shared" si="5"/>
        <v>1.473982508937155E-6</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0.99999294288678275</v>
      </c>
      <c r="D28" s="332">
        <f t="shared" si="6"/>
        <v>0.99999334668432016</v>
      </c>
      <c r="E28" s="332">
        <f t="shared" si="6"/>
        <v>0.99974669669557992</v>
      </c>
      <c r="F28" s="332">
        <f t="shared" si="6"/>
        <v>0.99973625892344964</v>
      </c>
      <c r="G28" s="332">
        <f t="shared" si="6"/>
        <v>0.99975799182930836</v>
      </c>
      <c r="H28" s="164">
        <f t="shared" si="6"/>
        <v>0.99976457573877775</v>
      </c>
      <c r="I28" s="164">
        <f t="shared" si="6"/>
        <v>0.99976596590386702</v>
      </c>
      <c r="J28" s="164">
        <f t="shared" si="6"/>
        <v>0.99977444228806001</v>
      </c>
      <c r="K28" s="164">
        <f t="shared" si="6"/>
        <v>0.99978998731277957</v>
      </c>
      <c r="L28" s="164">
        <f t="shared" ref="L28:L34" si="7">L10/L$18</f>
        <v>0.9997971240201482</v>
      </c>
      <c r="M28" s="164">
        <f t="shared" ref="M28:AH28" si="8">M10/M$18</f>
        <v>0.99980489105342496</v>
      </c>
      <c r="N28" s="185">
        <f t="shared" si="8"/>
        <v>0.99981403917260159</v>
      </c>
      <c r="O28" s="164">
        <f t="shared" si="8"/>
        <v>0.99982658527798229</v>
      </c>
      <c r="P28" s="164">
        <f t="shared" si="8"/>
        <v>0.99983413498549656</v>
      </c>
      <c r="Q28" s="164">
        <f t="shared" si="8"/>
        <v>0.99985260168924439</v>
      </c>
      <c r="R28" s="164">
        <f t="shared" si="8"/>
        <v>0.99985875451711681</v>
      </c>
      <c r="S28" s="164">
        <f t="shared" si="8"/>
        <v>0.99987489783252814</v>
      </c>
      <c r="T28" s="164">
        <f t="shared" si="8"/>
        <v>0.99987897718149388</v>
      </c>
      <c r="U28" s="164">
        <f t="shared" si="8"/>
        <v>0.99988053445417902</v>
      </c>
      <c r="V28" s="164">
        <f t="shared" si="8"/>
        <v>0.99988225252734231</v>
      </c>
      <c r="W28" s="164">
        <f t="shared" si="8"/>
        <v>0.99989479594756703</v>
      </c>
      <c r="X28" s="185">
        <f t="shared" si="8"/>
        <v>0.99989584265700016</v>
      </c>
      <c r="Y28" s="172">
        <f t="shared" si="8"/>
        <v>0.99989668411535082</v>
      </c>
      <c r="Z28" s="172">
        <f t="shared" si="8"/>
        <v>0.99989767746678526</v>
      </c>
      <c r="AA28" s="172">
        <f t="shared" si="8"/>
        <v>0.99989898013828971</v>
      </c>
      <c r="AB28" s="172">
        <f t="shared" si="8"/>
        <v>0.99990041804268015</v>
      </c>
      <c r="AC28" s="172">
        <f t="shared" si="8"/>
        <v>0.99990163421597678</v>
      </c>
      <c r="AD28" s="172">
        <f t="shared" si="8"/>
        <v>0.99990330756698675</v>
      </c>
      <c r="AE28" s="172">
        <f t="shared" si="8"/>
        <v>0.99990497939744982</v>
      </c>
      <c r="AF28" s="172">
        <f t="shared" si="8"/>
        <v>0.99990686390431172</v>
      </c>
      <c r="AG28" s="172">
        <f t="shared" si="8"/>
        <v>0.99990871524278091</v>
      </c>
      <c r="AH28" s="172">
        <f t="shared" si="8"/>
        <v>0.99995090935764974</v>
      </c>
    </row>
    <row r="29" spans="1:34">
      <c r="A29" s="9" t="s">
        <v>50</v>
      </c>
      <c r="B29" s="37"/>
      <c r="C29" s="332">
        <f t="shared" ref="C29:K29" si="9">C11/C$18</f>
        <v>0</v>
      </c>
      <c r="D29" s="332">
        <f t="shared" si="9"/>
        <v>0</v>
      </c>
      <c r="E29" s="332">
        <f t="shared" si="9"/>
        <v>2.6027500887733258E-5</v>
      </c>
      <c r="F29" s="332">
        <f t="shared" si="9"/>
        <v>2.5248476693315026E-5</v>
      </c>
      <c r="G29" s="332">
        <f t="shared" si="9"/>
        <v>2.4922957771142743E-5</v>
      </c>
      <c r="H29" s="164">
        <f t="shared" si="9"/>
        <v>2.422402225527298E-5</v>
      </c>
      <c r="I29" s="164">
        <f t="shared" si="9"/>
        <v>2.3358932598584687E-5</v>
      </c>
      <c r="J29" s="164">
        <f t="shared" si="9"/>
        <v>2.203606773195251E-5</v>
      </c>
      <c r="K29" s="164">
        <f t="shared" si="9"/>
        <v>2.2339878464395662E-5</v>
      </c>
      <c r="L29" s="164">
        <f t="shared" si="7"/>
        <v>2.3247816622685993E-5</v>
      </c>
      <c r="M29" s="164">
        <f t="shared" ref="M29:AH29" si="10">M11/M$18</f>
        <v>2.2416998860517539E-5</v>
      </c>
      <c r="N29" s="185">
        <f t="shared" si="10"/>
        <v>2.1360633238922821E-5</v>
      </c>
      <c r="O29" s="164">
        <f t="shared" si="10"/>
        <v>1.9915243625339786E-5</v>
      </c>
      <c r="P29" s="164">
        <f t="shared" si="10"/>
        <v>1.9069025862583725E-5</v>
      </c>
      <c r="Q29" s="164">
        <f t="shared" si="10"/>
        <v>1.6974186602727587E-5</v>
      </c>
      <c r="R29" s="164">
        <f t="shared" si="10"/>
        <v>1.6253978129427939E-5</v>
      </c>
      <c r="S29" s="164">
        <f t="shared" si="10"/>
        <v>1.4406240530868075E-5</v>
      </c>
      <c r="T29" s="164">
        <f t="shared" si="10"/>
        <v>1.3934107943573568E-5</v>
      </c>
      <c r="U29" s="164">
        <f t="shared" si="10"/>
        <v>1.4690591240182426E-5</v>
      </c>
      <c r="V29" s="164">
        <f t="shared" si="10"/>
        <v>1.5050020779234507E-5</v>
      </c>
      <c r="W29" s="164">
        <f t="shared" si="10"/>
        <v>1.3490787848480776E-5</v>
      </c>
      <c r="X29" s="185">
        <f t="shared" si="10"/>
        <v>1.3888309771528154E-5</v>
      </c>
      <c r="Y29" s="172">
        <f t="shared" si="10"/>
        <v>1.4216715932607319E-5</v>
      </c>
      <c r="Z29" s="172">
        <f t="shared" si="10"/>
        <v>1.4070952613163884E-5</v>
      </c>
      <c r="AA29" s="172">
        <f t="shared" si="10"/>
        <v>1.3882579511015508E-5</v>
      </c>
      <c r="AB29" s="172">
        <f t="shared" si="10"/>
        <v>1.3672892253017287E-5</v>
      </c>
      <c r="AC29" s="172">
        <f t="shared" si="10"/>
        <v>1.3498338827816016E-5</v>
      </c>
      <c r="AD29" s="172">
        <f t="shared" si="10"/>
        <v>1.3264476360225986E-5</v>
      </c>
      <c r="AE29" s="172">
        <f t="shared" si="10"/>
        <v>1.3021243054785021E-5</v>
      </c>
      <c r="AF29" s="172">
        <f t="shared" si="10"/>
        <v>1.2752674070031992E-5</v>
      </c>
      <c r="AG29" s="172">
        <f t="shared" si="10"/>
        <v>1.2484496458698083E-5</v>
      </c>
      <c r="AH29" s="172">
        <f t="shared" si="10"/>
        <v>1.2252814046366237E-5</v>
      </c>
    </row>
    <row r="30" spans="1:34">
      <c r="A30" s="9" t="s">
        <v>51</v>
      </c>
      <c r="B30" s="37"/>
      <c r="C30" s="332">
        <f t="shared" ref="C30:K30" si="11">C12/C$18</f>
        <v>0</v>
      </c>
      <c r="D30" s="332">
        <f t="shared" si="11"/>
        <v>0</v>
      </c>
      <c r="E30" s="332">
        <f t="shared" si="11"/>
        <v>8.6891894395943745E-7</v>
      </c>
      <c r="F30" s="332">
        <f t="shared" si="11"/>
        <v>9.3171216897660305E-7</v>
      </c>
      <c r="G30" s="332">
        <f t="shared" si="11"/>
        <v>6.8418109176429643E-7</v>
      </c>
      <c r="H30" s="164">
        <f t="shared" si="11"/>
        <v>7.1555151440335557E-7</v>
      </c>
      <c r="I30" s="164">
        <f t="shared" si="11"/>
        <v>6.3177931185386803E-7</v>
      </c>
      <c r="J30" s="164">
        <f t="shared" si="11"/>
        <v>6.9852126383095278E-7</v>
      </c>
      <c r="K30" s="164">
        <f t="shared" si="11"/>
        <v>6.4852775006530422E-7</v>
      </c>
      <c r="L30" s="164">
        <f t="shared" si="7"/>
        <v>6.2084899341726029E-7</v>
      </c>
      <c r="M30" s="164">
        <f t="shared" ref="M30:AH30" si="12">M12/M$18</f>
        <v>5.9295281911853139E-7</v>
      </c>
      <c r="N30" s="185">
        <f t="shared" si="12"/>
        <v>5.64998277565764E-7</v>
      </c>
      <c r="O30" s="164">
        <f t="shared" si="12"/>
        <v>5.2679437126224489E-7</v>
      </c>
      <c r="P30" s="164">
        <f t="shared" si="12"/>
        <v>5.06990929982268E-7</v>
      </c>
      <c r="Q30" s="164">
        <f t="shared" si="12"/>
        <v>4.4743829150074162E-7</v>
      </c>
      <c r="R30" s="164">
        <f t="shared" si="12"/>
        <v>4.2874096284661198E-7</v>
      </c>
      <c r="S30" s="164">
        <f t="shared" si="12"/>
        <v>3.8215614852186349E-7</v>
      </c>
      <c r="T30" s="164">
        <f t="shared" si="12"/>
        <v>3.6326969904288032E-7</v>
      </c>
      <c r="U30" s="164">
        <f t="shared" si="12"/>
        <v>3.5911844644313686E-7</v>
      </c>
      <c r="V30" s="164">
        <f t="shared" si="12"/>
        <v>3.5189215685570847E-7</v>
      </c>
      <c r="W30" s="164">
        <f t="shared" si="12"/>
        <v>3.1408436422903349E-7</v>
      </c>
      <c r="X30" s="185">
        <f t="shared" si="12"/>
        <v>3.0894454324709452E-7</v>
      </c>
      <c r="Y30" s="172">
        <f t="shared" si="12"/>
        <v>3.0474528998105339E-7</v>
      </c>
      <c r="Z30" s="172">
        <f t="shared" si="12"/>
        <v>3.0366236175638861E-7</v>
      </c>
      <c r="AA30" s="172">
        <f t="shared" si="12"/>
        <v>3.0240745534550479E-7</v>
      </c>
      <c r="AB30" s="172">
        <f t="shared" si="12"/>
        <v>3.0189704440763455E-7</v>
      </c>
      <c r="AC30" s="172">
        <f t="shared" si="12"/>
        <v>2.9807660430289284E-7</v>
      </c>
      <c r="AD30" s="172">
        <f t="shared" si="12"/>
        <v>2.929433774659246E-7</v>
      </c>
      <c r="AE30" s="172">
        <f t="shared" si="12"/>
        <v>2.9312069726821797E-7</v>
      </c>
      <c r="AF30" s="172">
        <f t="shared" si="12"/>
        <v>2.8711404989854574E-7</v>
      </c>
      <c r="AG30" s="172">
        <f t="shared" si="12"/>
        <v>2.8110977333476095E-7</v>
      </c>
      <c r="AH30" s="172">
        <f t="shared" si="12"/>
        <v>2.7592022187654766E-7</v>
      </c>
    </row>
    <row r="31" spans="1:34">
      <c r="A31" s="9" t="s">
        <v>347</v>
      </c>
      <c r="B31" s="37"/>
      <c r="C31" s="332">
        <f t="shared" ref="C31:K31" si="13">C13/C$18</f>
        <v>0</v>
      </c>
      <c r="D31" s="332">
        <f t="shared" si="13"/>
        <v>0</v>
      </c>
      <c r="E31" s="332">
        <f t="shared" si="13"/>
        <v>1.2975204355527447E-4</v>
      </c>
      <c r="F31" s="332">
        <f t="shared" si="13"/>
        <v>1.3436476723725926E-4</v>
      </c>
      <c r="G31" s="332">
        <f t="shared" si="13"/>
        <v>1.2130752125011131E-4</v>
      </c>
      <c r="H31" s="164">
        <f t="shared" si="13"/>
        <v>1.1790513306063406E-4</v>
      </c>
      <c r="I31" s="164">
        <f t="shared" si="13"/>
        <v>1.1372970432618492E-4</v>
      </c>
      <c r="J31" s="164">
        <f t="shared" si="13"/>
        <v>1.0748994593057959E-4</v>
      </c>
      <c r="K31" s="164">
        <f t="shared" si="13"/>
        <v>9.911696448605495E-5</v>
      </c>
      <c r="L31" s="164">
        <f t="shared" si="7"/>
        <v>9.4870692864670251E-5</v>
      </c>
      <c r="M31" s="164">
        <f t="shared" ref="M31:AH31" si="14">M13/M$18</f>
        <v>9.1206391895449069E-5</v>
      </c>
      <c r="N31" s="185">
        <f t="shared" si="14"/>
        <v>8.6931973225757482E-5</v>
      </c>
      <c r="O31" s="164">
        <f t="shared" si="14"/>
        <v>8.1067924545430003E-5</v>
      </c>
      <c r="P31" s="164">
        <f t="shared" si="14"/>
        <v>7.7520304334910222E-5</v>
      </c>
      <c r="Q31" s="164">
        <f t="shared" si="14"/>
        <v>6.8877562906701786E-5</v>
      </c>
      <c r="R31" s="164">
        <f t="shared" si="14"/>
        <v>6.6009299670310198E-5</v>
      </c>
      <c r="S31" s="164">
        <f t="shared" si="14"/>
        <v>5.8458913601343634E-5</v>
      </c>
      <c r="T31" s="164">
        <f t="shared" si="14"/>
        <v>5.655600750140006E-5</v>
      </c>
      <c r="U31" s="164">
        <f t="shared" si="14"/>
        <v>5.5329730605835893E-5</v>
      </c>
      <c r="V31" s="164">
        <f t="shared" si="14"/>
        <v>5.4233038790927434E-5</v>
      </c>
      <c r="W31" s="164">
        <f t="shared" si="14"/>
        <v>4.8423328877070698E-5</v>
      </c>
      <c r="X31" s="185">
        <f t="shared" si="14"/>
        <v>4.7649125851297954E-5</v>
      </c>
      <c r="Y31" s="172">
        <f t="shared" si="14"/>
        <v>4.701937891509741E-5</v>
      </c>
      <c r="Z31" s="172">
        <f t="shared" si="14"/>
        <v>4.6557593877061475E-5</v>
      </c>
      <c r="AA31" s="172">
        <f t="shared" si="14"/>
        <v>4.5952608794070796E-5</v>
      </c>
      <c r="AB31" s="172">
        <f t="shared" si="14"/>
        <v>4.5275976863529543E-5</v>
      </c>
      <c r="AC31" s="172">
        <f t="shared" si="14"/>
        <v>4.4714520054167596E-5</v>
      </c>
      <c r="AD31" s="172">
        <f t="shared" si="14"/>
        <v>4.3955561410649748E-5</v>
      </c>
      <c r="AE31" s="172">
        <f t="shared" si="14"/>
        <v>4.3164415546076419E-5</v>
      </c>
      <c r="AF31" s="172">
        <f t="shared" si="14"/>
        <v>4.2287951969739424E-5</v>
      </c>
      <c r="AG31" s="172">
        <f t="shared" si="14"/>
        <v>4.1412082793997287E-5</v>
      </c>
      <c r="AH31" s="172">
        <f t="shared" si="14"/>
        <v>0</v>
      </c>
    </row>
    <row r="32" spans="1:34">
      <c r="A32" s="9" t="s">
        <v>348</v>
      </c>
      <c r="B32" s="37"/>
      <c r="C32" s="332">
        <f t="shared" ref="C32:K32" si="15">C14/C$18</f>
        <v>0</v>
      </c>
      <c r="D32" s="332">
        <f t="shared" si="15"/>
        <v>0</v>
      </c>
      <c r="E32" s="332">
        <f t="shared" si="15"/>
        <v>6.4876021777637236E-5</v>
      </c>
      <c r="F32" s="332">
        <f t="shared" si="15"/>
        <v>6.7182383618629628E-5</v>
      </c>
      <c r="G32" s="332">
        <f t="shared" si="15"/>
        <v>6.0653760625055653E-5</v>
      </c>
      <c r="H32" s="164">
        <f t="shared" si="15"/>
        <v>5.8952566530317031E-5</v>
      </c>
      <c r="I32" s="164">
        <f t="shared" si="15"/>
        <v>5.6864852163092461E-5</v>
      </c>
      <c r="J32" s="164">
        <f t="shared" si="15"/>
        <v>5.3744972965289797E-5</v>
      </c>
      <c r="K32" s="164">
        <f t="shared" si="15"/>
        <v>4.9558482243027475E-5</v>
      </c>
      <c r="L32" s="164">
        <f t="shared" si="7"/>
        <v>4.7435346432335126E-5</v>
      </c>
      <c r="M32" s="164">
        <f t="shared" ref="M32:AH32" si="16">M14/M$18</f>
        <v>4.5603195947724535E-5</v>
      </c>
      <c r="N32" s="185">
        <f t="shared" si="16"/>
        <v>4.3465986612878741E-5</v>
      </c>
      <c r="O32" s="164">
        <f t="shared" si="16"/>
        <v>4.0533962272715001E-5</v>
      </c>
      <c r="P32" s="164">
        <f t="shared" si="16"/>
        <v>3.8760152167455111E-5</v>
      </c>
      <c r="Q32" s="164">
        <f t="shared" si="16"/>
        <v>3.4438781453350893E-5</v>
      </c>
      <c r="R32" s="164">
        <f t="shared" si="16"/>
        <v>3.3004649835155099E-5</v>
      </c>
      <c r="S32" s="164">
        <f t="shared" si="16"/>
        <v>2.9229456800671817E-5</v>
      </c>
      <c r="T32" s="164">
        <f t="shared" si="16"/>
        <v>2.827800375070003E-5</v>
      </c>
      <c r="U32" s="164">
        <f t="shared" si="16"/>
        <v>2.7664865302917946E-5</v>
      </c>
      <c r="V32" s="164">
        <f t="shared" si="16"/>
        <v>2.7116519395463717E-5</v>
      </c>
      <c r="W32" s="164">
        <f t="shared" si="16"/>
        <v>2.4211664438535349E-5</v>
      </c>
      <c r="X32" s="185">
        <f t="shared" si="16"/>
        <v>2.3824562925648977E-5</v>
      </c>
      <c r="Y32" s="172">
        <f t="shared" si="16"/>
        <v>2.3509689457548705E-5</v>
      </c>
      <c r="Z32" s="172">
        <f t="shared" si="16"/>
        <v>2.3278796938530738E-5</v>
      </c>
      <c r="AA32" s="172">
        <f t="shared" si="16"/>
        <v>2.2976304397035398E-5</v>
      </c>
      <c r="AB32" s="172">
        <f t="shared" si="16"/>
        <v>2.2637988431764772E-5</v>
      </c>
      <c r="AC32" s="172">
        <f t="shared" si="16"/>
        <v>2.2357260027083798E-5</v>
      </c>
      <c r="AD32" s="172">
        <f t="shared" si="16"/>
        <v>2.1977780705324874E-5</v>
      </c>
      <c r="AE32" s="172">
        <f t="shared" si="16"/>
        <v>2.158220777303821E-5</v>
      </c>
      <c r="AF32" s="172">
        <f t="shared" si="16"/>
        <v>2.1143975984869712E-5</v>
      </c>
      <c r="AG32" s="172">
        <f t="shared" si="16"/>
        <v>2.0706041396998644E-5</v>
      </c>
      <c r="AH32" s="172">
        <f t="shared" si="16"/>
        <v>2.0327905972205172E-5</v>
      </c>
    </row>
    <row r="33" spans="1:36">
      <c r="A33" s="9" t="s">
        <v>344</v>
      </c>
      <c r="B33" s="37"/>
      <c r="C33" s="332">
        <f t="shared" ref="C33:K33" si="17">C15/C$18</f>
        <v>7.0571132172673445E-6</v>
      </c>
      <c r="D33" s="332">
        <f t="shared" si="17"/>
        <v>6.6533156798690627E-6</v>
      </c>
      <c r="E33" s="332">
        <f t="shared" si="17"/>
        <v>6.4876021777637231E-6</v>
      </c>
      <c r="F33" s="332">
        <f t="shared" si="17"/>
        <v>6.7182383618629631E-6</v>
      </c>
      <c r="G33" s="332">
        <f t="shared" si="17"/>
        <v>6.0653760625055653E-6</v>
      </c>
      <c r="H33" s="164">
        <f t="shared" si="17"/>
        <v>5.8952566530317031E-6</v>
      </c>
      <c r="I33" s="164">
        <f t="shared" si="17"/>
        <v>5.6864852163092461E-6</v>
      </c>
      <c r="J33" s="164">
        <f t="shared" si="17"/>
        <v>5.3744972965289792E-6</v>
      </c>
      <c r="K33" s="164">
        <f t="shared" si="17"/>
        <v>4.9558482243027479E-6</v>
      </c>
      <c r="L33" s="164">
        <f t="shared" si="7"/>
        <v>4.7435346432335126E-6</v>
      </c>
      <c r="M33" s="164">
        <f t="shared" ref="M33:AH33" si="18">M15/M$18</f>
        <v>4.5603195947724533E-6</v>
      </c>
      <c r="N33" s="185">
        <f t="shared" si="18"/>
        <v>4.3465986612878736E-6</v>
      </c>
      <c r="O33" s="164">
        <f t="shared" si="18"/>
        <v>4.0533962272714995E-6</v>
      </c>
      <c r="P33" s="164">
        <f t="shared" si="18"/>
        <v>3.8760152167455109E-6</v>
      </c>
      <c r="Q33" s="164">
        <f t="shared" si="18"/>
        <v>3.4438781453350892E-6</v>
      </c>
      <c r="R33" s="164">
        <f t="shared" si="18"/>
        <v>3.3004649835155099E-6</v>
      </c>
      <c r="S33" s="164">
        <f t="shared" si="18"/>
        <v>2.9229456800671817E-6</v>
      </c>
      <c r="T33" s="164">
        <f t="shared" si="18"/>
        <v>2.8278003750700031E-6</v>
      </c>
      <c r="U33" s="164">
        <f t="shared" si="18"/>
        <v>2.7664865302917945E-6</v>
      </c>
      <c r="V33" s="164">
        <f t="shared" si="18"/>
        <v>2.7116519395463719E-6</v>
      </c>
      <c r="W33" s="164">
        <f t="shared" si="18"/>
        <v>2.4211664438535349E-6</v>
      </c>
      <c r="X33" s="185">
        <f t="shared" si="18"/>
        <v>2.3824562925648976E-6</v>
      </c>
      <c r="Y33" s="172">
        <f t="shared" si="18"/>
        <v>2.3509689457548706E-6</v>
      </c>
      <c r="Z33" s="172">
        <f t="shared" si="18"/>
        <v>2.3278796938530737E-6</v>
      </c>
      <c r="AA33" s="172">
        <f t="shared" si="18"/>
        <v>2.2976304397035399E-6</v>
      </c>
      <c r="AB33" s="172">
        <f t="shared" si="18"/>
        <v>2.2637988431764772E-6</v>
      </c>
      <c r="AC33" s="172">
        <f t="shared" si="18"/>
        <v>2.2357260027083797E-6</v>
      </c>
      <c r="AD33" s="172">
        <f t="shared" si="18"/>
        <v>2.1977780705324875E-6</v>
      </c>
      <c r="AE33" s="172">
        <f t="shared" si="18"/>
        <v>2.1582207773038208E-6</v>
      </c>
      <c r="AF33" s="172">
        <f t="shared" si="18"/>
        <v>2.1143975984869711E-6</v>
      </c>
      <c r="AG33" s="172">
        <f t="shared" si="18"/>
        <v>2.0706041396998644E-6</v>
      </c>
      <c r="AH33" s="172">
        <f t="shared" si="18"/>
        <v>2.0327905972205173E-6</v>
      </c>
    </row>
    <row r="34" spans="1:36">
      <c r="A34" s="9" t="s">
        <v>53</v>
      </c>
      <c r="B34" s="37"/>
      <c r="C34" s="332">
        <f t="shared" ref="C34:K34" si="19">C16/C$18</f>
        <v>0</v>
      </c>
      <c r="D34" s="332">
        <f t="shared" si="19"/>
        <v>0</v>
      </c>
      <c r="E34" s="332">
        <f t="shared" si="19"/>
        <v>2.5291217077736895E-5</v>
      </c>
      <c r="F34" s="332">
        <f t="shared" si="19"/>
        <v>2.9295498470304252E-5</v>
      </c>
      <c r="G34" s="332">
        <f t="shared" si="19"/>
        <v>2.8374373891171441E-5</v>
      </c>
      <c r="H34" s="164">
        <f t="shared" si="19"/>
        <v>2.7731731208687108E-5</v>
      </c>
      <c r="I34" s="164">
        <f t="shared" si="19"/>
        <v>3.3762342516960893E-5</v>
      </c>
      <c r="J34" s="164">
        <f t="shared" si="19"/>
        <v>3.6213706751839243E-5</v>
      </c>
      <c r="K34" s="164">
        <f t="shared" si="19"/>
        <v>3.3392986052629666E-5</v>
      </c>
      <c r="L34" s="164">
        <f t="shared" si="7"/>
        <v>3.1957740295361998E-5</v>
      </c>
      <c r="M34" s="164">
        <f t="shared" ref="M34:AH34" si="20">M16/M$18</f>
        <v>3.0729087457493813E-5</v>
      </c>
      <c r="N34" s="185">
        <f t="shared" si="20"/>
        <v>2.9290637382154996E-5</v>
      </c>
      <c r="O34" s="164">
        <f t="shared" si="20"/>
        <v>2.731740097584712E-5</v>
      </c>
      <c r="P34" s="164">
        <f t="shared" si="20"/>
        <v>2.6132525991791853E-5</v>
      </c>
      <c r="Q34" s="164">
        <f t="shared" si="20"/>
        <v>2.3216463355986087E-5</v>
      </c>
      <c r="R34" s="164">
        <f t="shared" si="20"/>
        <v>2.2248349301881474E-5</v>
      </c>
      <c r="S34" s="164">
        <f t="shared" si="20"/>
        <v>1.970245471048629E-5</v>
      </c>
      <c r="T34" s="164">
        <f t="shared" si="20"/>
        <v>1.9063629236416146E-5</v>
      </c>
      <c r="U34" s="164">
        <f t="shared" si="20"/>
        <v>1.8654753695276381E-5</v>
      </c>
      <c r="V34" s="164">
        <f t="shared" si="20"/>
        <v>1.8284349595762702E-5</v>
      </c>
      <c r="W34" s="164">
        <f t="shared" si="20"/>
        <v>1.6343020460814503E-5</v>
      </c>
      <c r="X34" s="185">
        <f t="shared" si="20"/>
        <v>1.6103943615540108E-5</v>
      </c>
      <c r="Y34" s="172">
        <f t="shared" si="20"/>
        <v>1.5914386107967989E-5</v>
      </c>
      <c r="Z34" s="172">
        <f t="shared" si="20"/>
        <v>1.5783647730505853E-5</v>
      </c>
      <c r="AA34" s="172">
        <f t="shared" si="20"/>
        <v>1.5608331112855101E-5</v>
      </c>
      <c r="AB34" s="172">
        <f t="shared" si="20"/>
        <v>1.542940388396253E-5</v>
      </c>
      <c r="AC34" s="172">
        <f t="shared" si="20"/>
        <v>1.5261862507234764E-5</v>
      </c>
      <c r="AD34" s="172">
        <f t="shared" si="20"/>
        <v>1.5003893089035851E-5</v>
      </c>
      <c r="AE34" s="172">
        <f t="shared" si="20"/>
        <v>1.4801394701737636E-5</v>
      </c>
      <c r="AF34" s="172">
        <f t="shared" si="20"/>
        <v>1.4549982015306428E-5</v>
      </c>
      <c r="AG34" s="172">
        <f t="shared" si="20"/>
        <v>1.4330422656165737E-5</v>
      </c>
      <c r="AH34" s="172">
        <f t="shared" si="20"/>
        <v>1.4201211512431603E-5</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-1.5E-3</v>
      </c>
      <c r="D42" s="331">
        <f>D7*Inputs!$C$48</f>
        <v>-1.5E-3</v>
      </c>
      <c r="E42" s="331">
        <f>E7*Inputs!$C$48</f>
        <v>-1.5E-3</v>
      </c>
      <c r="F42" s="331">
        <f>F7*Inputs!$C$48</f>
        <v>-1.5E-3</v>
      </c>
      <c r="G42" s="331">
        <f>G7*Inputs!$C$48</f>
        <v>-1.5E-3</v>
      </c>
      <c r="H42" s="14">
        <f>H7*Inputs!$C$48</f>
        <v>-1.5E-3</v>
      </c>
      <c r="I42" s="14">
        <f>I7*Inputs!$C$48</f>
        <v>-1.5E-3</v>
      </c>
      <c r="J42" s="14">
        <f>J7*Inputs!$C$48</f>
        <v>-1.5E-3</v>
      </c>
      <c r="K42" s="14">
        <f>K7*Inputs!$C$48</f>
        <v>-1.5E-3</v>
      </c>
      <c r="L42" s="14">
        <f>L7*Inputs!$C$48</f>
        <v>-1.5E-3</v>
      </c>
      <c r="M42" s="14">
        <f>M7*Inputs!$C$48</f>
        <v>-1.5E-3</v>
      </c>
      <c r="N42" s="190">
        <f>N7*Inputs!$C$48</f>
        <v>-1.5E-3</v>
      </c>
      <c r="O42" s="14">
        <f>O7*Inputs!$C$48</f>
        <v>-1.5E-3</v>
      </c>
      <c r="P42" s="14">
        <f>P7*Inputs!$C$48</f>
        <v>-1.5E-3</v>
      </c>
      <c r="Q42" s="14">
        <f>Q7*Inputs!$C$48</f>
        <v>-1.5E-3</v>
      </c>
      <c r="R42" s="14">
        <f>R7*Inputs!$C$48</f>
        <v>-1.5E-3</v>
      </c>
      <c r="S42" s="14">
        <f>S7*Inputs!$C$48</f>
        <v>-1.5E-3</v>
      </c>
      <c r="T42" s="14">
        <f>T7*Inputs!$C$48</f>
        <v>-1.5E-3</v>
      </c>
      <c r="U42" s="14">
        <f>U7*Inputs!$C$48</f>
        <v>-1.5E-3</v>
      </c>
      <c r="V42" s="14">
        <f>V7*Inputs!$C$48</f>
        <v>-1.5E-3</v>
      </c>
      <c r="W42" s="14">
        <f>W7*Inputs!$C$48</f>
        <v>-1.5E-3</v>
      </c>
      <c r="X42" s="187">
        <f>X7*Inputs!$C$48</f>
        <v>-1.5E-3</v>
      </c>
      <c r="Y42" s="14">
        <f>Y7*Inputs!$C$48</f>
        <v>-1.5E-3</v>
      </c>
      <c r="Z42" s="14">
        <f>Z7*Inputs!$C$48</f>
        <v>-1.5E-3</v>
      </c>
      <c r="AA42" s="14">
        <f>AA7*Inputs!$C$48</f>
        <v>-1.5E-3</v>
      </c>
      <c r="AB42" s="14">
        <f>AB7*Inputs!$C$48</f>
        <v>-1.5E-3</v>
      </c>
      <c r="AC42" s="14">
        <f>AC7*Inputs!$C$48</f>
        <v>-1.5E-3</v>
      </c>
      <c r="AD42" s="14">
        <f>AD7*Inputs!$C$48</f>
        <v>-1.5E-3</v>
      </c>
      <c r="AE42" s="14">
        <f>AE7*Inputs!$C$48</f>
        <v>-1.5E-3</v>
      </c>
      <c r="AF42" s="14">
        <f>AF7*Inputs!$C$48</f>
        <v>-1.5E-3</v>
      </c>
      <c r="AG42" s="14">
        <f>AG7*Inputs!$C$48</f>
        <v>-1.5E-3</v>
      </c>
      <c r="AH42" s="14">
        <f>AH7*Inputs!$C$48</f>
        <v>-1.5E-3</v>
      </c>
    </row>
    <row r="43" spans="1:36" ht="15">
      <c r="A43" s="8" t="s">
        <v>59</v>
      </c>
      <c r="B43" s="34">
        <v>0</v>
      </c>
      <c r="C43" s="331">
        <f>C8*Inputs!$C$53</f>
        <v>1539.8600000000001</v>
      </c>
      <c r="D43" s="331">
        <f>D8*Inputs!$C$53</f>
        <v>1350.0200000000002</v>
      </c>
      <c r="E43" s="331">
        <f>E8*Inputs!$C$53</f>
        <v>1418.7579025644216</v>
      </c>
      <c r="F43" s="331">
        <f>F8*Inputs!$C$53</f>
        <v>1405.6582694540525</v>
      </c>
      <c r="G43" s="331">
        <f>G8*Inputs!$C$53</f>
        <v>1383.2106198348145</v>
      </c>
      <c r="H43" s="14">
        <f>H8*Inputs!$C$53</f>
        <v>1387.3157051829689</v>
      </c>
      <c r="I43" s="14">
        <f>I8*Inputs!$C$53</f>
        <v>1439.9829121269722</v>
      </c>
      <c r="J43" s="14">
        <f>J8*Inputs!$C$53</f>
        <v>1500.9898653401833</v>
      </c>
      <c r="K43" s="14">
        <f>K8*Inputs!$C$53</f>
        <v>1560.2898612532349</v>
      </c>
      <c r="L43" s="14">
        <f>L8*Inputs!$C$53</f>
        <v>1606.334024841474</v>
      </c>
      <c r="M43" s="14">
        <f>M8*Inputs!$C$53</f>
        <v>1614.3783180605278</v>
      </c>
      <c r="N43" s="190">
        <f>N8*Inputs!$C$53</f>
        <v>1614.3783584708108</v>
      </c>
      <c r="O43" s="14">
        <f>O8*Inputs!$C$53</f>
        <v>1614.3783584708108</v>
      </c>
      <c r="P43" s="14">
        <f>P8*Inputs!$C$53</f>
        <v>1614.3783450007165</v>
      </c>
      <c r="Q43" s="14">
        <f>Q8*Inputs!$C$53</f>
        <v>1614.3783584708108</v>
      </c>
      <c r="R43" s="14">
        <f>R8*Inputs!$C$53</f>
        <v>1614.3783180605278</v>
      </c>
      <c r="S43" s="14">
        <f>S8*Inputs!$C$53</f>
        <v>1614.3815845584149</v>
      </c>
      <c r="T43" s="14">
        <f>T8*Inputs!$C$53</f>
        <v>1614.3783450007165</v>
      </c>
      <c r="U43" s="14">
        <f>U8*Inputs!$C$53</f>
        <v>1614.3783315306221</v>
      </c>
      <c r="V43" s="14">
        <f>V8*Inputs!$C$53</f>
        <v>1614.3783315306221</v>
      </c>
      <c r="W43" s="14">
        <f>W8*Inputs!$C$53</f>
        <v>1614.3783584708108</v>
      </c>
      <c r="X43" s="187">
        <f>X8*Inputs!$C$53</f>
        <v>1614.3783315306221</v>
      </c>
      <c r="Y43" s="14">
        <f>Y8*Inputs!$C$53</f>
        <v>1614.3783315306221</v>
      </c>
      <c r="Z43" s="14">
        <f>Z8*Inputs!$C$53</f>
        <v>1614.3783450007165</v>
      </c>
      <c r="AA43" s="14">
        <f>AA8*Inputs!$C$53</f>
        <v>1614.3783113254806</v>
      </c>
      <c r="AB43" s="14">
        <f>AB8*Inputs!$C$53</f>
        <v>1614.3783315306221</v>
      </c>
      <c r="AC43" s="14">
        <f>AC8*Inputs!$C$53</f>
        <v>1614.3783584708108</v>
      </c>
      <c r="AD43" s="14">
        <f>AD8*Inputs!$C$53</f>
        <v>1614.3783584708108</v>
      </c>
      <c r="AE43" s="14">
        <f>AE8*Inputs!$C$53</f>
        <v>1614.3783584708108</v>
      </c>
      <c r="AF43" s="14">
        <f>AF8*Inputs!$C$53</f>
        <v>1614.3783584708108</v>
      </c>
      <c r="AG43" s="14">
        <f>AG8*Inputs!$C$53</f>
        <v>1614.3783315306221</v>
      </c>
      <c r="AH43" s="14">
        <f>AH8*Inputs!$C$53</f>
        <v>1614.3783315306221</v>
      </c>
    </row>
    <row r="44" spans="1:36" ht="15">
      <c r="A44" s="8" t="s">
        <v>121</v>
      </c>
      <c r="B44" s="34">
        <v>1</v>
      </c>
      <c r="C44" s="331">
        <f>C10*Inputs!$C$46</f>
        <v>297.57</v>
      </c>
      <c r="D44" s="331">
        <f>D10*Inputs!$C$46</f>
        <v>315.63</v>
      </c>
      <c r="E44" s="331">
        <f>E10*Inputs!$C$46</f>
        <v>323.6123309559041</v>
      </c>
      <c r="F44" s="331">
        <f>F10*Inputs!$C$46</f>
        <v>312.4995021994232</v>
      </c>
      <c r="G44" s="331">
        <f>G10*Inputs!$C$46</f>
        <v>346.14371165211179</v>
      </c>
      <c r="H44" s="14">
        <f>H10*Inputs!$C$46</f>
        <v>356.13472535953775</v>
      </c>
      <c r="I44" s="14">
        <f>I10*Inputs!$C$46</f>
        <v>369.21023242557283</v>
      </c>
      <c r="J44" s="14">
        <f>J10*Inputs!$C$46</f>
        <v>390.64608519960865</v>
      </c>
      <c r="K44" s="14">
        <f>K10*Inputs!$C$46</f>
        <v>423.65279934540973</v>
      </c>
      <c r="L44" s="14">
        <f>L10*Inputs!$C$46</f>
        <v>442.61803029883646</v>
      </c>
      <c r="M44" s="14">
        <f>M10*Inputs!$C$46</f>
        <v>460.40419483296228</v>
      </c>
      <c r="N44" s="190">
        <f>N10*Inputs!$C$46</f>
        <v>483.04654877898486</v>
      </c>
      <c r="O44" s="14">
        <f>O10*Inputs!$C$46</f>
        <v>517.99422295735201</v>
      </c>
      <c r="P44" s="14">
        <f>P10*Inputs!$C$46</f>
        <v>541.70367402027682</v>
      </c>
      <c r="Q44" s="14">
        <f>Q10*Inputs!$C$46</f>
        <v>609.68779234873693</v>
      </c>
      <c r="R44" s="14">
        <f>R10*Inputs!$C$46</f>
        <v>636.18411192759686</v>
      </c>
      <c r="S44" s="14">
        <f>S10*Inputs!$C$46</f>
        <v>718.36343034607751</v>
      </c>
      <c r="T44" s="14">
        <f>T10*Inputs!$C$46</f>
        <v>742.53680372652093</v>
      </c>
      <c r="U44" s="14">
        <f>U10*Inputs!$C$46</f>
        <v>758.99488371349685</v>
      </c>
      <c r="V44" s="14">
        <f>V10*Inputs!$C$46</f>
        <v>774.34448709471292</v>
      </c>
      <c r="W44" s="14">
        <f>W10*Inputs!$C$46</f>
        <v>867.25928191366995</v>
      </c>
      <c r="X44" s="187">
        <f>X10*Inputs!$C$46</f>
        <v>881.35143386791117</v>
      </c>
      <c r="Y44" s="14">
        <f>Y10*Inputs!$C$46</f>
        <v>893.15643255679811</v>
      </c>
      <c r="Z44" s="14">
        <f>Z10*Inputs!$C$46</f>
        <v>902.01616871562385</v>
      </c>
      <c r="AA44" s="14">
        <f>AA10*Inputs!$C$46</f>
        <v>913.89277492395229</v>
      </c>
      <c r="AB44" s="14">
        <f>AB10*Inputs!$C$46</f>
        <v>927.55188219076956</v>
      </c>
      <c r="AC44" s="14">
        <f>AC10*Inputs!$C$46</f>
        <v>939.19980771786948</v>
      </c>
      <c r="AD44" s="14">
        <f>AD10*Inputs!$C$46</f>
        <v>955.41809887197758</v>
      </c>
      <c r="AE44" s="14">
        <f>AE10*Inputs!$C$46</f>
        <v>972.9312583849005</v>
      </c>
      <c r="AF44" s="14">
        <f>AF10*Inputs!$C$46</f>
        <v>993.09818347393173</v>
      </c>
      <c r="AG44" s="14">
        <f>AG10*Inputs!$C$46</f>
        <v>1014.1041745981482</v>
      </c>
      <c r="AH44" s="14">
        <f>AH10*Inputs!$C$46</f>
        <v>1033.0119159948415</v>
      </c>
    </row>
    <row r="45" spans="1:36" ht="15">
      <c r="A45" s="8" t="s">
        <v>50</v>
      </c>
      <c r="B45" s="34">
        <v>1</v>
      </c>
      <c r="C45" s="331">
        <f>C11*Inputs!$C$49</f>
        <v>0</v>
      </c>
      <c r="D45" s="331">
        <f>D11*Inputs!$C$49</f>
        <v>0</v>
      </c>
      <c r="E45" s="331">
        <f>E11*Inputs!$C$49</f>
        <v>1.00297075E-2</v>
      </c>
      <c r="F45" s="331">
        <f>F11*Inputs!$C$49</f>
        <v>9.3954975000000007E-3</v>
      </c>
      <c r="G45" s="331">
        <f>G11*Inputs!$C$49</f>
        <v>1.0272635E-2</v>
      </c>
      <c r="H45" s="14">
        <f>H11*Inputs!$C$49</f>
        <v>1.0272675E-2</v>
      </c>
      <c r="I45" s="14">
        <f>I11*Inputs!$C$49</f>
        <v>1.0269495E-2</v>
      </c>
      <c r="J45" s="14">
        <f>J11*Inputs!$C$49</f>
        <v>1.0250292500000001E-2</v>
      </c>
      <c r="K45" s="14">
        <f>K11*Inputs!$C$49</f>
        <v>1.1269452499999999E-2</v>
      </c>
      <c r="L45" s="14">
        <f>L11*Inputs!$C$49</f>
        <v>1.2252369999999999E-2</v>
      </c>
      <c r="M45" s="14">
        <f>M11*Inputs!$C$49</f>
        <v>1.228916E-2</v>
      </c>
      <c r="N45" s="190">
        <f>N11*Inputs!$C$49</f>
        <v>1.2285832500000001E-2</v>
      </c>
      <c r="O45" s="14">
        <f>O11*Inputs!$C$49</f>
        <v>1.228306E-2</v>
      </c>
      <c r="P45" s="14">
        <f>P11*Inputs!$C$49</f>
        <v>1.2299375E-2</v>
      </c>
      <c r="Q45" s="14">
        <f>Q11*Inputs!$C$49</f>
        <v>1.2322E-2</v>
      </c>
      <c r="R45" s="14">
        <f>R11*Inputs!$C$49</f>
        <v>1.2311885E-2</v>
      </c>
      <c r="S45" s="14">
        <f>S11*Inputs!$C$49</f>
        <v>1.232168E-2</v>
      </c>
      <c r="T45" s="14">
        <f>T11*Inputs!$C$49</f>
        <v>1.2318857500000001E-2</v>
      </c>
      <c r="U45" s="14">
        <f>U11*Inputs!$C$49</f>
        <v>1.3275495E-2</v>
      </c>
      <c r="V45" s="14">
        <f>V11*Inputs!$C$49</f>
        <v>1.3875325000000003E-2</v>
      </c>
      <c r="W45" s="14">
        <f>W11*Inputs!$C$49</f>
        <v>1.3930050000000003E-2</v>
      </c>
      <c r="X45" s="187">
        <f>X11*Inputs!$C$49</f>
        <v>1.4573520000000001E-2</v>
      </c>
      <c r="Y45" s="14">
        <f>Y11*Inputs!$C$49</f>
        <v>1.51179325E-2</v>
      </c>
      <c r="Z45" s="14">
        <f>Z11*Inputs!$C$49</f>
        <v>1.5111340000000001E-2</v>
      </c>
      <c r="AA45" s="14">
        <f>AA11*Inputs!$C$49</f>
        <v>1.5105322500000001E-2</v>
      </c>
      <c r="AB45" s="14">
        <f>AB11*Inputs!$C$49</f>
        <v>1.50995E-2</v>
      </c>
      <c r="AC45" s="14">
        <f>AC11*Inputs!$C$49</f>
        <v>1.509391E-2</v>
      </c>
      <c r="AD45" s="14">
        <f>AD11*Inputs!$C$49</f>
        <v>1.5088507500000001E-2</v>
      </c>
      <c r="AE45" s="14">
        <f>AE11*Inputs!$C$49</f>
        <v>1.5083307500000002E-2</v>
      </c>
      <c r="AF45" s="14">
        <f>AF11*Inputs!$C$49</f>
        <v>1.5078377500000002E-2</v>
      </c>
      <c r="AG45" s="14">
        <f>AG11*Inputs!$C$49</f>
        <v>1.5073495000000001E-2</v>
      </c>
      <c r="AH45" s="14">
        <f>AH11*Inputs!$C$49</f>
        <v>1.5068957500000001E-2</v>
      </c>
    </row>
    <row r="46" spans="1:36" ht="15">
      <c r="A46" s="8" t="s">
        <v>51</v>
      </c>
      <c r="B46" s="34">
        <v>1</v>
      </c>
      <c r="C46" s="331">
        <f>C12*Inputs!$C$52</f>
        <v>0</v>
      </c>
      <c r="D46" s="331">
        <f>D12*Inputs!$C$52</f>
        <v>0</v>
      </c>
      <c r="E46" s="331">
        <f>E12*Inputs!$C$52</f>
        <v>2.0090294999999998E-4</v>
      </c>
      <c r="F46" s="331">
        <f>F12*Inputs!$C$52</f>
        <v>2.0802599999999996E-4</v>
      </c>
      <c r="G46" s="331">
        <f>G12*Inputs!$C$52</f>
        <v>1.6920164999999999E-4</v>
      </c>
      <c r="H46" s="14">
        <f>H12*Inputs!$C$52</f>
        <v>1.8206624999999999E-4</v>
      </c>
      <c r="I46" s="14">
        <f>I12*Inputs!$C$52</f>
        <v>1.6665284999999995E-4</v>
      </c>
      <c r="J46" s="14">
        <f>J12*Inputs!$C$52</f>
        <v>1.9495439999999998E-4</v>
      </c>
      <c r="K46" s="14">
        <f>K12*Inputs!$C$52</f>
        <v>1.9629164999999997E-4</v>
      </c>
      <c r="L46" s="14">
        <f>L12*Inputs!$C$52</f>
        <v>1.9632479999999997E-4</v>
      </c>
      <c r="M46" s="14">
        <f>M12*Inputs!$C$52</f>
        <v>1.9503659999999998E-4</v>
      </c>
      <c r="N46" s="190">
        <f>N12*Inputs!$C$52</f>
        <v>1.9497945000000001E-4</v>
      </c>
      <c r="O46" s="14">
        <f>O12*Inputs!$C$52</f>
        <v>1.9494554999999997E-4</v>
      </c>
      <c r="P46" s="14">
        <f>P12*Inputs!$C$52</f>
        <v>1.9620314999999999E-4</v>
      </c>
      <c r="Q46" s="14">
        <f>Q12*Inputs!$C$52</f>
        <v>1.9488419999999995E-4</v>
      </c>
      <c r="R46" s="14">
        <f>R12*Inputs!$C$52</f>
        <v>1.948548E-4</v>
      </c>
      <c r="S46" s="14">
        <f>S12*Inputs!$C$52</f>
        <v>1.9611524999999997E-4</v>
      </c>
      <c r="T46" s="14">
        <f>T12*Inputs!$C$52</f>
        <v>1.9269555E-4</v>
      </c>
      <c r="U46" s="14">
        <f>U12*Inputs!$C$52</f>
        <v>1.9471544999999997E-4</v>
      </c>
      <c r="V46" s="14">
        <f>V12*Inputs!$C$52</f>
        <v>1.946556E-4</v>
      </c>
      <c r="W46" s="14">
        <f>W12*Inputs!$C$52</f>
        <v>1.9458659999999997E-4</v>
      </c>
      <c r="X46" s="187">
        <f>X12*Inputs!$C$52</f>
        <v>1.9451219999999997E-4</v>
      </c>
      <c r="Y46" s="14">
        <f>Y12*Inputs!$C$52</f>
        <v>1.9443809999999999E-4</v>
      </c>
      <c r="Z46" s="14">
        <f>Z12*Inputs!$C$52</f>
        <v>1.9566884999999996E-4</v>
      </c>
      <c r="AA46" s="14">
        <f>AA12*Inputs!$C$52</f>
        <v>1.9742565000000002E-4</v>
      </c>
      <c r="AB46" s="14">
        <f>AB12*Inputs!$C$52</f>
        <v>2.0003789999999998E-4</v>
      </c>
      <c r="AC46" s="14">
        <f>AC12*Inputs!$C$52</f>
        <v>1.9998645E-4</v>
      </c>
      <c r="AD46" s="14">
        <f>AD12*Inputs!$C$52</f>
        <v>1.9993604999999999E-4</v>
      </c>
      <c r="AE46" s="14">
        <f>AE12*Inputs!$C$52</f>
        <v>2.0372384999999997E-4</v>
      </c>
      <c r="AF46" s="14">
        <f>AF12*Inputs!$C$52</f>
        <v>2.0368499999999997E-4</v>
      </c>
      <c r="AG46" s="14">
        <f>AG12*Inputs!$C$52</f>
        <v>2.0364330000000001E-4</v>
      </c>
      <c r="AH46" s="14">
        <f>AH12*Inputs!$C$52</f>
        <v>2.0360204999999993E-4</v>
      </c>
    </row>
    <row r="47" spans="1:36" ht="15">
      <c r="A47" s="8" t="s">
        <v>347</v>
      </c>
      <c r="B47" s="34">
        <v>1</v>
      </c>
      <c r="C47" s="331">
        <f>C13*Inputs!$C$54</f>
        <v>0</v>
      </c>
      <c r="D47" s="331">
        <f>D13*Inputs!$C$54</f>
        <v>0</v>
      </c>
      <c r="E47" s="331">
        <f>E13*Inputs!$C$54</f>
        <v>0.15800000000000003</v>
      </c>
      <c r="F47" s="331">
        <f>F13*Inputs!$C$54</f>
        <v>0.15800000000000003</v>
      </c>
      <c r="G47" s="331">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1">
        <f>C14*Inputs!$C$55</f>
        <v>0</v>
      </c>
      <c r="D48" s="331">
        <f>D14*Inputs!$C$55</f>
        <v>0</v>
      </c>
      <c r="E48" s="331">
        <f>E14*Inputs!$C$55</f>
        <v>2.3000000000000003E-2</v>
      </c>
      <c r="F48" s="331">
        <f>F14*Inputs!$C$55</f>
        <v>2.3000000000000003E-2</v>
      </c>
      <c r="G48" s="331">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0</v>
      </c>
      <c r="D50" s="331">
        <f>D16*Inputs!$C$57</f>
        <v>0</v>
      </c>
      <c r="E50" s="331">
        <f>E16*Inputs!$C$57</f>
        <v>6.6272665700000009E-3</v>
      </c>
      <c r="F50" s="331">
        <f>F16*Inputs!$C$57</f>
        <v>7.4130069100000013E-3</v>
      </c>
      <c r="G50" s="331">
        <f>G16*Inputs!$C$57</f>
        <v>7.9527526599999995E-3</v>
      </c>
      <c r="H50" s="14">
        <f>H16*Inputs!$C$57</f>
        <v>7.9969280100000012E-3</v>
      </c>
      <c r="I50" s="14">
        <f>I16*Inputs!$C$57</f>
        <v>1.0093402180000001E-2</v>
      </c>
      <c r="J50" s="14">
        <f>J16*Inputs!$C$57</f>
        <v>1.1454708800000001E-2</v>
      </c>
      <c r="K50" s="14">
        <f>K16*Inputs!$C$57</f>
        <v>1.1454764899999997E-2</v>
      </c>
      <c r="L50" s="14">
        <f>L16*Inputs!$C$57</f>
        <v>1.1453096179999999E-2</v>
      </c>
      <c r="M50" s="14">
        <f>M16*Inputs!$C$57</f>
        <v>1.1455216589999999E-2</v>
      </c>
      <c r="N50" s="190">
        <f>N16*Inputs!$C$57</f>
        <v>1.1455873300000001E-2</v>
      </c>
      <c r="O50" s="14">
        <f>O16*Inputs!$C$57</f>
        <v>1.1456955860000001E-2</v>
      </c>
      <c r="P50" s="14">
        <f>P16*Inputs!$C$57</f>
        <v>1.1461589209999999E-2</v>
      </c>
      <c r="Q50" s="14">
        <f>Q16*Inputs!$C$57</f>
        <v>1.146033223E-2</v>
      </c>
      <c r="R50" s="14">
        <f>R16*Inputs!$C$57</f>
        <v>1.145965614E-2</v>
      </c>
      <c r="S50" s="14">
        <f>S16*Inputs!$C$57</f>
        <v>1.1459047369999999E-2</v>
      </c>
      <c r="T50" s="14">
        <f>T16*Inputs!$C$57</f>
        <v>1.146055782E-2</v>
      </c>
      <c r="U50" s="14">
        <f>U16*Inputs!$C$57</f>
        <v>1.1463305869999997E-2</v>
      </c>
      <c r="V50" s="14">
        <f>V16*Inputs!$C$57</f>
        <v>1.1462899739999999E-2</v>
      </c>
      <c r="W50" s="14">
        <f>W16*Inputs!$C$57</f>
        <v>1.1475103190000002E-2</v>
      </c>
      <c r="X50" s="187">
        <f>X16*Inputs!$C$57</f>
        <v>1.1490957560000001E-2</v>
      </c>
      <c r="Y50" s="14">
        <f>Y16*Inputs!$C$57</f>
        <v>1.150778977E-2</v>
      </c>
      <c r="Z50" s="14">
        <f>Z16*Inputs!$C$57</f>
        <v>1.1526455260000002E-2</v>
      </c>
      <c r="AA50" s="14">
        <f>AA16*Inputs!$C$57</f>
        <v>1.1548490320000002E-2</v>
      </c>
      <c r="AB50" s="14">
        <f>AB16*Inputs!$C$57</f>
        <v>1.1586712610000003E-2</v>
      </c>
      <c r="AC50" s="14">
        <f>AC16*Inputs!$C$57</f>
        <v>1.1604805880000001E-2</v>
      </c>
      <c r="AD50" s="14">
        <f>AD16*Inputs!$C$57</f>
        <v>1.1605638710000001E-2</v>
      </c>
      <c r="AE50" s="14">
        <f>AE16*Inputs!$C$57</f>
        <v>1.1658849390000002E-2</v>
      </c>
      <c r="AF50" s="14">
        <f>AF16*Inputs!$C$57</f>
        <v>1.1698352970000001E-2</v>
      </c>
      <c r="AG50" s="14">
        <f>AG16*Inputs!$C$57</f>
        <v>1.1765512319999999E-2</v>
      </c>
      <c r="AH50" s="14">
        <f>AH16*Inputs!$C$57</f>
        <v>1.1876314069999998E-2</v>
      </c>
    </row>
    <row r="51" spans="1:34" s="20" customFormat="1" ht="15">
      <c r="A51" s="8" t="s">
        <v>128</v>
      </c>
      <c r="B51" s="38"/>
      <c r="C51" s="334">
        <f t="shared" ref="C51:AH51" si="21">SUMPRODUCT($B42:$B50,C42:C50)</f>
        <v>297.5727</v>
      </c>
      <c r="D51" s="334">
        <f t="shared" si="21"/>
        <v>315.6327</v>
      </c>
      <c r="E51" s="334">
        <f t="shared" si="21"/>
        <v>323.8128888329241</v>
      </c>
      <c r="F51" s="334">
        <f t="shared" si="21"/>
        <v>312.70021872983324</v>
      </c>
      <c r="G51" s="334">
        <f t="shared" si="21"/>
        <v>346.34580624142183</v>
      </c>
      <c r="H51" s="19">
        <f t="shared" si="21"/>
        <v>356.3368770287978</v>
      </c>
      <c r="I51" s="19">
        <f t="shared" si="21"/>
        <v>369.41446197560288</v>
      </c>
      <c r="J51" s="19">
        <f t="shared" si="21"/>
        <v>390.8516851553087</v>
      </c>
      <c r="K51" s="19">
        <f t="shared" si="21"/>
        <v>423.85941985445982</v>
      </c>
      <c r="L51" s="19">
        <f t="shared" si="21"/>
        <v>442.82563208981651</v>
      </c>
      <c r="M51" s="19">
        <f t="shared" si="21"/>
        <v>460.61183424615234</v>
      </c>
      <c r="N51" s="190">
        <f t="shared" si="21"/>
        <v>483.25418546423492</v>
      </c>
      <c r="O51" s="19">
        <f t="shared" si="21"/>
        <v>518.20185791876202</v>
      </c>
      <c r="P51" s="19">
        <f t="shared" si="21"/>
        <v>541.91133118763685</v>
      </c>
      <c r="Q51" s="19">
        <f t="shared" si="21"/>
        <v>609.89546956516699</v>
      </c>
      <c r="R51" s="19">
        <f t="shared" si="21"/>
        <v>636.39177832353698</v>
      </c>
      <c r="S51" s="19">
        <f t="shared" si="21"/>
        <v>718.57110718869751</v>
      </c>
      <c r="T51" s="19">
        <f t="shared" si="21"/>
        <v>742.74447583739095</v>
      </c>
      <c r="U51" s="19">
        <f t="shared" si="21"/>
        <v>759.20351722981695</v>
      </c>
      <c r="V51" s="19">
        <f t="shared" si="21"/>
        <v>774.5537199750529</v>
      </c>
      <c r="W51" s="19">
        <f t="shared" si="21"/>
        <v>867.46858165345998</v>
      </c>
      <c r="X51" s="182">
        <f t="shared" si="21"/>
        <v>881.56139285767119</v>
      </c>
      <c r="Y51" s="19">
        <f t="shared" si="21"/>
        <v>893.36695271716815</v>
      </c>
      <c r="Z51" s="19">
        <f t="shared" si="21"/>
        <v>902.22670217973382</v>
      </c>
      <c r="AA51" s="19">
        <f t="shared" si="21"/>
        <v>914.10332616242226</v>
      </c>
      <c r="AB51" s="19">
        <f t="shared" si="21"/>
        <v>927.76246844127957</v>
      </c>
      <c r="AC51" s="19">
        <f t="shared" si="21"/>
        <v>939.41040642019948</v>
      </c>
      <c r="AD51" s="19">
        <f t="shared" si="21"/>
        <v>955.62869295423752</v>
      </c>
      <c r="AE51" s="19">
        <f t="shared" si="21"/>
        <v>973.14190426564051</v>
      </c>
      <c r="AF51" s="19">
        <f t="shared" si="21"/>
        <v>993.30886388940178</v>
      </c>
      <c r="AG51" s="19">
        <f t="shared" si="21"/>
        <v>1014.3149172487683</v>
      </c>
      <c r="AH51" s="19">
        <f t="shared" si="21"/>
        <v>1033.0647648684615</v>
      </c>
    </row>
    <row r="52" spans="1:34" s="20" customFormat="1" ht="15">
      <c r="A52" s="27" t="s">
        <v>329</v>
      </c>
      <c r="B52" s="39"/>
      <c r="C52" s="334">
        <f>SUM(C40:C50)</f>
        <v>1837.4312</v>
      </c>
      <c r="D52" s="334">
        <f t="shared" ref="D52:I52" si="22">SUM(D42:D50)</f>
        <v>1665.6512000000002</v>
      </c>
      <c r="E52" s="334">
        <f t="shared" si="22"/>
        <v>1742.5692913973453</v>
      </c>
      <c r="F52" s="334">
        <f t="shared" si="22"/>
        <v>1718.3569881838855</v>
      </c>
      <c r="G52" s="334">
        <f t="shared" si="22"/>
        <v>1729.5549260762359</v>
      </c>
      <c r="H52" s="19">
        <f t="shared" si="22"/>
        <v>1743.6510822117664</v>
      </c>
      <c r="I52" s="19">
        <f t="shared" si="22"/>
        <v>1809.3958741025749</v>
      </c>
      <c r="J52" s="19">
        <f t="shared" ref="J52:AH52" si="23">SUM(J42:J50)</f>
        <v>1891.8400504954918</v>
      </c>
      <c r="K52" s="19">
        <f t="shared" si="23"/>
        <v>1984.1477811076943</v>
      </c>
      <c r="L52" s="19">
        <f t="shared" si="23"/>
        <v>2049.1581569312907</v>
      </c>
      <c r="M52" s="19">
        <f t="shared" si="23"/>
        <v>2074.9886523066798</v>
      </c>
      <c r="N52" s="190">
        <f t="shared" si="23"/>
        <v>2097.6310439350455</v>
      </c>
      <c r="O52" s="19">
        <f t="shared" si="23"/>
        <v>2132.5787163895725</v>
      </c>
      <c r="P52" s="19">
        <f t="shared" si="23"/>
        <v>2156.2881761883532</v>
      </c>
      <c r="Q52" s="19">
        <f t="shared" si="23"/>
        <v>2224.2723280359778</v>
      </c>
      <c r="R52" s="19">
        <f t="shared" si="23"/>
        <v>2250.7685963840645</v>
      </c>
      <c r="S52" s="19">
        <f t="shared" si="23"/>
        <v>2332.9511917471123</v>
      </c>
      <c r="T52" s="19">
        <f t="shared" si="23"/>
        <v>2357.1213208381073</v>
      </c>
      <c r="U52" s="19">
        <f t="shared" si="23"/>
        <v>2373.5803487604389</v>
      </c>
      <c r="V52" s="19">
        <f t="shared" si="23"/>
        <v>2388.9305515056744</v>
      </c>
      <c r="W52" s="19">
        <f t="shared" si="23"/>
        <v>2481.8454401242711</v>
      </c>
      <c r="X52" s="182">
        <f t="shared" si="23"/>
        <v>2495.9382243882928</v>
      </c>
      <c r="Y52" s="19">
        <f t="shared" si="23"/>
        <v>2507.7437842477902</v>
      </c>
      <c r="Z52" s="19">
        <f t="shared" si="23"/>
        <v>2516.6035471804507</v>
      </c>
      <c r="AA52" s="19">
        <f t="shared" si="23"/>
        <v>2528.480137487903</v>
      </c>
      <c r="AB52" s="19">
        <f t="shared" si="23"/>
        <v>2542.1392999719014</v>
      </c>
      <c r="AC52" s="19">
        <f t="shared" si="23"/>
        <v>2553.7872648910097</v>
      </c>
      <c r="AD52" s="19">
        <f t="shared" si="23"/>
        <v>2570.0055514250485</v>
      </c>
      <c r="AE52" s="19">
        <f t="shared" si="23"/>
        <v>2587.5187627364512</v>
      </c>
      <c r="AF52" s="19">
        <f t="shared" si="23"/>
        <v>2607.6857223602124</v>
      </c>
      <c r="AG52" s="19">
        <f t="shared" si="23"/>
        <v>2628.6917487793903</v>
      </c>
      <c r="AH52" s="19">
        <f t="shared" si="23"/>
        <v>2647.4415963990832</v>
      </c>
    </row>
    <row r="53" spans="1:34" s="20" customFormat="1" ht="15">
      <c r="A53" s="27" t="s">
        <v>330</v>
      </c>
      <c r="B53" s="39"/>
      <c r="C53" s="334">
        <f>C20*Inputs!$C$60</f>
        <v>1425.38</v>
      </c>
      <c r="D53" s="334">
        <f>D20*Inputs!$C$60</f>
        <v>1499.19</v>
      </c>
      <c r="E53" s="334">
        <f>E20*Inputs!$C$60</f>
        <v>1677.8054047159865</v>
      </c>
      <c r="F53" s="334">
        <f>F20*Inputs!$C$60</f>
        <v>1445.4193834160451</v>
      </c>
      <c r="G53" s="334">
        <f>G20*Inputs!$C$60</f>
        <v>1545.5689954540167</v>
      </c>
      <c r="H53" s="19">
        <f>H20*Inputs!$C$60</f>
        <v>1592.104566733703</v>
      </c>
      <c r="I53" s="19">
        <f>I20*Inputs!$C$60</f>
        <v>1508.8039443291402</v>
      </c>
      <c r="J53" s="19">
        <f>J20*Inputs!$C$60</f>
        <v>1449.6693019081069</v>
      </c>
      <c r="K53" s="19">
        <f>K20*Inputs!$C$60</f>
        <v>1526.1099523687262</v>
      </c>
      <c r="L53" s="19">
        <f>L20*Inputs!$C$60</f>
        <v>1553.6315621437088</v>
      </c>
      <c r="M53" s="19">
        <f>M20*Inputs!$C$60</f>
        <v>1567.8275319953277</v>
      </c>
      <c r="N53" s="190">
        <f>N20*Inputs!$C$60</f>
        <v>1563.8183531999866</v>
      </c>
      <c r="O53" s="19">
        <f>O20*Inputs!$C$60</f>
        <v>1576.9195314319579</v>
      </c>
      <c r="P53" s="19">
        <f>P20*Inputs!$C$60</f>
        <v>1589.147908384333</v>
      </c>
      <c r="Q53" s="19">
        <f>Q20*Inputs!$C$60</f>
        <v>1589.8299758179851</v>
      </c>
      <c r="R53" s="19">
        <f>R20*Inputs!$C$60</f>
        <v>1610.4014760033435</v>
      </c>
      <c r="S53" s="19">
        <f>S20*Inputs!$C$60</f>
        <v>1626.2271048667021</v>
      </c>
      <c r="T53" s="19">
        <f>T20*Inputs!$C$60</f>
        <v>1625.0748536190426</v>
      </c>
      <c r="U53" s="19">
        <f>U20*Inputs!$C$60</f>
        <v>1625.415973875726</v>
      </c>
      <c r="V53" s="19">
        <f>V20*Inputs!$C$60</f>
        <v>1625.1853607610194</v>
      </c>
      <c r="W53" s="19">
        <f>W20*Inputs!$C$60</f>
        <v>1619.1869711262923</v>
      </c>
      <c r="X53" s="182">
        <f>X20*Inputs!$C$60</f>
        <v>1620.5145294262809</v>
      </c>
      <c r="Y53" s="19">
        <f>Y20*Inputs!$C$60</f>
        <v>1619.7950257014838</v>
      </c>
      <c r="Z53" s="19">
        <f>Z20*Inputs!$C$60</f>
        <v>1619.2547474402681</v>
      </c>
      <c r="AA53" s="19">
        <f>AA20*Inputs!$C$60</f>
        <v>1617.6307007510907</v>
      </c>
      <c r="AB53" s="19">
        <f>AB20*Inputs!$C$60</f>
        <v>1616.2990169116658</v>
      </c>
      <c r="AC53" s="19">
        <f>AC20*Inputs!$C$60</f>
        <v>1614.8510490401038</v>
      </c>
      <c r="AD53" s="19">
        <f>AD20*Inputs!$C$60</f>
        <v>1613.4142121803777</v>
      </c>
      <c r="AE53" s="19">
        <f>AE20*Inputs!$C$60</f>
        <v>1612.067859125762</v>
      </c>
      <c r="AF53" s="19">
        <f>AF20*Inputs!$C$60</f>
        <v>1610.7091635013055</v>
      </c>
      <c r="AG53" s="19">
        <f>AG20*Inputs!$C$60</f>
        <v>1610.6963783013739</v>
      </c>
      <c r="AH53" s="19">
        <f>AH20*Inputs!$C$60</f>
        <v>1610.6753562094309</v>
      </c>
    </row>
    <row r="54" spans="1:34" s="20" customFormat="1" ht="15">
      <c r="A54" s="27" t="s">
        <v>222</v>
      </c>
      <c r="B54" s="39"/>
      <c r="C54" s="334">
        <f>C21*Inputs!$C$61</f>
        <v>2559.37</v>
      </c>
      <c r="D54" s="334">
        <f>D21*Inputs!$C$61</f>
        <v>3258.09</v>
      </c>
      <c r="E54" s="334">
        <f>E21*Inputs!$C$61</f>
        <v>2469.3070164465616</v>
      </c>
      <c r="F54" s="334">
        <f>F21*Inputs!$C$61</f>
        <v>2935.8404192977832</v>
      </c>
      <c r="G54" s="334">
        <f>G21*Inputs!$C$61</f>
        <v>2620.8741313872933</v>
      </c>
      <c r="H54" s="19">
        <f>H21*Inputs!$C$61</f>
        <v>2498.0111769290711</v>
      </c>
      <c r="I54" s="19">
        <f>I21*Inputs!$C$61</f>
        <v>2695.093594173195</v>
      </c>
      <c r="J54" s="19">
        <f>J21*Inputs!$C$61</f>
        <v>2940.9585961911371</v>
      </c>
      <c r="K54" s="19">
        <f>K21*Inputs!$C$61</f>
        <v>2809.1193680956217</v>
      </c>
      <c r="L54" s="19">
        <f>L21*Inputs!$C$61</f>
        <v>2775.1415206553907</v>
      </c>
      <c r="M54" s="19">
        <f>M21*Inputs!$C$61</f>
        <v>2820.8877098971639</v>
      </c>
      <c r="N54" s="190">
        <f>N21*Inputs!$C$61</f>
        <v>2906.5642795544877</v>
      </c>
      <c r="O54" s="19">
        <f>O21*Inputs!$C$61</f>
        <v>2950.6740811719328</v>
      </c>
      <c r="P54" s="19">
        <f>P21*Inputs!$C$61</f>
        <v>3012.665791094752</v>
      </c>
      <c r="Q54" s="19">
        <f>Q21*Inputs!$C$61</f>
        <v>3128.0795133615147</v>
      </c>
      <c r="R54" s="19">
        <f>R21*Inputs!$C$61</f>
        <v>3199.1548239671165</v>
      </c>
      <c r="S54" s="19">
        <f>S21*Inputs!$C$61</f>
        <v>3237.7517296691508</v>
      </c>
      <c r="T54" s="19">
        <f>T21*Inputs!$C$61</f>
        <v>3290.1900069119602</v>
      </c>
      <c r="U54" s="19">
        <f>U21*Inputs!$C$61</f>
        <v>3341.3937899187035</v>
      </c>
      <c r="V54" s="19">
        <f>V21*Inputs!$C$61</f>
        <v>3401.2052719376288</v>
      </c>
      <c r="W54" s="19">
        <f>W21*Inputs!$C$61</f>
        <v>3429.1579651234179</v>
      </c>
      <c r="X54" s="182">
        <f>X21*Inputs!$C$61</f>
        <v>3482.5092832635087</v>
      </c>
      <c r="Y54" s="19">
        <f>Y21*Inputs!$C$61</f>
        <v>3505.4174089214289</v>
      </c>
      <c r="Z54" s="19">
        <f>Z21*Inputs!$C$61</f>
        <v>3543.8197904906951</v>
      </c>
      <c r="AA54" s="19">
        <f>AA21*Inputs!$C$61</f>
        <v>3571.5401360886981</v>
      </c>
      <c r="AB54" s="19">
        <f>AB21*Inputs!$C$61</f>
        <v>3609.9363743384006</v>
      </c>
      <c r="AC54" s="19">
        <f>AC21*Inputs!$C$61</f>
        <v>3670.5993044922238</v>
      </c>
      <c r="AD54" s="19">
        <f>AD21*Inputs!$C$61</f>
        <v>3724.8248151651192</v>
      </c>
      <c r="AE54" s="19">
        <f>AE21*Inputs!$C$61</f>
        <v>3810.7910475564927</v>
      </c>
      <c r="AF54" s="19">
        <f>AF21*Inputs!$C$61</f>
        <v>3906.0851895868964</v>
      </c>
      <c r="AG54" s="19">
        <f>AG21*Inputs!$C$61</f>
        <v>3979.9707835140543</v>
      </c>
      <c r="AH54" s="19">
        <f>AH21*Inputs!$C$61</f>
        <v>4037.4326698068994</v>
      </c>
    </row>
    <row r="55" spans="1:34" s="20" customFormat="1" ht="15">
      <c r="A55" s="27" t="s">
        <v>58</v>
      </c>
      <c r="B55" s="39"/>
      <c r="C55" s="334">
        <f>SUM(C52:C54)</f>
        <v>5822.1812</v>
      </c>
      <c r="D55" s="334">
        <f t="shared" ref="D55:AH55" si="24">SUM(D52:D54)</f>
        <v>6422.9312000000009</v>
      </c>
      <c r="E55" s="334">
        <f t="shared" si="24"/>
        <v>5889.6817125598936</v>
      </c>
      <c r="F55" s="334">
        <f t="shared" si="24"/>
        <v>6099.6167908977141</v>
      </c>
      <c r="G55" s="334">
        <f t="shared" si="24"/>
        <v>5895.9980529175464</v>
      </c>
      <c r="H55" s="19">
        <f t="shared" si="24"/>
        <v>5833.7668258745398</v>
      </c>
      <c r="I55" s="19">
        <f t="shared" si="24"/>
        <v>6013.2934126049104</v>
      </c>
      <c r="J55" s="19">
        <f t="shared" si="24"/>
        <v>6282.4679485947363</v>
      </c>
      <c r="K55" s="19">
        <f t="shared" si="24"/>
        <v>6319.3771015720422</v>
      </c>
      <c r="L55" s="19">
        <f t="shared" si="24"/>
        <v>6377.9312397303902</v>
      </c>
      <c r="M55" s="19">
        <f t="shared" si="24"/>
        <v>6463.7038941991714</v>
      </c>
      <c r="N55" s="190">
        <f t="shared" si="24"/>
        <v>6568.0136766895193</v>
      </c>
      <c r="O55" s="19">
        <f t="shared" si="24"/>
        <v>6660.1723289934635</v>
      </c>
      <c r="P55" s="19">
        <f t="shared" si="24"/>
        <v>6758.1018756674384</v>
      </c>
      <c r="Q55" s="19">
        <f t="shared" si="24"/>
        <v>6942.1818172154781</v>
      </c>
      <c r="R55" s="19">
        <f t="shared" si="24"/>
        <v>7060.3248963545248</v>
      </c>
      <c r="S55" s="19">
        <f t="shared" si="24"/>
        <v>7196.9300262829656</v>
      </c>
      <c r="T55" s="19">
        <f t="shared" si="24"/>
        <v>7272.3861813691101</v>
      </c>
      <c r="U55" s="19">
        <f t="shared" si="24"/>
        <v>7340.3901125548691</v>
      </c>
      <c r="V55" s="19">
        <f t="shared" si="24"/>
        <v>7415.3211842043229</v>
      </c>
      <c r="W55" s="19">
        <f t="shared" si="24"/>
        <v>7530.1903763739811</v>
      </c>
      <c r="X55" s="182">
        <f t="shared" si="24"/>
        <v>7598.9620370780831</v>
      </c>
      <c r="Y55" s="19">
        <f t="shared" si="24"/>
        <v>7632.9562188707023</v>
      </c>
      <c r="Z55" s="19">
        <f t="shared" si="24"/>
        <v>7679.6780851114145</v>
      </c>
      <c r="AA55" s="19">
        <f t="shared" si="24"/>
        <v>7717.650974327692</v>
      </c>
      <c r="AB55" s="19">
        <f t="shared" si="24"/>
        <v>7768.3746912219685</v>
      </c>
      <c r="AC55" s="19">
        <f t="shared" si="24"/>
        <v>7839.2376184233381</v>
      </c>
      <c r="AD55" s="19">
        <f t="shared" si="24"/>
        <v>7908.2445787705456</v>
      </c>
      <c r="AE55" s="19">
        <f t="shared" si="24"/>
        <v>8010.3776694187054</v>
      </c>
      <c r="AF55" s="19">
        <f t="shared" si="24"/>
        <v>8124.480075448414</v>
      </c>
      <c r="AG55" s="19">
        <f t="shared" si="24"/>
        <v>8219.3589105948195</v>
      </c>
      <c r="AH55" s="19">
        <f t="shared" si="24"/>
        <v>8295.549622415414</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-1.3500000000000001E-3</v>
      </c>
      <c r="D60" s="331">
        <f>D42*Inputs!$H48</f>
        <v>-1.3500000000000001E-3</v>
      </c>
      <c r="E60" s="331">
        <f>E42*Inputs!$H48</f>
        <v>-1.3500000000000001E-3</v>
      </c>
      <c r="F60" s="331">
        <f>F42*Inputs!$H48</f>
        <v>-1.3500000000000001E-3</v>
      </c>
      <c r="G60" s="331">
        <f>G42*Inputs!$H48</f>
        <v>-1.3500000000000001E-3</v>
      </c>
      <c r="H60" s="14">
        <f>H42*Inputs!$H48</f>
        <v>-1.3500000000000001E-3</v>
      </c>
      <c r="I60" s="14">
        <f>I42*Inputs!$H48</f>
        <v>-1.3500000000000001E-3</v>
      </c>
      <c r="J60" s="14">
        <f>J42*Inputs!$H48</f>
        <v>-1.3500000000000001E-3</v>
      </c>
      <c r="K60" s="14">
        <f>K42*Inputs!$H48</f>
        <v>-1.3500000000000001E-3</v>
      </c>
      <c r="L60" s="14">
        <f>L42*Inputs!$H48</f>
        <v>-1.3500000000000001E-3</v>
      </c>
      <c r="M60" s="14">
        <f>M42*Inputs!$H48</f>
        <v>-1.3500000000000001E-3</v>
      </c>
      <c r="N60" s="190">
        <f>N42*Inputs!$H48</f>
        <v>-1.3500000000000001E-3</v>
      </c>
      <c r="O60" s="14">
        <f>O42*Inputs!$H48</f>
        <v>-1.3500000000000001E-3</v>
      </c>
      <c r="P60" s="14">
        <f>P42*Inputs!$H48</f>
        <v>-1.3500000000000001E-3</v>
      </c>
      <c r="Q60" s="14">
        <f>Q42*Inputs!$H48</f>
        <v>-1.3500000000000001E-3</v>
      </c>
      <c r="R60" s="14">
        <f>R42*Inputs!$H48</f>
        <v>-1.3500000000000001E-3</v>
      </c>
      <c r="S60" s="14">
        <f>S42*Inputs!$H48</f>
        <v>-1.3500000000000001E-3</v>
      </c>
      <c r="T60" s="14">
        <f>T42*Inputs!$H48</f>
        <v>-1.3500000000000001E-3</v>
      </c>
      <c r="U60" s="14">
        <f>U42*Inputs!$H48</f>
        <v>-1.3500000000000001E-3</v>
      </c>
      <c r="V60" s="14">
        <f>V42*Inputs!$H48</f>
        <v>-1.3500000000000001E-3</v>
      </c>
      <c r="W60" s="14">
        <f>W42*Inputs!$H48</f>
        <v>-1.3500000000000001E-3</v>
      </c>
      <c r="X60" s="187">
        <f>X42*Inputs!$H48</f>
        <v>-1.3500000000000001E-3</v>
      </c>
      <c r="Y60" s="14">
        <f>Y42*Inputs!$H48</f>
        <v>-1.3500000000000001E-3</v>
      </c>
      <c r="Z60" s="14">
        <f>Z42*Inputs!$H48</f>
        <v>-1.3500000000000001E-3</v>
      </c>
      <c r="AA60" s="14">
        <f>AA42*Inputs!$H48</f>
        <v>-1.3500000000000001E-3</v>
      </c>
      <c r="AB60" s="14">
        <f>AB42*Inputs!$H48</f>
        <v>-1.3500000000000001E-3</v>
      </c>
      <c r="AC60" s="14">
        <f>AC42*Inputs!$H48</f>
        <v>-1.3500000000000001E-3</v>
      </c>
      <c r="AD60" s="14">
        <f>AD42*Inputs!$H48</f>
        <v>-1.3500000000000001E-3</v>
      </c>
      <c r="AE60" s="14">
        <f>AE42*Inputs!$H48</f>
        <v>-1.3500000000000001E-3</v>
      </c>
      <c r="AF60" s="14">
        <f>AF42*Inputs!$H48</f>
        <v>-1.3500000000000001E-3</v>
      </c>
      <c r="AG60" s="14">
        <f>AG42*Inputs!$H48</f>
        <v>-1.3500000000000001E-3</v>
      </c>
      <c r="AH60" s="14">
        <f>AH42*Inputs!$H48</f>
        <v>-1.3500000000000001E-3</v>
      </c>
    </row>
    <row r="61" spans="1:34" ht="15">
      <c r="A61" s="8" t="s">
        <v>59</v>
      </c>
      <c r="B61" s="34">
        <v>0</v>
      </c>
      <c r="C61" s="331">
        <f>C43*Inputs!$H53</f>
        <v>1385.8740000000003</v>
      </c>
      <c r="D61" s="331">
        <f>D43*Inputs!$H53</f>
        <v>1215.0180000000003</v>
      </c>
      <c r="E61" s="331">
        <f>E43*Inputs!$H53</f>
        <v>1276.8821123079795</v>
      </c>
      <c r="F61" s="331">
        <f>F43*Inputs!$H53</f>
        <v>1265.0924425086473</v>
      </c>
      <c r="G61" s="331">
        <f>G43*Inputs!$H53</f>
        <v>1244.8895578513329</v>
      </c>
      <c r="H61" s="14">
        <f>H43*Inputs!$H53</f>
        <v>1248.5841346646721</v>
      </c>
      <c r="I61" s="14">
        <f>I43*Inputs!$H53</f>
        <v>1295.984620914275</v>
      </c>
      <c r="J61" s="14">
        <f>J43*Inputs!$H53</f>
        <v>1350.8908788061651</v>
      </c>
      <c r="K61" s="14">
        <f>K43*Inputs!$H53</f>
        <v>1404.2608751279115</v>
      </c>
      <c r="L61" s="14">
        <f>L43*Inputs!$H53</f>
        <v>1445.7006223573267</v>
      </c>
      <c r="M61" s="14">
        <f>M43*Inputs!$H53</f>
        <v>1452.940486254475</v>
      </c>
      <c r="N61" s="190">
        <f>N43*Inputs!$H53</f>
        <v>1452.9405226237297</v>
      </c>
      <c r="O61" s="14">
        <f>O43*Inputs!$H53</f>
        <v>1452.9405226237297</v>
      </c>
      <c r="P61" s="14">
        <f>P43*Inputs!$H53</f>
        <v>1452.9405105006449</v>
      </c>
      <c r="Q61" s="14">
        <f>Q43*Inputs!$H53</f>
        <v>1452.9405226237297</v>
      </c>
      <c r="R61" s="14">
        <f>R43*Inputs!$H53</f>
        <v>1452.940486254475</v>
      </c>
      <c r="S61" s="14">
        <f>S43*Inputs!$H53</f>
        <v>1452.9434261025735</v>
      </c>
      <c r="T61" s="14">
        <f>T43*Inputs!$H53</f>
        <v>1452.9405105006449</v>
      </c>
      <c r="U61" s="14">
        <f>U43*Inputs!$H53</f>
        <v>1452.9404983775598</v>
      </c>
      <c r="V61" s="14">
        <f>V43*Inputs!$H53</f>
        <v>1452.9404983775598</v>
      </c>
      <c r="W61" s="14">
        <f>W43*Inputs!$H53</f>
        <v>1452.9405226237297</v>
      </c>
      <c r="X61" s="187">
        <f>X43*Inputs!$H53</f>
        <v>1452.9404983775598</v>
      </c>
      <c r="Y61" s="14">
        <f>Y43*Inputs!$H53</f>
        <v>1452.9404983775598</v>
      </c>
      <c r="Z61" s="14">
        <f>Z43*Inputs!$H53</f>
        <v>1452.9405105006449</v>
      </c>
      <c r="AA61" s="14">
        <f>AA43*Inputs!$H53</f>
        <v>1452.9404801929325</v>
      </c>
      <c r="AB61" s="14">
        <f>AB43*Inputs!$H53</f>
        <v>1452.9404983775598</v>
      </c>
      <c r="AC61" s="14">
        <f>AC43*Inputs!$H53</f>
        <v>1452.9405226237297</v>
      </c>
      <c r="AD61" s="14">
        <f>AD43*Inputs!$H53</f>
        <v>1452.9405226237297</v>
      </c>
      <c r="AE61" s="14">
        <f>AE43*Inputs!$H53</f>
        <v>1452.9405226237297</v>
      </c>
      <c r="AF61" s="14">
        <f>AF43*Inputs!$H53</f>
        <v>1452.9405226237297</v>
      </c>
      <c r="AG61" s="14">
        <f>AG43*Inputs!$H53</f>
        <v>1452.9404983775598</v>
      </c>
      <c r="AH61" s="14">
        <f>AH43*Inputs!$H53</f>
        <v>1452.9404983775598</v>
      </c>
    </row>
    <row r="62" spans="1:34" ht="15">
      <c r="A62" s="8" t="s">
        <v>121</v>
      </c>
      <c r="B62" s="34">
        <v>1</v>
      </c>
      <c r="C62" s="331">
        <f>C44*Inputs!$H46</f>
        <v>267.81299999999999</v>
      </c>
      <c r="D62" s="331">
        <f>D44*Inputs!$H46</f>
        <v>284.06700000000001</v>
      </c>
      <c r="E62" s="331">
        <f>E44*Inputs!$H46</f>
        <v>291.25109786031368</v>
      </c>
      <c r="F62" s="331">
        <f>F44*Inputs!$H46</f>
        <v>281.24955197948088</v>
      </c>
      <c r="G62" s="331">
        <f>G44*Inputs!$H46</f>
        <v>311.52934048690059</v>
      </c>
      <c r="H62" s="14">
        <f>H44*Inputs!$H46</f>
        <v>320.52125282358401</v>
      </c>
      <c r="I62" s="14">
        <f>I44*Inputs!$H46</f>
        <v>332.28920918301554</v>
      </c>
      <c r="J62" s="14">
        <f>J44*Inputs!$H46</f>
        <v>351.58147667964778</v>
      </c>
      <c r="K62" s="14">
        <f>K44*Inputs!$H46</f>
        <v>381.28751941086875</v>
      </c>
      <c r="L62" s="14">
        <f>L44*Inputs!$H46</f>
        <v>398.35622726895281</v>
      </c>
      <c r="M62" s="14">
        <f>M44*Inputs!$H46</f>
        <v>414.36377534966607</v>
      </c>
      <c r="N62" s="190">
        <f>N44*Inputs!$H46</f>
        <v>434.74189390108637</v>
      </c>
      <c r="O62" s="14">
        <f>O44*Inputs!$H46</f>
        <v>466.1948006616168</v>
      </c>
      <c r="P62" s="14">
        <f>P44*Inputs!$H46</f>
        <v>487.53330661824913</v>
      </c>
      <c r="Q62" s="14">
        <f>Q44*Inputs!$H46</f>
        <v>548.7190131138633</v>
      </c>
      <c r="R62" s="14">
        <f>R44*Inputs!$H46</f>
        <v>572.56570073483715</v>
      </c>
      <c r="S62" s="14">
        <f>S44*Inputs!$H46</f>
        <v>646.52708731146981</v>
      </c>
      <c r="T62" s="14">
        <f>T44*Inputs!$H46</f>
        <v>668.28312335386886</v>
      </c>
      <c r="U62" s="14">
        <f>U44*Inputs!$H46</f>
        <v>683.09539534214719</v>
      </c>
      <c r="V62" s="14">
        <f>V44*Inputs!$H46</f>
        <v>696.91003838524159</v>
      </c>
      <c r="W62" s="14">
        <f>W44*Inputs!$H46</f>
        <v>780.53335372230299</v>
      </c>
      <c r="X62" s="187">
        <f>X44*Inputs!$H46</f>
        <v>793.21629048112004</v>
      </c>
      <c r="Y62" s="14">
        <f>Y44*Inputs!$H46</f>
        <v>803.84078930111832</v>
      </c>
      <c r="Z62" s="14">
        <f>Z44*Inputs!$H46</f>
        <v>811.8145518440615</v>
      </c>
      <c r="AA62" s="14">
        <f>AA44*Inputs!$H46</f>
        <v>822.50349743155709</v>
      </c>
      <c r="AB62" s="14">
        <f>AB44*Inputs!$H46</f>
        <v>834.79669397169266</v>
      </c>
      <c r="AC62" s="14">
        <f>AC44*Inputs!$H46</f>
        <v>845.27982694608249</v>
      </c>
      <c r="AD62" s="14">
        <f>AD44*Inputs!$H46</f>
        <v>859.87628898477988</v>
      </c>
      <c r="AE62" s="14">
        <f>AE44*Inputs!$H46</f>
        <v>875.63813254641047</v>
      </c>
      <c r="AF62" s="14">
        <f>AF44*Inputs!$H46</f>
        <v>893.78836512653857</v>
      </c>
      <c r="AG62" s="14">
        <f>AG44*Inputs!$H46</f>
        <v>912.69375713833347</v>
      </c>
      <c r="AH62" s="14">
        <f>AH44*Inputs!$H46</f>
        <v>929.71072439535737</v>
      </c>
    </row>
    <row r="63" spans="1:34" ht="15">
      <c r="A63" s="8" t="s">
        <v>50</v>
      </c>
      <c r="B63" s="34">
        <v>1</v>
      </c>
      <c r="C63" s="331">
        <f>C45*Inputs!$H49</f>
        <v>0</v>
      </c>
      <c r="D63" s="331">
        <f>D45*Inputs!$H49</f>
        <v>0</v>
      </c>
      <c r="E63" s="331">
        <f>E45*Inputs!$H49</f>
        <v>9.0267367500000001E-3</v>
      </c>
      <c r="F63" s="331">
        <f>F45*Inputs!$H49</f>
        <v>8.4559477500000015E-3</v>
      </c>
      <c r="G63" s="331">
        <f>G45*Inputs!$H49</f>
        <v>9.2453715000000002E-3</v>
      </c>
      <c r="H63" s="14">
        <f>H45*Inputs!$H49</f>
        <v>9.2454075000000004E-3</v>
      </c>
      <c r="I63" s="14">
        <f>I45*Inputs!$H49</f>
        <v>9.2425455000000011E-3</v>
      </c>
      <c r="J63" s="14">
        <f>J45*Inputs!$H49</f>
        <v>9.2252632500000008E-3</v>
      </c>
      <c r="K63" s="14">
        <f>K45*Inputs!$H49</f>
        <v>1.014250725E-2</v>
      </c>
      <c r="L63" s="14">
        <f>L45*Inputs!$H49</f>
        <v>1.1027133E-2</v>
      </c>
      <c r="M63" s="14">
        <f>M45*Inputs!$H49</f>
        <v>1.1060244E-2</v>
      </c>
      <c r="N63" s="190">
        <f>N45*Inputs!$H49</f>
        <v>1.1057249250000002E-2</v>
      </c>
      <c r="O63" s="14">
        <f>O45*Inputs!$H49</f>
        <v>1.1054754E-2</v>
      </c>
      <c r="P63" s="14">
        <f>P45*Inputs!$H49</f>
        <v>1.1069437499999999E-2</v>
      </c>
      <c r="Q63" s="14">
        <f>Q45*Inputs!$H49</f>
        <v>1.10898E-2</v>
      </c>
      <c r="R63" s="14">
        <f>R45*Inputs!$H49</f>
        <v>1.1080696500000001E-2</v>
      </c>
      <c r="S63" s="14">
        <f>S45*Inputs!$H49</f>
        <v>1.1089511999999999E-2</v>
      </c>
      <c r="T63" s="14">
        <f>T45*Inputs!$H49</f>
        <v>1.1086971750000001E-2</v>
      </c>
      <c r="U63" s="14">
        <f>U45*Inputs!$H49</f>
        <v>1.1947945499999999E-2</v>
      </c>
      <c r="V63" s="14">
        <f>V45*Inputs!$H49</f>
        <v>1.2487792500000003E-2</v>
      </c>
      <c r="W63" s="14">
        <f>W45*Inputs!$H49</f>
        <v>1.2537045000000004E-2</v>
      </c>
      <c r="X63" s="187">
        <f>X45*Inputs!$H49</f>
        <v>1.3116168000000001E-2</v>
      </c>
      <c r="Y63" s="14">
        <f>Y45*Inputs!$H49</f>
        <v>1.3606139250000001E-2</v>
      </c>
      <c r="Z63" s="14">
        <f>Z45*Inputs!$H49</f>
        <v>1.3600206000000002E-2</v>
      </c>
      <c r="AA63" s="14">
        <f>AA45*Inputs!$H49</f>
        <v>1.3594790250000001E-2</v>
      </c>
      <c r="AB63" s="14">
        <f>AB45*Inputs!$H49</f>
        <v>1.3589550000000001E-2</v>
      </c>
      <c r="AC63" s="14">
        <f>AC45*Inputs!$H49</f>
        <v>1.3584519E-2</v>
      </c>
      <c r="AD63" s="14">
        <f>AD45*Inputs!$H49</f>
        <v>1.357965675E-2</v>
      </c>
      <c r="AE63" s="14">
        <f>AE45*Inputs!$H49</f>
        <v>1.3574976750000002E-2</v>
      </c>
      <c r="AF63" s="14">
        <f>AF45*Inputs!$H49</f>
        <v>1.3570539750000003E-2</v>
      </c>
      <c r="AG63" s="14">
        <f>AG45*Inputs!$H49</f>
        <v>1.3566145500000001E-2</v>
      </c>
      <c r="AH63" s="14">
        <f>AH45*Inputs!$H49</f>
        <v>1.3562061750000002E-2</v>
      </c>
    </row>
    <row r="64" spans="1:34" ht="15">
      <c r="A64" s="8" t="s">
        <v>51</v>
      </c>
      <c r="B64" s="34">
        <v>1</v>
      </c>
      <c r="C64" s="331">
        <f>C46*Inputs!$H52</f>
        <v>0</v>
      </c>
      <c r="D64" s="331">
        <f>D46*Inputs!$H52</f>
        <v>0</v>
      </c>
      <c r="E64" s="331">
        <f>E46*Inputs!$H52</f>
        <v>1.8081265499999999E-4</v>
      </c>
      <c r="F64" s="331">
        <f>F46*Inputs!$H52</f>
        <v>1.8722339999999998E-4</v>
      </c>
      <c r="G64" s="331">
        <f>G46*Inputs!$H52</f>
        <v>1.52281485E-4</v>
      </c>
      <c r="H64" s="14">
        <f>H46*Inputs!$H52</f>
        <v>1.63859625E-4</v>
      </c>
      <c r="I64" s="14">
        <f>I46*Inputs!$H52</f>
        <v>1.4998756499999996E-4</v>
      </c>
      <c r="J64" s="14">
        <f>J46*Inputs!$H52</f>
        <v>1.7545895999999999E-4</v>
      </c>
      <c r="K64" s="14">
        <f>K46*Inputs!$H52</f>
        <v>1.7666248499999997E-4</v>
      </c>
      <c r="L64" s="14">
        <f>L46*Inputs!$H52</f>
        <v>1.7669231999999999E-4</v>
      </c>
      <c r="M64" s="14">
        <f>M46*Inputs!$H52</f>
        <v>1.7553293999999998E-4</v>
      </c>
      <c r="N64" s="190">
        <f>N46*Inputs!$H52</f>
        <v>1.7548150500000002E-4</v>
      </c>
      <c r="O64" s="14">
        <f>O46*Inputs!$H52</f>
        <v>1.7545099499999996E-4</v>
      </c>
      <c r="P64" s="14">
        <f>P46*Inputs!$H52</f>
        <v>1.76582835E-4</v>
      </c>
      <c r="Q64" s="14">
        <f>Q46*Inputs!$H52</f>
        <v>1.7539577999999996E-4</v>
      </c>
      <c r="R64" s="14">
        <f>R46*Inputs!$H52</f>
        <v>1.7536932E-4</v>
      </c>
      <c r="S64" s="14">
        <f>S46*Inputs!$H52</f>
        <v>1.7650372499999998E-4</v>
      </c>
      <c r="T64" s="14">
        <f>T46*Inputs!$H52</f>
        <v>1.7342599500000001E-4</v>
      </c>
      <c r="U64" s="14">
        <f>U46*Inputs!$H52</f>
        <v>1.7524390499999999E-4</v>
      </c>
      <c r="V64" s="14">
        <f>V46*Inputs!$H52</f>
        <v>1.7519004000000001E-4</v>
      </c>
      <c r="W64" s="14">
        <f>W46*Inputs!$H52</f>
        <v>1.7512793999999998E-4</v>
      </c>
      <c r="X64" s="187">
        <f>X46*Inputs!$H52</f>
        <v>1.7506097999999998E-4</v>
      </c>
      <c r="Y64" s="14">
        <f>Y46*Inputs!$H52</f>
        <v>1.7499428999999999E-4</v>
      </c>
      <c r="Z64" s="14">
        <f>Z46*Inputs!$H52</f>
        <v>1.7610196499999998E-4</v>
      </c>
      <c r="AA64" s="14">
        <f>AA46*Inputs!$H52</f>
        <v>1.7768308500000003E-4</v>
      </c>
      <c r="AB64" s="14">
        <f>AB46*Inputs!$H52</f>
        <v>1.8003410999999997E-4</v>
      </c>
      <c r="AC64" s="14">
        <f>AC46*Inputs!$H52</f>
        <v>1.7998780500000001E-4</v>
      </c>
      <c r="AD64" s="14">
        <f>AD46*Inputs!$H52</f>
        <v>1.79942445E-4</v>
      </c>
      <c r="AE64" s="14">
        <f>AE46*Inputs!$H52</f>
        <v>1.8335146499999999E-4</v>
      </c>
      <c r="AF64" s="14">
        <f>AF46*Inputs!$H52</f>
        <v>1.8331649999999997E-4</v>
      </c>
      <c r="AG64" s="14">
        <f>AG46*Inputs!$H52</f>
        <v>1.8327897000000002E-4</v>
      </c>
      <c r="AH64" s="14">
        <f>AH46*Inputs!$H52</f>
        <v>1.8324184499999993E-4</v>
      </c>
    </row>
    <row r="65" spans="1:34" ht="15">
      <c r="A65" s="8" t="s">
        <v>347</v>
      </c>
      <c r="B65" s="34">
        <v>1</v>
      </c>
      <c r="C65" s="331">
        <f>C47*Inputs!$H54</f>
        <v>0</v>
      </c>
      <c r="D65" s="331">
        <f>D47*Inputs!$H54</f>
        <v>0</v>
      </c>
      <c r="E65" s="331">
        <f>E47*Inputs!$H54</f>
        <v>0.14220000000000002</v>
      </c>
      <c r="F65" s="331">
        <f>F47*Inputs!$H54</f>
        <v>0.14220000000000002</v>
      </c>
      <c r="G65" s="331">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1">
        <f>C48*Inputs!$H55</f>
        <v>0</v>
      </c>
      <c r="D66" s="331">
        <f>D48*Inputs!$H55</f>
        <v>0</v>
      </c>
      <c r="E66" s="331">
        <f>E48*Inputs!$H55</f>
        <v>2.0700000000000003E-2</v>
      </c>
      <c r="F66" s="331">
        <f>F48*Inputs!$H55</f>
        <v>2.0700000000000003E-2</v>
      </c>
      <c r="G66" s="331">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0</v>
      </c>
      <c r="D68" s="331">
        <f>D50*Inputs!$H57</f>
        <v>0</v>
      </c>
      <c r="E68" s="331">
        <f>E50*Inputs!$H57</f>
        <v>5.9645399130000007E-3</v>
      </c>
      <c r="F68" s="331">
        <f>F50*Inputs!$H57</f>
        <v>6.6717062190000016E-3</v>
      </c>
      <c r="G68" s="331">
        <f>G50*Inputs!$H57</f>
        <v>7.1574773939999999E-3</v>
      </c>
      <c r="H68" s="14">
        <f>H50*Inputs!$H57</f>
        <v>7.1972352090000011E-3</v>
      </c>
      <c r="I68" s="14">
        <f>I50*Inputs!$H57</f>
        <v>9.0840619620000014E-3</v>
      </c>
      <c r="J68" s="14">
        <f>J50*Inputs!$H57</f>
        <v>1.0309237920000002E-2</v>
      </c>
      <c r="K68" s="14">
        <f>K50*Inputs!$H57</f>
        <v>1.0309288409999997E-2</v>
      </c>
      <c r="L68" s="14">
        <f>L50*Inputs!$H57</f>
        <v>1.0307786562E-2</v>
      </c>
      <c r="M68" s="14">
        <f>M50*Inputs!$H57</f>
        <v>1.0309694930999999E-2</v>
      </c>
      <c r="N68" s="190">
        <f>N50*Inputs!$H57</f>
        <v>1.0310285970000001E-2</v>
      </c>
      <c r="O68" s="14">
        <f>O50*Inputs!$H57</f>
        <v>1.0311260274000001E-2</v>
      </c>
      <c r="P68" s="14">
        <f>P50*Inputs!$H57</f>
        <v>1.0315430289E-2</v>
      </c>
      <c r="Q68" s="14">
        <f>Q50*Inputs!$H57</f>
        <v>1.0314299007E-2</v>
      </c>
      <c r="R68" s="14">
        <f>R50*Inputs!$H57</f>
        <v>1.0313690526000001E-2</v>
      </c>
      <c r="S68" s="14">
        <f>S50*Inputs!$H57</f>
        <v>1.0313142633E-2</v>
      </c>
      <c r="T68" s="14">
        <f>T50*Inputs!$H57</f>
        <v>1.0314502038E-2</v>
      </c>
      <c r="U68" s="14">
        <f>U50*Inputs!$H57</f>
        <v>1.0316975282999997E-2</v>
      </c>
      <c r="V68" s="14">
        <f>V50*Inputs!$H57</f>
        <v>1.0316609765999999E-2</v>
      </c>
      <c r="W68" s="14">
        <f>W50*Inputs!$H57</f>
        <v>1.0327592871000003E-2</v>
      </c>
      <c r="X68" s="187">
        <f>X50*Inputs!$H57</f>
        <v>1.0341861804000001E-2</v>
      </c>
      <c r="Y68" s="14">
        <f>Y50*Inputs!$H57</f>
        <v>1.0357010793000001E-2</v>
      </c>
      <c r="Z68" s="14">
        <f>Z50*Inputs!$H57</f>
        <v>1.0373809734000003E-2</v>
      </c>
      <c r="AA68" s="14">
        <f>AA50*Inputs!$H57</f>
        <v>1.0393641288000003E-2</v>
      </c>
      <c r="AB68" s="14">
        <f>AB50*Inputs!$H57</f>
        <v>1.0428041349000003E-2</v>
      </c>
      <c r="AC68" s="14">
        <f>AC50*Inputs!$H57</f>
        <v>1.0444325292000001E-2</v>
      </c>
      <c r="AD68" s="14">
        <f>AD50*Inputs!$H57</f>
        <v>1.0445074839000002E-2</v>
      </c>
      <c r="AE68" s="14">
        <f>AE50*Inputs!$H57</f>
        <v>1.0492964451000002E-2</v>
      </c>
      <c r="AF68" s="14">
        <f>AF50*Inputs!$H57</f>
        <v>1.0528517673000001E-2</v>
      </c>
      <c r="AG68" s="14">
        <f>AG50*Inputs!$H57</f>
        <v>1.0588961087999999E-2</v>
      </c>
      <c r="AH68" s="14">
        <f>AH50*Inputs!$H57</f>
        <v>1.0688682662999998E-2</v>
      </c>
    </row>
    <row r="69" spans="1:34" s="20" customFormat="1" ht="15">
      <c r="A69" s="8" t="s">
        <v>128</v>
      </c>
      <c r="B69" s="38"/>
      <c r="C69" s="334">
        <f t="shared" ref="C69:AH69" si="25">SUMPRODUCT($B60:$B68,C60:C68)</f>
        <v>267.81542999999999</v>
      </c>
      <c r="D69" s="334">
        <f t="shared" si="25"/>
        <v>284.06943000000001</v>
      </c>
      <c r="E69" s="334">
        <f t="shared" si="25"/>
        <v>291.43159994963167</v>
      </c>
      <c r="F69" s="334">
        <f t="shared" si="25"/>
        <v>281.43019685684988</v>
      </c>
      <c r="G69" s="334">
        <f t="shared" si="25"/>
        <v>311.71122561727958</v>
      </c>
      <c r="H69" s="19">
        <f t="shared" si="25"/>
        <v>320.70318932591795</v>
      </c>
      <c r="I69" s="19">
        <f t="shared" si="25"/>
        <v>332.47301577804257</v>
      </c>
      <c r="J69" s="19">
        <f t="shared" si="25"/>
        <v>351.76651663977776</v>
      </c>
      <c r="K69" s="19">
        <f t="shared" si="25"/>
        <v>381.47347786901372</v>
      </c>
      <c r="L69" s="19">
        <f t="shared" si="25"/>
        <v>398.54306888083482</v>
      </c>
      <c r="M69" s="19">
        <f t="shared" si="25"/>
        <v>414.55065082153703</v>
      </c>
      <c r="N69" s="190">
        <f t="shared" si="25"/>
        <v>434.92876691781129</v>
      </c>
      <c r="O69" s="19">
        <f t="shared" si="25"/>
        <v>466.3816721268858</v>
      </c>
      <c r="P69" s="19">
        <f t="shared" si="25"/>
        <v>487.72019806887312</v>
      </c>
      <c r="Q69" s="19">
        <f t="shared" si="25"/>
        <v>548.90592260865037</v>
      </c>
      <c r="R69" s="19">
        <f t="shared" si="25"/>
        <v>572.75260049118322</v>
      </c>
      <c r="S69" s="19">
        <f t="shared" si="25"/>
        <v>646.71399646982786</v>
      </c>
      <c r="T69" s="19">
        <f t="shared" si="25"/>
        <v>668.47002825365189</v>
      </c>
      <c r="U69" s="19">
        <f t="shared" si="25"/>
        <v>683.28316550683519</v>
      </c>
      <c r="V69" s="19">
        <f t="shared" si="25"/>
        <v>697.09834797754763</v>
      </c>
      <c r="W69" s="19">
        <f t="shared" si="25"/>
        <v>780.72172348811409</v>
      </c>
      <c r="X69" s="182">
        <f t="shared" si="25"/>
        <v>793.40525357190415</v>
      </c>
      <c r="Y69" s="19">
        <f t="shared" si="25"/>
        <v>804.0302574454513</v>
      </c>
      <c r="Z69" s="19">
        <f t="shared" si="25"/>
        <v>812.00403196176057</v>
      </c>
      <c r="AA69" s="19">
        <f t="shared" si="25"/>
        <v>822.69299354618011</v>
      </c>
      <c r="AB69" s="19">
        <f t="shared" si="25"/>
        <v>834.98622159715171</v>
      </c>
      <c r="AC69" s="19">
        <f t="shared" si="25"/>
        <v>845.46936577817962</v>
      </c>
      <c r="AD69" s="19">
        <f t="shared" si="25"/>
        <v>860.065823658814</v>
      </c>
      <c r="AE69" s="19">
        <f t="shared" si="25"/>
        <v>875.82771383907652</v>
      </c>
      <c r="AF69" s="19">
        <f t="shared" si="25"/>
        <v>893.97797750046175</v>
      </c>
      <c r="AG69" s="19">
        <f t="shared" si="25"/>
        <v>912.88342552389156</v>
      </c>
      <c r="AH69" s="19">
        <f t="shared" si="25"/>
        <v>929.75828838161544</v>
      </c>
    </row>
    <row r="70" spans="1:34" s="20" customFormat="1" ht="15">
      <c r="A70" s="27" t="s">
        <v>329</v>
      </c>
      <c r="B70" s="39"/>
      <c r="C70" s="334">
        <f>SUM(C58:C68)</f>
        <v>1653.6880800000004</v>
      </c>
      <c r="D70" s="334">
        <f t="shared" ref="D70:AH70" si="26">SUM(D58:D68)</f>
        <v>1499.0860800000003</v>
      </c>
      <c r="E70" s="334">
        <f t="shared" si="26"/>
        <v>1568.3123622576111</v>
      </c>
      <c r="F70" s="334">
        <f t="shared" si="26"/>
        <v>1546.5212893654973</v>
      </c>
      <c r="G70" s="334">
        <f t="shared" si="26"/>
        <v>1556.5994334686125</v>
      </c>
      <c r="H70" s="19">
        <f t="shared" si="26"/>
        <v>1569.2859739905903</v>
      </c>
      <c r="I70" s="19">
        <f t="shared" si="26"/>
        <v>1628.4562866923177</v>
      </c>
      <c r="J70" s="19">
        <f t="shared" si="26"/>
        <v>1702.6560454459429</v>
      </c>
      <c r="K70" s="19">
        <f t="shared" si="26"/>
        <v>1785.7330029969255</v>
      </c>
      <c r="L70" s="19">
        <f t="shared" si="26"/>
        <v>1844.2423412381615</v>
      </c>
      <c r="M70" s="19">
        <f t="shared" si="26"/>
        <v>1867.4897870760121</v>
      </c>
      <c r="N70" s="182">
        <f t="shared" si="26"/>
        <v>1887.8679395415411</v>
      </c>
      <c r="O70" s="19">
        <f t="shared" si="26"/>
        <v>1919.3208447506156</v>
      </c>
      <c r="P70" s="19">
        <f t="shared" si="26"/>
        <v>1940.659358569518</v>
      </c>
      <c r="Q70" s="19">
        <f t="shared" si="26"/>
        <v>2001.8450952323801</v>
      </c>
      <c r="R70" s="19">
        <f t="shared" si="26"/>
        <v>2025.6917367456579</v>
      </c>
      <c r="S70" s="19">
        <f t="shared" si="26"/>
        <v>2099.6560725724016</v>
      </c>
      <c r="T70" s="19">
        <f t="shared" si="26"/>
        <v>2121.4091887542968</v>
      </c>
      <c r="U70" s="19">
        <f t="shared" si="26"/>
        <v>2136.2223138843947</v>
      </c>
      <c r="V70" s="19">
        <f t="shared" si="26"/>
        <v>2150.0374963551071</v>
      </c>
      <c r="W70" s="19">
        <f t="shared" si="26"/>
        <v>2233.6608961118436</v>
      </c>
      <c r="X70" s="182">
        <f t="shared" si="26"/>
        <v>2246.3444019494641</v>
      </c>
      <c r="Y70" s="19">
        <f t="shared" si="26"/>
        <v>2256.9694058230107</v>
      </c>
      <c r="Z70" s="19">
        <f t="shared" si="26"/>
        <v>2264.943192462405</v>
      </c>
      <c r="AA70" s="19">
        <f t="shared" si="26"/>
        <v>2275.6321237391121</v>
      </c>
      <c r="AB70" s="19">
        <f t="shared" si="26"/>
        <v>2287.925369974711</v>
      </c>
      <c r="AC70" s="19">
        <f t="shared" si="26"/>
        <v>2298.408538401909</v>
      </c>
      <c r="AD70" s="19">
        <f t="shared" si="26"/>
        <v>2313.0049962825433</v>
      </c>
      <c r="AE70" s="19">
        <f t="shared" si="26"/>
        <v>2328.7668864628058</v>
      </c>
      <c r="AF70" s="19">
        <f t="shared" si="26"/>
        <v>2346.9171501241913</v>
      </c>
      <c r="AG70" s="19">
        <f t="shared" si="26"/>
        <v>2365.8225739014511</v>
      </c>
      <c r="AH70" s="19">
        <f t="shared" si="26"/>
        <v>2382.6974367591752</v>
      </c>
    </row>
    <row r="71" spans="1:34" s="20" customFormat="1" ht="15">
      <c r="A71" s="27" t="s">
        <v>142</v>
      </c>
      <c r="B71" s="39"/>
      <c r="C71" s="334">
        <f>C53*Inputs!$H$60</f>
        <v>1282.8420000000001</v>
      </c>
      <c r="D71" s="334">
        <f>D53*Inputs!$H$60</f>
        <v>1349.2710000000002</v>
      </c>
      <c r="E71" s="334">
        <f>E53*Inputs!$H$60</f>
        <v>1510.0248642443878</v>
      </c>
      <c r="F71" s="334">
        <f>F53*Inputs!$H$60</f>
        <v>1300.8774450744406</v>
      </c>
      <c r="G71" s="334">
        <f>G53*Inputs!$H$60</f>
        <v>1391.012095908615</v>
      </c>
      <c r="H71" s="19">
        <f>H53*Inputs!$H$60</f>
        <v>1432.8941100603327</v>
      </c>
      <c r="I71" s="19">
        <f>I53*Inputs!$H$60</f>
        <v>1357.9235498962262</v>
      </c>
      <c r="J71" s="19">
        <f>J53*Inputs!$H$60</f>
        <v>1304.7023717172963</v>
      </c>
      <c r="K71" s="19">
        <f>K53*Inputs!$H$60</f>
        <v>1373.4989571318536</v>
      </c>
      <c r="L71" s="19">
        <f>L53*Inputs!$H$60</f>
        <v>1398.2684059293381</v>
      </c>
      <c r="M71" s="19">
        <f>M53*Inputs!$H$60</f>
        <v>1411.0447787957951</v>
      </c>
      <c r="N71" s="190">
        <f>N53*Inputs!$H$60</f>
        <v>1407.4365178799881</v>
      </c>
      <c r="O71" s="19">
        <f>O53*Inputs!$H$60</f>
        <v>1419.2275782887621</v>
      </c>
      <c r="P71" s="19">
        <f>P53*Inputs!$H$60</f>
        <v>1430.2331175458999</v>
      </c>
      <c r="Q71" s="19">
        <f>Q53*Inputs!$H$60</f>
        <v>1430.8469782361867</v>
      </c>
      <c r="R71" s="19">
        <f>R53*Inputs!$H$60</f>
        <v>1449.3613284030091</v>
      </c>
      <c r="S71" s="19">
        <f>S53*Inputs!$H$60</f>
        <v>1463.6043943800319</v>
      </c>
      <c r="T71" s="19">
        <f>T53*Inputs!$H$60</f>
        <v>1462.5673682571385</v>
      </c>
      <c r="U71" s="19">
        <f>U53*Inputs!$H$60</f>
        <v>1462.8743764881533</v>
      </c>
      <c r="V71" s="19">
        <f>V53*Inputs!$H$60</f>
        <v>1462.6668246849174</v>
      </c>
      <c r="W71" s="19">
        <f>W53*Inputs!$H$60</f>
        <v>1457.2682740136631</v>
      </c>
      <c r="X71" s="182">
        <f>X53*Inputs!$H$60</f>
        <v>1458.4630764836529</v>
      </c>
      <c r="Y71" s="19">
        <f>Y53*Inputs!$H$60</f>
        <v>1457.8155231313356</v>
      </c>
      <c r="Z71" s="19">
        <f>Z53*Inputs!$H$60</f>
        <v>1457.3292726962413</v>
      </c>
      <c r="AA71" s="19">
        <f>AA53*Inputs!$H$60</f>
        <v>1455.8676306759817</v>
      </c>
      <c r="AB71" s="19">
        <f>AB53*Inputs!$H$60</f>
        <v>1454.6691152204992</v>
      </c>
      <c r="AC71" s="19">
        <f>AC53*Inputs!$H$60</f>
        <v>1453.3659441360935</v>
      </c>
      <c r="AD71" s="19">
        <f>AD53*Inputs!$H$60</f>
        <v>1452.0727909623399</v>
      </c>
      <c r="AE71" s="19">
        <f>AE53*Inputs!$H$60</f>
        <v>1450.8610732131858</v>
      </c>
      <c r="AF71" s="19">
        <f>AF53*Inputs!$H$60</f>
        <v>1449.6382471511749</v>
      </c>
      <c r="AG71" s="19">
        <f>AG53*Inputs!$H$60</f>
        <v>1449.6267404712366</v>
      </c>
      <c r="AH71" s="19">
        <f>AH53*Inputs!$H$60</f>
        <v>1449.6078205884878</v>
      </c>
    </row>
    <row r="72" spans="1:34" s="20" customFormat="1" ht="15">
      <c r="A72" s="27" t="s">
        <v>222</v>
      </c>
      <c r="B72" s="39"/>
      <c r="C72" s="334">
        <f>C54*Inputs!$H$61</f>
        <v>2303.433</v>
      </c>
      <c r="D72" s="334">
        <f>D54*Inputs!$H$61</f>
        <v>2932.2810000000004</v>
      </c>
      <c r="E72" s="334">
        <f>E54*Inputs!$H$61</f>
        <v>2222.3763148019057</v>
      </c>
      <c r="F72" s="334">
        <f>F54*Inputs!$H$61</f>
        <v>2642.2563773680049</v>
      </c>
      <c r="G72" s="334">
        <f>G54*Inputs!$H$61</f>
        <v>2358.7867182485643</v>
      </c>
      <c r="H72" s="19">
        <f>H54*Inputs!$H$61</f>
        <v>2248.2100592361639</v>
      </c>
      <c r="I72" s="19">
        <f>I54*Inputs!$H$61</f>
        <v>2425.5842347558755</v>
      </c>
      <c r="J72" s="19">
        <f>J54*Inputs!$H$61</f>
        <v>2646.8627365720236</v>
      </c>
      <c r="K72" s="19">
        <f>K54*Inputs!$H$61</f>
        <v>2528.2074312860595</v>
      </c>
      <c r="L72" s="19">
        <f>L54*Inputs!$H$61</f>
        <v>2497.6273685898518</v>
      </c>
      <c r="M72" s="19">
        <f>M54*Inputs!$H$61</f>
        <v>2538.7989389074473</v>
      </c>
      <c r="N72" s="190">
        <f>N54*Inputs!$H$61</f>
        <v>2615.9078515990391</v>
      </c>
      <c r="O72" s="19">
        <f>O54*Inputs!$H$61</f>
        <v>2655.6066730547395</v>
      </c>
      <c r="P72" s="19">
        <f>P54*Inputs!$H$61</f>
        <v>2711.3992119852769</v>
      </c>
      <c r="Q72" s="19">
        <f>Q54*Inputs!$H$61</f>
        <v>2815.2715620253634</v>
      </c>
      <c r="R72" s="19">
        <f>R54*Inputs!$H$61</f>
        <v>2879.239341570405</v>
      </c>
      <c r="S72" s="19">
        <f>S54*Inputs!$H$61</f>
        <v>2913.9765567022359</v>
      </c>
      <c r="T72" s="19">
        <f>T54*Inputs!$H$61</f>
        <v>2961.1710062207644</v>
      </c>
      <c r="U72" s="19">
        <f>U54*Inputs!$H$61</f>
        <v>3007.2544109268333</v>
      </c>
      <c r="V72" s="19">
        <f>V54*Inputs!$H$61</f>
        <v>3061.0847447438659</v>
      </c>
      <c r="W72" s="19">
        <f>W54*Inputs!$H$61</f>
        <v>3086.2421686110761</v>
      </c>
      <c r="X72" s="182">
        <f>X54*Inputs!$H$61</f>
        <v>3134.2583549371579</v>
      </c>
      <c r="Y72" s="19">
        <f>Y54*Inputs!$H$61</f>
        <v>3154.8756680292859</v>
      </c>
      <c r="Z72" s="19">
        <f>Z54*Inputs!$H$61</f>
        <v>3189.4378114416259</v>
      </c>
      <c r="AA72" s="19">
        <f>AA54*Inputs!$H$61</f>
        <v>3214.3861224798284</v>
      </c>
      <c r="AB72" s="19">
        <f>AB54*Inputs!$H$61</f>
        <v>3248.9427369045607</v>
      </c>
      <c r="AC72" s="19">
        <f>AC54*Inputs!$H$61</f>
        <v>3303.5393740430013</v>
      </c>
      <c r="AD72" s="19">
        <f>AD54*Inputs!$H$61</f>
        <v>3352.3423336486071</v>
      </c>
      <c r="AE72" s="19">
        <f>AE54*Inputs!$H$61</f>
        <v>3429.7119428008436</v>
      </c>
      <c r="AF72" s="19">
        <f>AF54*Inputs!$H$61</f>
        <v>3515.4766706282066</v>
      </c>
      <c r="AG72" s="19">
        <f>AG54*Inputs!$H$61</f>
        <v>3581.9737051626489</v>
      </c>
      <c r="AH72" s="19">
        <f>AH54*Inputs!$H$61</f>
        <v>3633.6894028262095</v>
      </c>
    </row>
    <row r="73" spans="1:34" ht="15">
      <c r="A73" s="27" t="s">
        <v>58</v>
      </c>
      <c r="C73" s="331">
        <f>SUM(C70:C72)</f>
        <v>5239.9630800000004</v>
      </c>
      <c r="D73" s="331">
        <f t="shared" ref="D73:AH73" si="27">SUM(D70:D72)</f>
        <v>5780.6380800000006</v>
      </c>
      <c r="E73" s="331">
        <f t="shared" si="27"/>
        <v>5300.713541303905</v>
      </c>
      <c r="F73" s="331">
        <f t="shared" si="27"/>
        <v>5489.6551118079424</v>
      </c>
      <c r="G73" s="331">
        <f t="shared" si="27"/>
        <v>5306.3982476257916</v>
      </c>
      <c r="H73" s="14">
        <f t="shared" si="27"/>
        <v>5250.3901432870871</v>
      </c>
      <c r="I73" s="14">
        <f t="shared" si="27"/>
        <v>5411.9640713444196</v>
      </c>
      <c r="J73" s="14">
        <f t="shared" si="27"/>
        <v>5654.2211537352632</v>
      </c>
      <c r="K73" s="14">
        <f t="shared" si="27"/>
        <v>5687.4393914148386</v>
      </c>
      <c r="L73" s="14">
        <f t="shared" si="27"/>
        <v>5740.1381157573514</v>
      </c>
      <c r="M73" s="14">
        <f t="shared" si="27"/>
        <v>5817.3335047792543</v>
      </c>
      <c r="N73" s="190">
        <f t="shared" si="27"/>
        <v>5911.2123090205678</v>
      </c>
      <c r="O73" s="14">
        <f t="shared" si="27"/>
        <v>5994.1550960941167</v>
      </c>
      <c r="P73" s="14">
        <f t="shared" si="27"/>
        <v>6082.291688100695</v>
      </c>
      <c r="Q73" s="14">
        <f t="shared" si="27"/>
        <v>6247.9636354939303</v>
      </c>
      <c r="R73" s="14">
        <f t="shared" si="27"/>
        <v>6354.2924067190725</v>
      </c>
      <c r="S73" s="14">
        <f t="shared" si="27"/>
        <v>6477.2370236546694</v>
      </c>
      <c r="T73" s="14">
        <f t="shared" si="27"/>
        <v>6545.1475632321999</v>
      </c>
      <c r="U73" s="14">
        <f t="shared" si="27"/>
        <v>6606.3511012993813</v>
      </c>
      <c r="V73" s="14">
        <f t="shared" si="27"/>
        <v>6673.7890657838907</v>
      </c>
      <c r="W73" s="14">
        <f t="shared" si="27"/>
        <v>6777.1713387365835</v>
      </c>
      <c r="X73" s="187">
        <f t="shared" si="27"/>
        <v>6839.065833370275</v>
      </c>
      <c r="Y73" s="14">
        <f t="shared" si="27"/>
        <v>6869.6605969836328</v>
      </c>
      <c r="Z73" s="14">
        <f t="shared" si="27"/>
        <v>6911.7102766002718</v>
      </c>
      <c r="AA73" s="14">
        <f t="shared" si="27"/>
        <v>6945.8858768949221</v>
      </c>
      <c r="AB73" s="14">
        <f t="shared" si="27"/>
        <v>6991.5372220997706</v>
      </c>
      <c r="AC73" s="14">
        <f t="shared" si="27"/>
        <v>7055.3138565810041</v>
      </c>
      <c r="AD73" s="14">
        <f t="shared" si="27"/>
        <v>7117.4201208934901</v>
      </c>
      <c r="AE73" s="14">
        <f t="shared" si="27"/>
        <v>7209.3399024768351</v>
      </c>
      <c r="AF73" s="14">
        <f t="shared" si="27"/>
        <v>7312.0320679035722</v>
      </c>
      <c r="AG73" s="14">
        <f t="shared" si="27"/>
        <v>7397.4230195353366</v>
      </c>
      <c r="AH73" s="14">
        <f t="shared" si="27"/>
        <v>7465.994660173872</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3"/>
      <c r="B1" s="533"/>
      <c r="C1" s="533"/>
      <c r="D1" s="533"/>
      <c r="E1" s="533"/>
      <c r="F1" s="533"/>
      <c r="G1" s="533"/>
      <c r="H1" s="533"/>
      <c r="I1" s="533"/>
      <c r="J1" s="533"/>
      <c r="K1" s="533"/>
      <c r="L1" s="533"/>
      <c r="M1" s="533"/>
      <c r="N1" s="533"/>
      <c r="O1" s="533"/>
      <c r="P1" s="533"/>
    </row>
    <row r="2" spans="1:16">
      <c r="A2" s="533"/>
      <c r="B2" s="533"/>
      <c r="C2" s="533"/>
      <c r="D2" s="533"/>
      <c r="E2" s="533"/>
      <c r="F2" s="533"/>
      <c r="G2" s="533"/>
      <c r="H2" s="533"/>
      <c r="I2" s="533"/>
      <c r="J2" s="533"/>
      <c r="K2" s="533"/>
      <c r="L2" s="533"/>
      <c r="M2" s="533"/>
      <c r="N2" s="533"/>
      <c r="O2" s="533"/>
      <c r="P2" s="533"/>
    </row>
    <row r="3" spans="1:16">
      <c r="A3" s="533"/>
      <c r="B3" s="533"/>
      <c r="C3" s="533"/>
      <c r="D3" s="533"/>
      <c r="E3" s="533"/>
      <c r="F3" s="533"/>
      <c r="G3" s="533"/>
      <c r="H3" s="533"/>
      <c r="I3" s="533"/>
      <c r="J3" s="533"/>
      <c r="K3" s="533"/>
      <c r="L3" s="533"/>
      <c r="M3" s="533"/>
      <c r="N3" s="533"/>
      <c r="O3" s="533"/>
      <c r="P3" s="533"/>
    </row>
    <row r="4" spans="1:16">
      <c r="A4" s="533"/>
      <c r="B4" s="533"/>
      <c r="C4" s="533"/>
      <c r="D4" s="533"/>
      <c r="E4" s="533"/>
      <c r="F4" s="533"/>
      <c r="G4" s="533"/>
      <c r="H4" s="533"/>
      <c r="I4" s="533"/>
      <c r="J4" s="533"/>
      <c r="K4" s="533"/>
      <c r="L4" s="533"/>
      <c r="M4" s="533"/>
      <c r="N4" s="533"/>
      <c r="O4" s="533"/>
      <c r="P4" s="533"/>
    </row>
    <row r="5" spans="1:16">
      <c r="A5" s="533"/>
      <c r="B5" s="533"/>
      <c r="C5" s="533"/>
      <c r="D5" s="533"/>
      <c r="E5" s="533"/>
      <c r="F5" s="533"/>
      <c r="G5" s="533"/>
      <c r="H5" s="533"/>
      <c r="I5" s="533"/>
      <c r="J5" s="533"/>
      <c r="K5" s="533"/>
      <c r="L5" s="533"/>
      <c r="M5" s="533"/>
      <c r="N5" s="533"/>
      <c r="O5" s="533"/>
      <c r="P5" s="533"/>
    </row>
    <row r="6" spans="1:16">
      <c r="A6" s="533"/>
      <c r="B6" s="533"/>
      <c r="C6" s="533"/>
      <c r="D6" s="533"/>
      <c r="E6" s="533"/>
      <c r="F6" s="533"/>
      <c r="G6" s="533"/>
      <c r="H6" s="533"/>
      <c r="I6" s="533"/>
      <c r="J6" s="533"/>
      <c r="K6" s="533"/>
      <c r="L6" s="533"/>
      <c r="M6" s="533"/>
      <c r="N6" s="533"/>
      <c r="O6" s="533"/>
      <c r="P6" s="533"/>
    </row>
    <row r="7" spans="1:16">
      <c r="A7" s="533"/>
      <c r="B7" s="533"/>
      <c r="C7" s="533"/>
      <c r="D7" s="533"/>
      <c r="E7" s="533"/>
      <c r="F7" s="533"/>
      <c r="G7" s="533"/>
      <c r="H7" s="533"/>
      <c r="I7" s="533"/>
      <c r="J7" s="533"/>
      <c r="K7" s="533"/>
      <c r="L7" s="533"/>
      <c r="M7" s="533"/>
      <c r="N7" s="533"/>
      <c r="O7" s="533"/>
      <c r="P7" s="533"/>
    </row>
    <row r="8" spans="1:16">
      <c r="A8" s="533"/>
      <c r="B8" s="533"/>
      <c r="C8" s="533"/>
      <c r="D8" s="533"/>
      <c r="E8" s="533"/>
      <c r="F8" s="533"/>
      <c r="G8" s="533"/>
      <c r="H8" s="533"/>
      <c r="I8" s="533"/>
      <c r="J8" s="533"/>
      <c r="K8" s="533"/>
      <c r="L8" s="533"/>
      <c r="M8" s="533"/>
      <c r="N8" s="533"/>
      <c r="O8" s="533"/>
      <c r="P8" s="533"/>
    </row>
    <row r="9" spans="1:16" ht="2.25" customHeight="1">
      <c r="A9" s="533"/>
      <c r="B9" s="533"/>
      <c r="C9" s="533"/>
      <c r="D9" s="533"/>
      <c r="E9" s="533"/>
      <c r="F9" s="533"/>
      <c r="G9" s="533"/>
      <c r="H9" s="533"/>
      <c r="I9" s="533"/>
      <c r="J9" s="533"/>
      <c r="K9" s="533"/>
      <c r="L9" s="533"/>
      <c r="M9" s="533"/>
      <c r="N9" s="533"/>
      <c r="O9" s="533"/>
      <c r="P9" s="533"/>
    </row>
    <row r="10" spans="1:16" hidden="1">
      <c r="A10" s="533"/>
      <c r="B10" s="533"/>
      <c r="C10" s="533"/>
      <c r="D10" s="533"/>
      <c r="E10" s="533"/>
      <c r="F10" s="533"/>
      <c r="G10" s="533"/>
      <c r="H10" s="533"/>
      <c r="I10" s="533"/>
      <c r="J10" s="533"/>
      <c r="K10" s="533"/>
      <c r="L10" s="533"/>
      <c r="M10" s="533"/>
      <c r="N10" s="533"/>
      <c r="O10" s="533"/>
      <c r="P10" s="533"/>
    </row>
    <row r="11" spans="1:16">
      <c r="A11" s="534" t="s">
        <v>212</v>
      </c>
      <c r="B11" s="536">
        <v>2000</v>
      </c>
      <c r="C11" s="538" t="s">
        <v>219</v>
      </c>
      <c r="D11" s="538" t="s">
        <v>556</v>
      </c>
      <c r="E11" s="541" t="s">
        <v>213</v>
      </c>
      <c r="F11" s="542"/>
      <c r="G11" s="536"/>
      <c r="H11" s="545" t="s">
        <v>557</v>
      </c>
      <c r="I11" s="546"/>
      <c r="J11" s="546"/>
      <c r="K11" s="546"/>
      <c r="L11" s="546"/>
      <c r="M11" s="546"/>
      <c r="N11" s="546"/>
      <c r="O11" s="547"/>
    </row>
    <row r="12" spans="1:16">
      <c r="A12" s="535"/>
      <c r="B12" s="537"/>
      <c r="C12" s="539"/>
      <c r="D12" s="539"/>
      <c r="E12" s="543"/>
      <c r="F12" s="544"/>
      <c r="G12" s="537"/>
      <c r="H12" s="544" t="s">
        <v>214</v>
      </c>
      <c r="I12" s="537"/>
      <c r="J12" s="543" t="s">
        <v>215</v>
      </c>
      <c r="K12" s="537"/>
      <c r="L12" s="543" t="s">
        <v>216</v>
      </c>
      <c r="M12" s="544"/>
      <c r="N12" s="544"/>
      <c r="O12" s="537"/>
    </row>
    <row r="13" spans="1:16" ht="67" thickBot="1">
      <c r="A13" s="211" t="s">
        <v>217</v>
      </c>
      <c r="B13" s="211" t="s">
        <v>218</v>
      </c>
      <c r="C13" s="540"/>
      <c r="D13" s="540"/>
      <c r="E13" s="411" t="s">
        <v>558</v>
      </c>
      <c r="F13" s="435" t="s">
        <v>559</v>
      </c>
      <c r="G13" s="212" t="s">
        <v>308</v>
      </c>
      <c r="H13" s="423" t="s">
        <v>360</v>
      </c>
      <c r="I13" s="435" t="s">
        <v>560</v>
      </c>
      <c r="J13" s="411" t="s">
        <v>360</v>
      </c>
      <c r="K13" s="435" t="s">
        <v>560</v>
      </c>
      <c r="L13" s="411" t="s">
        <v>360</v>
      </c>
      <c r="M13" s="435" t="s">
        <v>560</v>
      </c>
      <c r="N13" s="212" t="s">
        <v>58</v>
      </c>
      <c r="O13" s="212" t="s">
        <v>561</v>
      </c>
    </row>
    <row r="14" spans="1:16" ht="13" thickTop="1">
      <c r="A14" s="443" t="s">
        <v>562</v>
      </c>
      <c r="B14" s="443" t="s">
        <v>563</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56">
        <f>AVERAGE(N14:N15)</f>
        <v>0.20532702121944668</v>
      </c>
    </row>
    <row r="15" spans="1:16" ht="13" thickBot="1">
      <c r="A15" s="223" t="s">
        <v>564</v>
      </c>
      <c r="B15" s="223" t="s">
        <v>565</v>
      </c>
      <c r="C15" s="224">
        <v>0.85</v>
      </c>
      <c r="D15" s="225">
        <v>40</v>
      </c>
      <c r="E15" s="226">
        <v>8.5</v>
      </c>
      <c r="F15" s="432">
        <v>0.24</v>
      </c>
      <c r="G15" s="527">
        <v>0.13</v>
      </c>
      <c r="H15" s="414">
        <f t="shared" si="0"/>
        <v>0.21249999999999999</v>
      </c>
      <c r="I15" s="527">
        <f t="shared" si="1"/>
        <v>1.2079800000000001</v>
      </c>
      <c r="J15" s="427">
        <f t="shared" si="2"/>
        <v>0.25</v>
      </c>
      <c r="K15" s="527">
        <f t="shared" si="3"/>
        <v>1.4211529411764707</v>
      </c>
      <c r="L15" s="427">
        <f t="shared" si="4"/>
        <v>2.8538812785388126E-2</v>
      </c>
      <c r="M15" s="527">
        <f t="shared" si="4"/>
        <v>0.16223207091055603</v>
      </c>
      <c r="N15" s="419">
        <f t="shared" si="5"/>
        <v>0.19077088369594414</v>
      </c>
      <c r="O15" s="557"/>
    </row>
    <row r="16" spans="1:16">
      <c r="A16" s="227" t="s">
        <v>566</v>
      </c>
      <c r="B16" s="227" t="s">
        <v>567</v>
      </c>
      <c r="C16" s="228">
        <v>0.9</v>
      </c>
      <c r="D16" s="229">
        <v>40</v>
      </c>
      <c r="E16" s="230">
        <f>36000/5600</f>
        <v>6.4285714285714288</v>
      </c>
      <c r="F16" s="464">
        <f>10000/5600</f>
        <v>1.7857142857142858</v>
      </c>
      <c r="G16" s="230">
        <v>0</v>
      </c>
      <c r="H16" s="412">
        <f t="shared" si="0"/>
        <v>0.16071428571428573</v>
      </c>
      <c r="I16" s="528">
        <f t="shared" si="1"/>
        <v>1.7857142857142858</v>
      </c>
      <c r="J16" s="428">
        <f t="shared" si="2"/>
        <v>0.17857142857142858</v>
      </c>
      <c r="K16" s="528">
        <f t="shared" si="3"/>
        <v>1.9841269841269842</v>
      </c>
      <c r="L16" s="428">
        <f t="shared" si="4"/>
        <v>2.0384866275277233E-2</v>
      </c>
      <c r="M16" s="528">
        <f t="shared" si="4"/>
        <v>0.22649851416974706</v>
      </c>
      <c r="N16" s="421">
        <f t="shared" si="5"/>
        <v>0.24688338044502428</v>
      </c>
      <c r="O16" s="558">
        <f>AVERAGE(N16:N18)</f>
        <v>0.24750247638375492</v>
      </c>
    </row>
    <row r="17" spans="1:15">
      <c r="A17" s="217" t="s">
        <v>568</v>
      </c>
      <c r="B17" s="217" t="s">
        <v>312</v>
      </c>
      <c r="C17" s="218">
        <v>0.9</v>
      </c>
      <c r="D17" s="219">
        <v>40</v>
      </c>
      <c r="E17" s="216">
        <v>17.5</v>
      </c>
      <c r="F17" s="526">
        <v>1.7</v>
      </c>
      <c r="G17" s="216">
        <v>0</v>
      </c>
      <c r="H17" s="525">
        <f>E17/D17</f>
        <v>0.4375</v>
      </c>
      <c r="I17" s="529">
        <f>F17+G17*8760/1000*C17</f>
        <v>1.7</v>
      </c>
      <c r="J17" s="429">
        <f>H17/C17</f>
        <v>0.4861111111111111</v>
      </c>
      <c r="K17" s="529">
        <f>I17/C17</f>
        <v>1.8888888888888888</v>
      </c>
      <c r="L17" s="429">
        <f t="shared" si="4"/>
        <v>5.5492135971588023E-2</v>
      </c>
      <c r="M17" s="529">
        <f t="shared" si="4"/>
        <v>0.21562658548959918</v>
      </c>
      <c r="N17" s="420">
        <f>SUM(L17:M17)</f>
        <v>0.27111872146118721</v>
      </c>
      <c r="O17" s="559"/>
    </row>
    <row r="18" spans="1:15" ht="13" thickBot="1">
      <c r="A18" s="451" t="s">
        <v>569</v>
      </c>
      <c r="B18" s="451" t="s">
        <v>563</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57"/>
    </row>
    <row r="19" spans="1:15">
      <c r="A19" s="227" t="s">
        <v>570</v>
      </c>
      <c r="B19" s="227" t="s">
        <v>312</v>
      </c>
      <c r="C19" s="228">
        <v>0.85</v>
      </c>
      <c r="D19" s="229">
        <v>40</v>
      </c>
      <c r="E19" s="230">
        <v>21.3</v>
      </c>
      <c r="F19" s="464">
        <v>7.8</v>
      </c>
      <c r="G19" s="230">
        <v>0</v>
      </c>
      <c r="H19" s="412">
        <f>E19/D19</f>
        <v>0.53249999999999997</v>
      </c>
      <c r="I19" s="528">
        <f>F19+G19*8760/1000*C19</f>
        <v>7.8</v>
      </c>
      <c r="J19" s="428">
        <f>H19/C19</f>
        <v>0.62647058823529411</v>
      </c>
      <c r="K19" s="528">
        <f>I19/C19</f>
        <v>9.1764705882352935</v>
      </c>
      <c r="L19" s="428">
        <f t="shared" si="4"/>
        <v>7.1514907332796127E-2</v>
      </c>
      <c r="M19" s="528">
        <f t="shared" si="4"/>
        <v>1.0475423045930701</v>
      </c>
      <c r="N19" s="421">
        <f>SUM(L19:M19)</f>
        <v>1.1190572119258662</v>
      </c>
      <c r="O19" s="558">
        <f>AVERAGE(N19:N20)</f>
        <v>0.71885911899006172</v>
      </c>
    </row>
    <row r="20" spans="1:15" ht="13" thickBot="1">
      <c r="A20" s="451" t="s">
        <v>571</v>
      </c>
      <c r="B20" s="451" t="s">
        <v>563</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57"/>
    </row>
    <row r="21" spans="1:15" ht="13" thickBot="1">
      <c r="A21" s="231" t="s">
        <v>572</v>
      </c>
      <c r="B21" s="231" t="s">
        <v>563</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573</v>
      </c>
      <c r="C22" s="237">
        <v>0.2</v>
      </c>
      <c r="D22" s="238">
        <v>25</v>
      </c>
      <c r="E22" s="239">
        <v>37</v>
      </c>
      <c r="F22" s="468">
        <v>1</v>
      </c>
      <c r="G22" s="239">
        <v>0</v>
      </c>
      <c r="H22" s="424">
        <f>E22/D22</f>
        <v>1.48</v>
      </c>
      <c r="I22" s="530">
        <f>F22+G22*8760/1000*C22</f>
        <v>1</v>
      </c>
      <c r="J22" s="431">
        <f>H22/C22</f>
        <v>7.3999999999999995</v>
      </c>
      <c r="K22" s="530">
        <f>I22/C22</f>
        <v>5</v>
      </c>
      <c r="L22" s="431">
        <f>J22/8760*1000</f>
        <v>0.84474885844748848</v>
      </c>
      <c r="M22" s="530">
        <f>K22/8760*1000</f>
        <v>0.57077625570776247</v>
      </c>
      <c r="N22" s="426">
        <f>SUM(L22:M22)</f>
        <v>1.415525114155251</v>
      </c>
      <c r="O22" s="563">
        <f>N39</f>
        <v>0.79313246811604099</v>
      </c>
    </row>
    <row r="23" spans="1:15">
      <c r="A23" s="455" t="s">
        <v>310</v>
      </c>
      <c r="B23" s="455" t="s">
        <v>221</v>
      </c>
      <c r="C23" s="456">
        <v>0.2</v>
      </c>
      <c r="D23" s="457">
        <v>25</v>
      </c>
      <c r="E23" s="458">
        <v>32.340000000000003</v>
      </c>
      <c r="F23" s="467">
        <v>0.37</v>
      </c>
      <c r="G23" s="458">
        <v>0</v>
      </c>
      <c r="H23" s="459">
        <f t="shared" si="0"/>
        <v>1.2936000000000001</v>
      </c>
      <c r="I23" s="524">
        <f t="shared" si="1"/>
        <v>0.37</v>
      </c>
      <c r="J23" s="460">
        <f t="shared" si="2"/>
        <v>6.468</v>
      </c>
      <c r="K23" s="524">
        <f t="shared" si="3"/>
        <v>1.8499999999999999</v>
      </c>
      <c r="L23" s="460">
        <f t="shared" si="4"/>
        <v>0.73835616438356166</v>
      </c>
      <c r="M23" s="524">
        <f t="shared" si="4"/>
        <v>0.21118721461187212</v>
      </c>
      <c r="N23" s="461">
        <f t="shared" si="5"/>
        <v>0.94954337899543373</v>
      </c>
      <c r="O23" s="564"/>
    </row>
    <row r="24" spans="1:15" ht="13" thickBot="1">
      <c r="A24" s="451" t="s">
        <v>311</v>
      </c>
      <c r="B24" s="451" t="s">
        <v>563</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5"/>
    </row>
    <row r="25" spans="1:15">
      <c r="A25" s="227" t="s">
        <v>434</v>
      </c>
      <c r="B25" s="227" t="s">
        <v>438</v>
      </c>
      <c r="C25" s="240">
        <v>0.4</v>
      </c>
      <c r="D25" s="229">
        <v>25</v>
      </c>
      <c r="E25" s="230">
        <f>10310/1000</f>
        <v>10.31</v>
      </c>
      <c r="F25" s="464">
        <v>1</v>
      </c>
      <c r="G25" s="230">
        <v>0</v>
      </c>
      <c r="H25" s="424">
        <f t="shared" si="0"/>
        <v>0.41240000000000004</v>
      </c>
      <c r="I25" s="530">
        <f t="shared" si="1"/>
        <v>1</v>
      </c>
      <c r="J25" s="431">
        <f t="shared" si="2"/>
        <v>1.0310000000000001</v>
      </c>
      <c r="K25" s="530">
        <f t="shared" si="3"/>
        <v>2.5</v>
      </c>
      <c r="L25" s="431">
        <f t="shared" si="4"/>
        <v>0.11769406392694066</v>
      </c>
      <c r="M25" s="530">
        <f t="shared" si="4"/>
        <v>0.28538812785388123</v>
      </c>
      <c r="N25" s="426">
        <f t="shared" si="5"/>
        <v>0.40308219178082189</v>
      </c>
      <c r="O25" s="558">
        <f>AVERAGE(N25:N26,N27)</f>
        <v>0.23028919330289191</v>
      </c>
    </row>
    <row r="26" spans="1:15">
      <c r="A26" s="214" t="s">
        <v>435</v>
      </c>
      <c r="B26" s="214" t="s">
        <v>437</v>
      </c>
      <c r="C26" s="220">
        <v>0.4</v>
      </c>
      <c r="D26" s="215">
        <v>25</v>
      </c>
      <c r="E26" s="216">
        <v>4.5</v>
      </c>
      <c r="F26" s="526">
        <v>0.38</v>
      </c>
      <c r="G26" s="529">
        <v>0</v>
      </c>
      <c r="H26" s="415">
        <f t="shared" si="0"/>
        <v>0.18</v>
      </c>
      <c r="I26" s="529">
        <f t="shared" si="1"/>
        <v>0.38</v>
      </c>
      <c r="J26" s="429">
        <f t="shared" si="2"/>
        <v>0.44999999999999996</v>
      </c>
      <c r="K26" s="529">
        <f t="shared" si="3"/>
        <v>0.95</v>
      </c>
      <c r="L26" s="429">
        <f t="shared" si="4"/>
        <v>5.1369863013698627E-2</v>
      </c>
      <c r="M26" s="529">
        <f t="shared" si="4"/>
        <v>0.10844748858447488</v>
      </c>
      <c r="N26" s="420">
        <f t="shared" si="5"/>
        <v>0.15981735159817351</v>
      </c>
      <c r="O26" s="559"/>
    </row>
    <row r="27" spans="1:15" ht="13" thickBot="1">
      <c r="A27" s="436" t="s">
        <v>436</v>
      </c>
      <c r="B27" s="436" t="s">
        <v>563</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57"/>
    </row>
    <row r="28" spans="1:15">
      <c r="A28" s="241" t="s">
        <v>574</v>
      </c>
      <c r="B28" s="241" t="s">
        <v>362</v>
      </c>
      <c r="C28" s="240">
        <v>0.35</v>
      </c>
      <c r="D28" s="229">
        <v>25</v>
      </c>
      <c r="E28" s="230">
        <v>10.1</v>
      </c>
      <c r="F28" s="464">
        <v>0.4</v>
      </c>
      <c r="G28" s="528">
        <v>0</v>
      </c>
      <c r="H28" s="425">
        <f t="shared" si="0"/>
        <v>0.40399999999999997</v>
      </c>
      <c r="I28" s="528">
        <f t="shared" si="1"/>
        <v>0.4</v>
      </c>
      <c r="J28" s="428">
        <f t="shared" si="2"/>
        <v>1.1542857142857144</v>
      </c>
      <c r="K28" s="528">
        <f t="shared" si="3"/>
        <v>1.142857142857143</v>
      </c>
      <c r="L28" s="428">
        <f t="shared" si="4"/>
        <v>0.13176777560339206</v>
      </c>
      <c r="M28" s="528">
        <f t="shared" si="4"/>
        <v>0.13046314416177432</v>
      </c>
      <c r="N28" s="421">
        <f t="shared" si="5"/>
        <v>0.26223091976516638</v>
      </c>
      <c r="O28" s="558">
        <f>AVERAGE(N28,N29,N30:N32)</f>
        <v>0.16974559686888452</v>
      </c>
    </row>
    <row r="29" spans="1:15">
      <c r="A29" s="214" t="s">
        <v>220</v>
      </c>
      <c r="B29" s="214" t="s">
        <v>221</v>
      </c>
      <c r="C29" s="220">
        <v>0.35</v>
      </c>
      <c r="D29" s="219">
        <v>25</v>
      </c>
      <c r="E29" s="216">
        <v>3.8</v>
      </c>
      <c r="F29" s="526">
        <v>0.14399999999999999</v>
      </c>
      <c r="G29" s="529">
        <v>0</v>
      </c>
      <c r="H29" s="415">
        <f t="shared" si="0"/>
        <v>0.152</v>
      </c>
      <c r="I29" s="529">
        <f t="shared" si="1"/>
        <v>0.14399999999999999</v>
      </c>
      <c r="J29" s="429">
        <f t="shared" si="2"/>
        <v>0.43428571428571427</v>
      </c>
      <c r="K29" s="529">
        <f t="shared" si="3"/>
        <v>0.41142857142857142</v>
      </c>
      <c r="L29" s="429">
        <f t="shared" si="4"/>
        <v>4.9575994781474238E-2</v>
      </c>
      <c r="M29" s="529">
        <f t="shared" si="4"/>
        <v>4.6966731898238752E-2</v>
      </c>
      <c r="N29" s="420">
        <f t="shared" si="5"/>
        <v>9.654272667971299E-2</v>
      </c>
      <c r="O29" s="559"/>
    </row>
    <row r="30" spans="1:15">
      <c r="A30" s="214" t="s">
        <v>361</v>
      </c>
      <c r="B30" s="214" t="s">
        <v>575</v>
      </c>
      <c r="C30" s="220">
        <v>0.35</v>
      </c>
      <c r="D30" s="215">
        <v>25</v>
      </c>
      <c r="E30" s="529">
        <v>10.96</v>
      </c>
      <c r="F30" s="429">
        <v>0.17499999999999999</v>
      </c>
      <c r="G30" s="529">
        <v>0</v>
      </c>
      <c r="H30" s="415">
        <f t="shared" si="0"/>
        <v>0.43840000000000001</v>
      </c>
      <c r="I30" s="529">
        <f t="shared" si="1"/>
        <v>0.17499999999999999</v>
      </c>
      <c r="J30" s="429">
        <f t="shared" si="2"/>
        <v>1.2525714285714287</v>
      </c>
      <c r="K30" s="529">
        <f t="shared" si="3"/>
        <v>0.5</v>
      </c>
      <c r="L30" s="429">
        <f t="shared" si="4"/>
        <v>0.14298760600130464</v>
      </c>
      <c r="M30" s="529">
        <f t="shared" si="4"/>
        <v>5.7077625570776253E-2</v>
      </c>
      <c r="N30" s="420">
        <f t="shared" si="5"/>
        <v>0.20006523157208089</v>
      </c>
      <c r="O30" s="559"/>
    </row>
    <row r="31" spans="1:15">
      <c r="A31" s="214" t="s">
        <v>576</v>
      </c>
      <c r="B31" s="214" t="s">
        <v>312</v>
      </c>
      <c r="C31" s="220">
        <v>0.35</v>
      </c>
      <c r="D31" s="215">
        <v>25</v>
      </c>
      <c r="E31" s="529">
        <v>7.4</v>
      </c>
      <c r="F31" s="429">
        <v>0.2</v>
      </c>
      <c r="G31" s="529">
        <v>0</v>
      </c>
      <c r="H31" s="415">
        <f t="shared" si="0"/>
        <v>0.29600000000000004</v>
      </c>
      <c r="I31" s="529">
        <f t="shared" si="1"/>
        <v>0.2</v>
      </c>
      <c r="J31" s="429">
        <f t="shared" si="2"/>
        <v>0.84571428571428586</v>
      </c>
      <c r="K31" s="529">
        <f t="shared" si="3"/>
        <v>0.57142857142857151</v>
      </c>
      <c r="L31" s="429">
        <f t="shared" si="4"/>
        <v>9.6542726679713003E-2</v>
      </c>
      <c r="M31" s="529">
        <f t="shared" si="4"/>
        <v>6.523157208088716E-2</v>
      </c>
      <c r="N31" s="420">
        <f t="shared" si="5"/>
        <v>0.16177429876060018</v>
      </c>
      <c r="O31" s="559"/>
    </row>
    <row r="32" spans="1:15" ht="13" thickBot="1">
      <c r="A32" s="436" t="s">
        <v>577</v>
      </c>
      <c r="B32" s="436" t="s">
        <v>563</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57"/>
    </row>
    <row r="33" spans="1:15" ht="23" thickBot="1">
      <c r="A33" s="231" t="s">
        <v>431</v>
      </c>
      <c r="B33" s="231" t="s">
        <v>432</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433</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427</v>
      </c>
      <c r="B37" s="213" t="s">
        <v>429</v>
      </c>
      <c r="C37" s="245">
        <v>1</v>
      </c>
      <c r="D37" s="222">
        <v>20</v>
      </c>
      <c r="E37" s="548" t="s">
        <v>0</v>
      </c>
      <c r="F37" s="549"/>
      <c r="G37" s="549"/>
      <c r="H37" s="549"/>
      <c r="I37" s="549"/>
      <c r="J37" s="549"/>
      <c r="K37" s="549"/>
      <c r="L37" s="549"/>
      <c r="M37" s="550"/>
      <c r="N37" s="418">
        <v>0.17</v>
      </c>
      <c r="O37" s="551">
        <f>AVERAGE(N37,N38)</f>
        <v>0.38</v>
      </c>
    </row>
    <row r="38" spans="1:15">
      <c r="A38" s="214" t="s">
        <v>428</v>
      </c>
      <c r="B38" s="214" t="s">
        <v>430</v>
      </c>
      <c r="C38" s="221">
        <v>1</v>
      </c>
      <c r="D38" s="215">
        <v>20</v>
      </c>
      <c r="E38" s="553" t="s">
        <v>0</v>
      </c>
      <c r="F38" s="554"/>
      <c r="G38" s="554"/>
      <c r="H38" s="554"/>
      <c r="I38" s="554"/>
      <c r="J38" s="554"/>
      <c r="K38" s="554"/>
      <c r="L38" s="554"/>
      <c r="M38" s="555"/>
      <c r="N38" s="420">
        <v>0.59</v>
      </c>
      <c r="O38" s="552"/>
    </row>
    <row r="39" spans="1:15">
      <c r="A39" s="81" t="s">
        <v>758</v>
      </c>
      <c r="B39" s="81" t="s">
        <v>759</v>
      </c>
      <c r="C39" s="566">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67"/>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0"/>
      <c r="C1" s="560"/>
      <c r="D1" s="560"/>
      <c r="E1" s="560"/>
      <c r="F1" s="560"/>
      <c r="G1" s="560"/>
      <c r="H1" s="560"/>
      <c r="I1" s="560"/>
      <c r="J1" s="560"/>
      <c r="K1" s="560"/>
      <c r="L1" s="560"/>
    </row>
    <row r="2" spans="1:12">
      <c r="B2" s="560"/>
      <c r="C2" s="560"/>
      <c r="D2" s="560"/>
      <c r="E2" s="560"/>
      <c r="F2" s="560"/>
      <c r="G2" s="560"/>
      <c r="H2" s="560"/>
      <c r="I2" s="560"/>
      <c r="J2" s="560"/>
      <c r="K2" s="560"/>
      <c r="L2" s="560"/>
    </row>
    <row r="3" spans="1:12">
      <c r="B3" s="560"/>
      <c r="C3" s="560"/>
      <c r="D3" s="560"/>
      <c r="E3" s="560"/>
      <c r="F3" s="560"/>
      <c r="G3" s="560"/>
      <c r="H3" s="560"/>
      <c r="I3" s="560"/>
      <c r="J3" s="560"/>
      <c r="K3" s="560"/>
      <c r="L3" s="560"/>
    </row>
    <row r="4" spans="1:12">
      <c r="B4" s="560"/>
      <c r="C4" s="560"/>
      <c r="D4" s="560"/>
      <c r="E4" s="560"/>
      <c r="F4" s="560"/>
      <c r="G4" s="560"/>
      <c r="H4" s="560"/>
      <c r="I4" s="560"/>
      <c r="J4" s="560"/>
      <c r="K4" s="560"/>
      <c r="L4" s="560"/>
    </row>
    <row r="5" spans="1:12">
      <c r="B5" s="560"/>
      <c r="C5" s="560"/>
      <c r="D5" s="560"/>
      <c r="E5" s="560"/>
      <c r="F5" s="560"/>
      <c r="G5" s="560"/>
      <c r="H5" s="560"/>
      <c r="I5" s="560"/>
      <c r="J5" s="560"/>
      <c r="K5" s="560"/>
      <c r="L5" s="560"/>
    </row>
    <row r="6" spans="1:12">
      <c r="B6" s="560"/>
      <c r="C6" s="560"/>
      <c r="D6" s="560"/>
      <c r="E6" s="560"/>
      <c r="F6" s="560"/>
      <c r="G6" s="560"/>
      <c r="H6" s="560"/>
      <c r="I6" s="560"/>
      <c r="J6" s="560"/>
      <c r="K6" s="560"/>
      <c r="L6" s="560"/>
    </row>
    <row r="7" spans="1:12">
      <c r="B7" s="560"/>
      <c r="C7" s="560"/>
      <c r="D7" s="560"/>
      <c r="E7" s="560"/>
      <c r="F7" s="560"/>
      <c r="G7" s="560"/>
      <c r="H7" s="560"/>
      <c r="I7" s="560"/>
      <c r="J7" s="560"/>
      <c r="K7" s="560"/>
      <c r="L7" s="560"/>
    </row>
    <row r="8" spans="1:12">
      <c r="B8" s="560"/>
      <c r="C8" s="560"/>
      <c r="D8" s="560"/>
      <c r="E8" s="560"/>
      <c r="F8" s="560"/>
      <c r="G8" s="560"/>
      <c r="H8" s="560"/>
      <c r="I8" s="560"/>
      <c r="J8" s="560"/>
      <c r="K8" s="560"/>
      <c r="L8" s="560"/>
    </row>
    <row r="9" spans="1:12" ht="48" customHeight="1">
      <c r="B9" s="560"/>
      <c r="C9" s="560"/>
      <c r="D9" s="560"/>
      <c r="E9" s="560"/>
      <c r="F9" s="560"/>
      <c r="G9" s="560"/>
      <c r="H9" s="560"/>
      <c r="I9" s="560"/>
      <c r="J9" s="560"/>
      <c r="K9" s="560"/>
      <c r="L9" s="560"/>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8" zoomScale="125" zoomScaleNormal="125" zoomScalePageLayoutView="125" workbookViewId="0">
      <pane xSplit="1" topLeftCell="C1" activePane="topRight" state="frozen"/>
      <selection activeCell="A33" sqref="A33"/>
      <selection pane="topRight" activeCell="G56" sqref="G56:AJ56"/>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756</v>
      </c>
    </row>
    <row r="35" spans="1:44" s="251" customFormat="1">
      <c r="A35" s="250" t="s">
        <v>747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591.32365499999992</v>
      </c>
      <c r="H36" s="499">
        <v>509.42181400000004</v>
      </c>
      <c r="I36" s="499">
        <v>544.71841900000004</v>
      </c>
      <c r="J36" s="499">
        <v>561.11935800000003</v>
      </c>
      <c r="K36" s="499">
        <v>531.76098999999999</v>
      </c>
      <c r="L36" s="499">
        <v>510.91964999999999</v>
      </c>
      <c r="M36" s="499">
        <v>537.86029799999994</v>
      </c>
      <c r="N36" s="499">
        <v>547.55998</v>
      </c>
      <c r="O36" s="499">
        <v>552.56318999999996</v>
      </c>
      <c r="P36" s="499">
        <v>551.15020000000004</v>
      </c>
      <c r="Q36" s="499">
        <v>555.767563</v>
      </c>
      <c r="R36" s="499">
        <v>560.07731699999999</v>
      </c>
      <c r="S36" s="499">
        <v>560.31770400000005</v>
      </c>
      <c r="T36" s="499">
        <v>567.56789800000001</v>
      </c>
      <c r="U36" s="499">
        <v>573.14546299999995</v>
      </c>
      <c r="V36" s="499">
        <v>572.73936500000002</v>
      </c>
      <c r="W36" s="499">
        <v>572.85958900000003</v>
      </c>
      <c r="X36" s="499">
        <v>572.77831199999991</v>
      </c>
      <c r="Y36" s="499">
        <v>570.66424699999993</v>
      </c>
      <c r="Z36" s="499">
        <v>571.13212999999996</v>
      </c>
      <c r="AA36" s="499">
        <v>570.87854900000002</v>
      </c>
      <c r="AB36" s="499">
        <v>570.68813399999999</v>
      </c>
      <c r="AC36" s="499">
        <v>570.11575700000003</v>
      </c>
      <c r="AD36" s="499">
        <v>569.64642000000003</v>
      </c>
      <c r="AE36" s="499">
        <v>569.13610000000006</v>
      </c>
      <c r="AF36" s="499">
        <v>568.62970300000006</v>
      </c>
      <c r="AG36" s="499">
        <v>568.15519599999993</v>
      </c>
      <c r="AH36" s="499">
        <v>567.67633899999998</v>
      </c>
      <c r="AI36" s="499">
        <v>567.67183300000011</v>
      </c>
      <c r="AJ36" s="499">
        <v>567.66442400000005</v>
      </c>
      <c r="AK36" s="503">
        <v>0.03</v>
      </c>
      <c r="AL36" s="515" t="s">
        <v>68</v>
      </c>
      <c r="AM36" s="518">
        <v>2.5794294338705205E-2</v>
      </c>
    </row>
    <row r="37" spans="1:44" s="251" customFormat="1">
      <c r="A37" s="501" t="s">
        <v>721</v>
      </c>
      <c r="G37" s="499">
        <v>7.5450270000000002</v>
      </c>
      <c r="H37" s="499">
        <v>4.7830259999999996</v>
      </c>
      <c r="I37" s="499">
        <v>3.9312390000000001</v>
      </c>
      <c r="J37" s="499">
        <v>3.9871850000000002</v>
      </c>
      <c r="K37" s="499">
        <v>3.864411</v>
      </c>
      <c r="L37" s="499">
        <v>3.6898569999999995</v>
      </c>
      <c r="M37" s="499">
        <v>2.2080980000000001</v>
      </c>
      <c r="N37" s="499">
        <v>2.2466269999999997</v>
      </c>
      <c r="O37" s="499">
        <v>2.2673010000000002</v>
      </c>
      <c r="P37" s="499">
        <v>2.263798</v>
      </c>
      <c r="Q37" s="499">
        <v>2.2854749999999999</v>
      </c>
      <c r="R37" s="499">
        <v>2.3014510000000001</v>
      </c>
      <c r="S37" s="499">
        <v>2.312357</v>
      </c>
      <c r="T37" s="499">
        <v>2.342514</v>
      </c>
      <c r="U37" s="499">
        <v>2.3751979999999997</v>
      </c>
      <c r="V37" s="499">
        <v>2.3506619999999998</v>
      </c>
      <c r="W37" s="499">
        <v>2.3439230000000002</v>
      </c>
      <c r="X37" s="499">
        <v>2.3437229999999998</v>
      </c>
      <c r="Y37" s="499">
        <v>2.3410069999999998</v>
      </c>
      <c r="Z37" s="499">
        <v>2.34361</v>
      </c>
      <c r="AA37" s="499">
        <v>2.3431340000000001</v>
      </c>
      <c r="AB37" s="499">
        <v>2.3426260000000001</v>
      </c>
      <c r="AC37" s="499">
        <v>2.3402319999999999</v>
      </c>
      <c r="AD37" s="499">
        <v>2.3382579999999997</v>
      </c>
      <c r="AE37" s="499">
        <v>2.3362100000000003</v>
      </c>
      <c r="AF37" s="499">
        <v>2.3342360000000002</v>
      </c>
      <c r="AG37" s="499">
        <v>2.3325259999999997</v>
      </c>
      <c r="AH37" s="499">
        <v>2.3302890000000001</v>
      </c>
      <c r="AI37" s="499">
        <v>2.3299530000000002</v>
      </c>
      <c r="AJ37" s="499">
        <v>2.329879</v>
      </c>
      <c r="AK37" s="503">
        <v>-3.7999999999999999E-2</v>
      </c>
      <c r="AL37" s="516" t="s">
        <v>69</v>
      </c>
      <c r="AM37" s="518">
        <v>2.3237982825858865E-2</v>
      </c>
    </row>
    <row r="38" spans="1:44" s="251" customFormat="1">
      <c r="A38" s="501" t="s">
        <v>722</v>
      </c>
      <c r="G38" s="499">
        <v>402.35190399999999</v>
      </c>
      <c r="H38" s="499">
        <v>478.36942699999997</v>
      </c>
      <c r="I38" s="499">
        <v>427.04843500000004</v>
      </c>
      <c r="J38" s="499">
        <v>407.02899500000001</v>
      </c>
      <c r="K38" s="499">
        <v>439.14184499999999</v>
      </c>
      <c r="L38" s="499">
        <v>479.20338900000002</v>
      </c>
      <c r="M38" s="499">
        <v>457.72134399999999</v>
      </c>
      <c r="N38" s="499">
        <v>452.18495200000001</v>
      </c>
      <c r="O38" s="499">
        <v>459.638892</v>
      </c>
      <c r="P38" s="499">
        <v>473.59913699999998</v>
      </c>
      <c r="Q38" s="499">
        <v>480.78644199999997</v>
      </c>
      <c r="R38" s="499">
        <v>490.88744700000001</v>
      </c>
      <c r="S38" s="499">
        <v>509.69309999999996</v>
      </c>
      <c r="T38" s="499">
        <v>521.27419799999996</v>
      </c>
      <c r="U38" s="499">
        <v>527.56322499999999</v>
      </c>
      <c r="V38" s="499">
        <v>536.10758199999998</v>
      </c>
      <c r="W38" s="499">
        <v>544.45078899999999</v>
      </c>
      <c r="X38" s="499">
        <v>554.19654500000001</v>
      </c>
      <c r="Y38" s="499">
        <v>558.75119099999995</v>
      </c>
      <c r="Z38" s="499">
        <v>567.44431999999995</v>
      </c>
      <c r="AA38" s="499">
        <v>571.17699799999991</v>
      </c>
      <c r="AB38" s="499">
        <v>577.43432899999993</v>
      </c>
      <c r="AC38" s="499">
        <v>581.95111599999996</v>
      </c>
      <c r="AD38" s="499">
        <v>588.207446</v>
      </c>
      <c r="AE38" s="499">
        <v>598.09193800000003</v>
      </c>
      <c r="AF38" s="499">
        <v>606.92750899999999</v>
      </c>
      <c r="AG38" s="499">
        <v>620.93495200000007</v>
      </c>
      <c r="AH38" s="499">
        <v>636.46229600000015</v>
      </c>
      <c r="AI38" s="499">
        <v>648.501305</v>
      </c>
      <c r="AJ38" s="499">
        <v>657.86421500000006</v>
      </c>
      <c r="AK38" s="503">
        <v>-4.0000000000000001E-3</v>
      </c>
      <c r="AL38" s="516" t="s">
        <v>76</v>
      </c>
      <c r="AM38" s="518">
        <v>5.5792567105783231E-2</v>
      </c>
    </row>
    <row r="39" spans="1:44" s="251" customFormat="1">
      <c r="A39" s="501" t="s">
        <v>723</v>
      </c>
      <c r="G39" s="499">
        <v>210.65300099999999</v>
      </c>
      <c r="H39" s="499">
        <v>208.70800600000001</v>
      </c>
      <c r="I39" s="499">
        <v>205.375045</v>
      </c>
      <c r="J39" s="499">
        <v>205.984556</v>
      </c>
      <c r="K39" s="499">
        <v>213.80442800000003</v>
      </c>
      <c r="L39" s="499">
        <v>222.86256099999997</v>
      </c>
      <c r="M39" s="499">
        <v>231.66724999999997</v>
      </c>
      <c r="N39" s="499">
        <v>238.50375199999999</v>
      </c>
      <c r="O39" s="499">
        <v>239.69814500000001</v>
      </c>
      <c r="P39" s="499">
        <v>239.698151</v>
      </c>
      <c r="Q39" s="499">
        <v>239.698151</v>
      </c>
      <c r="R39" s="499">
        <v>239.698149</v>
      </c>
      <c r="S39" s="499">
        <v>239.698151</v>
      </c>
      <c r="T39" s="499">
        <v>239.69814500000001</v>
      </c>
      <c r="U39" s="499">
        <v>239.69862999999998</v>
      </c>
      <c r="V39" s="499">
        <v>239.698149</v>
      </c>
      <c r="W39" s="499">
        <v>239.69814700000001</v>
      </c>
      <c r="X39" s="499">
        <v>239.69814700000001</v>
      </c>
      <c r="Y39" s="499">
        <v>239.698151</v>
      </c>
      <c r="Z39" s="499">
        <v>239.69814700000001</v>
      </c>
      <c r="AA39" s="499">
        <v>239.69814700000001</v>
      </c>
      <c r="AB39" s="499">
        <v>239.698149</v>
      </c>
      <c r="AC39" s="499">
        <v>239.69814400000001</v>
      </c>
      <c r="AD39" s="499">
        <v>239.69814700000001</v>
      </c>
      <c r="AE39" s="499">
        <v>239.698151</v>
      </c>
      <c r="AF39" s="499">
        <v>239.698151</v>
      </c>
      <c r="AG39" s="499">
        <v>239.698151</v>
      </c>
      <c r="AH39" s="499">
        <v>239.698151</v>
      </c>
      <c r="AI39" s="499">
        <v>239.69814700000001</v>
      </c>
      <c r="AJ39" s="499">
        <v>239.69814700000001</v>
      </c>
      <c r="AK39" s="503">
        <v>-5.0000000000000001E-3</v>
      </c>
      <c r="AL39" s="516" t="s">
        <v>742</v>
      </c>
      <c r="AM39" s="518">
        <v>5.7956947998451854E-3</v>
      </c>
    </row>
    <row r="40" spans="1:44" s="251" customFormat="1">
      <c r="A40" s="501" t="s">
        <v>724</v>
      </c>
      <c r="G40" s="499">
        <v>1.157562</v>
      </c>
      <c r="H40" s="499">
        <v>1.1387160000000001</v>
      </c>
      <c r="I40" s="499">
        <v>-1.0565609999999999</v>
      </c>
      <c r="J40" s="499">
        <v>-1.054187</v>
      </c>
      <c r="K40" s="499">
        <v>-1.0541860000000001</v>
      </c>
      <c r="L40" s="499">
        <v>-1.053023</v>
      </c>
      <c r="M40" s="499">
        <v>-1.053023</v>
      </c>
      <c r="N40" s="499">
        <v>-1.0525070000000001</v>
      </c>
      <c r="O40" s="499">
        <v>-1.0519419999999999</v>
      </c>
      <c r="P40" s="499">
        <v>-1.049839</v>
      </c>
      <c r="Q40" s="499">
        <v>-1.04861</v>
      </c>
      <c r="R40" s="499">
        <v>-1.047512</v>
      </c>
      <c r="S40" s="499">
        <v>-1.0474729999999999</v>
      </c>
      <c r="T40" s="499">
        <v>-1.0474319999999999</v>
      </c>
      <c r="U40" s="499">
        <v>-1.042886</v>
      </c>
      <c r="V40" s="499">
        <v>-1.040087</v>
      </c>
      <c r="W40" s="499">
        <v>-1.0376000000000001</v>
      </c>
      <c r="X40" s="499">
        <v>-1.0325770000000001</v>
      </c>
      <c r="Y40" s="499">
        <v>-1.029685</v>
      </c>
      <c r="Z40" s="499">
        <v>-1.0285440000000001</v>
      </c>
      <c r="AA40" s="499">
        <v>-1.0275510000000001</v>
      </c>
      <c r="AB40" s="499">
        <v>-1.0269680000000001</v>
      </c>
      <c r="AC40" s="499">
        <v>-1.026475</v>
      </c>
      <c r="AD40" s="499">
        <v>-1.0257160000000001</v>
      </c>
      <c r="AE40" s="499">
        <v>-1.025215</v>
      </c>
      <c r="AF40" s="499">
        <v>-1.024686</v>
      </c>
      <c r="AG40" s="499">
        <v>-1.0236839999999998</v>
      </c>
      <c r="AH40" s="499">
        <v>-1.0230999999999999</v>
      </c>
      <c r="AI40" s="499">
        <v>-1.0225420000000001</v>
      </c>
      <c r="AJ40" s="499">
        <v>-1.021506</v>
      </c>
      <c r="AK40" s="503">
        <v>1E-3</v>
      </c>
      <c r="AL40" s="517" t="s">
        <v>225</v>
      </c>
      <c r="AM40" s="518">
        <v>4.8107479932447288E-2</v>
      </c>
    </row>
    <row r="41" spans="1:44" s="251" customFormat="1">
      <c r="A41" s="501" t="s">
        <v>725</v>
      </c>
      <c r="G41" s="499">
        <v>90.044575999999992</v>
      </c>
      <c r="H41" s="499">
        <v>87.587425999999994</v>
      </c>
      <c r="I41" s="499">
        <v>103.043627</v>
      </c>
      <c r="J41" s="499">
        <v>106.50949800000001</v>
      </c>
      <c r="K41" s="499">
        <v>120.12401500000001</v>
      </c>
      <c r="L41" s="499">
        <v>129.478813</v>
      </c>
      <c r="M41" s="499">
        <v>131.505672</v>
      </c>
      <c r="N41" s="499">
        <v>132.48445699999999</v>
      </c>
      <c r="O41" s="499">
        <v>132.887441</v>
      </c>
      <c r="P41" s="499">
        <v>133.36361600000001</v>
      </c>
      <c r="Q41" s="499">
        <v>134.32344000000001</v>
      </c>
      <c r="R41" s="499">
        <v>134.88210699999999</v>
      </c>
      <c r="S41" s="499">
        <v>137.740183</v>
      </c>
      <c r="T41" s="499">
        <v>138.51680100000002</v>
      </c>
      <c r="U41" s="499">
        <v>141.88022899999999</v>
      </c>
      <c r="V41" s="499">
        <v>142.50879100000003</v>
      </c>
      <c r="W41" s="499">
        <v>143.27350600000003</v>
      </c>
      <c r="X41" s="499">
        <v>144.13138799999999</v>
      </c>
      <c r="Y41" s="499">
        <v>148.44254699999999</v>
      </c>
      <c r="Z41" s="499">
        <v>149.46138299999998</v>
      </c>
      <c r="AA41" s="499">
        <v>150.02957600000002</v>
      </c>
      <c r="AB41" s="499">
        <v>150.56626400000002</v>
      </c>
      <c r="AC41" s="499">
        <v>150.808009</v>
      </c>
      <c r="AD41" s="499">
        <v>151.33506200000002</v>
      </c>
      <c r="AE41" s="499">
        <v>152.14981700000001</v>
      </c>
      <c r="AF41" s="499">
        <v>152.74097999999998</v>
      </c>
      <c r="AG41" s="499">
        <v>153.329735</v>
      </c>
      <c r="AH41" s="499">
        <v>154.036767</v>
      </c>
      <c r="AI41" s="499">
        <v>154.81488899999999</v>
      </c>
      <c r="AJ41" s="499">
        <v>155.80237199999999</v>
      </c>
      <c r="AK41" s="503">
        <v>2.1000000000000001E-2</v>
      </c>
      <c r="AL41" s="517" t="s">
        <v>379</v>
      </c>
      <c r="AM41" s="518">
        <v>2.1590235239755527E-2</v>
      </c>
    </row>
    <row r="42" spans="1:44" s="251" customFormat="1">
      <c r="A42" s="501" t="s">
        <v>726</v>
      </c>
      <c r="G42" s="499">
        <v>0</v>
      </c>
      <c r="H42" s="499">
        <v>0</v>
      </c>
      <c r="I42" s="499">
        <v>0</v>
      </c>
      <c r="J42" s="499">
        <v>0</v>
      </c>
      <c r="K42" s="499">
        <v>0.138347</v>
      </c>
      <c r="L42" s="499">
        <v>0.17615500000000001</v>
      </c>
      <c r="M42" s="499">
        <v>0.22020400000000001</v>
      </c>
      <c r="N42" s="499">
        <v>0.26187199999999999</v>
      </c>
      <c r="O42" s="499">
        <v>0.30839099999999997</v>
      </c>
      <c r="P42" s="499">
        <v>0.41514600000000002</v>
      </c>
      <c r="Q42" s="499">
        <v>0.53129399999999993</v>
      </c>
      <c r="R42" s="499">
        <v>0.65826099999999999</v>
      </c>
      <c r="S42" s="499">
        <v>0.79062100000000002</v>
      </c>
      <c r="T42" s="499">
        <v>0.84659699999999993</v>
      </c>
      <c r="U42" s="499">
        <v>0.89368700000000001</v>
      </c>
      <c r="V42" s="499">
        <v>0.94406099999999993</v>
      </c>
      <c r="W42" s="499">
        <v>0.99521099999999996</v>
      </c>
      <c r="X42" s="499">
        <v>1.0492859999999999</v>
      </c>
      <c r="Y42" s="499">
        <v>1.104536</v>
      </c>
      <c r="Z42" s="499">
        <v>1.1563030000000001</v>
      </c>
      <c r="AA42" s="499">
        <v>1.2066940000000002</v>
      </c>
      <c r="AB42" s="499">
        <v>1.2582610000000001</v>
      </c>
      <c r="AC42" s="499">
        <v>1.3122440000000002</v>
      </c>
      <c r="AD42" s="499">
        <v>1.4250240000000001</v>
      </c>
      <c r="AE42" s="499">
        <v>1.534551</v>
      </c>
      <c r="AF42" s="499">
        <v>1.6419260000000002</v>
      </c>
      <c r="AG42" s="499">
        <v>1.7553640000000001</v>
      </c>
      <c r="AH42" s="499">
        <v>1.8796810000000002</v>
      </c>
      <c r="AI42" s="499">
        <v>2.012562</v>
      </c>
      <c r="AJ42" s="499">
        <v>2.1356309999999996</v>
      </c>
      <c r="AK42" s="499" t="s">
        <v>41</v>
      </c>
      <c r="AL42" s="517" t="s">
        <v>743</v>
      </c>
      <c r="AM42" s="518">
        <v>0</v>
      </c>
    </row>
    <row r="43" spans="1:44" s="251" customFormat="1">
      <c r="A43" s="502" t="s">
        <v>727</v>
      </c>
      <c r="G43" s="500">
        <v>1303.0757450000001</v>
      </c>
      <c r="H43" s="500">
        <v>1290.008423</v>
      </c>
      <c r="I43" s="500">
        <v>1283.0601799999999</v>
      </c>
      <c r="J43" s="500">
        <v>1283.5754239999999</v>
      </c>
      <c r="K43" s="500">
        <v>1307.7798919999998</v>
      </c>
      <c r="L43" s="500">
        <v>1345.2773740000002</v>
      </c>
      <c r="M43" s="500">
        <v>1360.129852</v>
      </c>
      <c r="N43" s="500">
        <v>1372.1891479999999</v>
      </c>
      <c r="O43" s="500">
        <v>1386.3114629999998</v>
      </c>
      <c r="P43" s="500">
        <v>1399.4402150000001</v>
      </c>
      <c r="Q43" s="500">
        <v>1412.343764</v>
      </c>
      <c r="R43" s="500">
        <v>1427.4572440000002</v>
      </c>
      <c r="S43" s="500">
        <v>1449.5046699999998</v>
      </c>
      <c r="T43" s="500">
        <v>1469.198746</v>
      </c>
      <c r="U43" s="500">
        <v>1484.5135330000001</v>
      </c>
      <c r="V43" s="500">
        <v>1493.308548</v>
      </c>
      <c r="W43" s="500">
        <v>1502.5835729999999</v>
      </c>
      <c r="X43" s="500">
        <v>1513.1648399999999</v>
      </c>
      <c r="Y43" s="500">
        <v>1519.9720609999999</v>
      </c>
      <c r="Z43" s="500">
        <v>1530.2073520000001</v>
      </c>
      <c r="AA43" s="500">
        <v>1534.3055880000002</v>
      </c>
      <c r="AB43" s="500">
        <v>1540.9608000000001</v>
      </c>
      <c r="AC43" s="500">
        <v>1545.1990959999998</v>
      </c>
      <c r="AD43" s="500">
        <v>1551.624648</v>
      </c>
      <c r="AE43" s="500">
        <v>1561.9216140000001</v>
      </c>
      <c r="AF43" s="500">
        <v>1570.9478590000001</v>
      </c>
      <c r="AG43" s="500">
        <v>1585.1822809999999</v>
      </c>
      <c r="AH43" s="500">
        <v>1601.06041</v>
      </c>
      <c r="AI43" s="500">
        <v>1614.0061479999999</v>
      </c>
      <c r="AJ43" s="500">
        <v>1624.4732049999998</v>
      </c>
      <c r="AK43" s="504">
        <v>1E-3</v>
      </c>
      <c r="AL43" s="517" t="s">
        <v>744</v>
      </c>
      <c r="AM43" s="518">
        <v>7.5160961958385423E-3</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3.827720566981168E-2</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755</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749</v>
      </c>
      <c r="AN48" s="255">
        <v>2006</v>
      </c>
      <c r="AO48" s="255">
        <v>2007</v>
      </c>
      <c r="AP48" s="255">
        <v>2008</v>
      </c>
      <c r="AQ48" s="255">
        <v>2009</v>
      </c>
      <c r="AR48" s="255">
        <v>2010</v>
      </c>
    </row>
    <row r="49" spans="1:44" s="255" customFormat="1">
      <c r="A49" s="254" t="s">
        <v>68</v>
      </c>
      <c r="B49" s="505">
        <f>AN51</f>
        <v>18.105</v>
      </c>
      <c r="C49" s="505">
        <f t="shared" ref="C49:F49" si="0">AO51</f>
        <v>17.407</v>
      </c>
      <c r="D49" s="505">
        <f t="shared" si="0"/>
        <v>16.683</v>
      </c>
      <c r="E49" s="505">
        <f t="shared" si="0"/>
        <v>12.958</v>
      </c>
      <c r="F49" s="505">
        <f t="shared" si="0"/>
        <v>13.629</v>
      </c>
      <c r="G49" s="484">
        <f t="shared" ref="G49:AJ49" si="1">G36*$AM36</f>
        <v>15.252776406508968</v>
      </c>
      <c r="H49" s="484">
        <f t="shared" si="1"/>
        <v>13.140176212873136</v>
      </c>
      <c r="I49" s="484">
        <f t="shared" si="1"/>
        <v>14.050627231400151</v>
      </c>
      <c r="J49" s="484">
        <f t="shared" si="1"/>
        <v>14.4736778793973</v>
      </c>
      <c r="K49" s="484">
        <f t="shared" si="1"/>
        <v>13.716399493901275</v>
      </c>
      <c r="L49" s="484">
        <f t="shared" si="1"/>
        <v>13.178811835528245</v>
      </c>
      <c r="M49" s="484">
        <f t="shared" si="1"/>
        <v>13.873726839715694</v>
      </c>
      <c r="N49" s="484">
        <f t="shared" si="1"/>
        <v>14.123923292215535</v>
      </c>
      <c r="O49" s="484">
        <f t="shared" si="1"/>
        <v>14.252977563593888</v>
      </c>
      <c r="P49" s="484">
        <f t="shared" si="1"/>
        <v>14.216530483636243</v>
      </c>
      <c r="Q49" s="484">
        <f t="shared" si="1"/>
        <v>14.335632103926889</v>
      </c>
      <c r="R49" s="484">
        <f t="shared" si="1"/>
        <v>14.446799167130301</v>
      </c>
      <c r="S49" s="484">
        <f t="shared" si="1"/>
        <v>14.4529997801635</v>
      </c>
      <c r="T49" s="484">
        <f t="shared" si="1"/>
        <v>14.640013418212213</v>
      </c>
      <c r="U49" s="484">
        <f t="shared" si="1"/>
        <v>14.783882771515472</v>
      </c>
      <c r="V49" s="484">
        <f t="shared" si="1"/>
        <v>14.773407760173114</v>
      </c>
      <c r="W49" s="484">
        <f t="shared" si="1"/>
        <v>14.776508853415692</v>
      </c>
      <c r="X49" s="484">
        <f t="shared" si="1"/>
        <v>14.774412370554721</v>
      </c>
      <c r="Y49" s="484">
        <f t="shared" si="1"/>
        <v>14.719881555693567</v>
      </c>
      <c r="Z49" s="484">
        <f t="shared" si="1"/>
        <v>14.731950267511644</v>
      </c>
      <c r="AA49" s="484">
        <f t="shared" si="1"/>
        <v>14.725409324558942</v>
      </c>
      <c r="AB49" s="484">
        <f t="shared" si="1"/>
        <v>14.720497704002437</v>
      </c>
      <c r="AC49" s="484">
        <f t="shared" si="1"/>
        <v>14.705733643191733</v>
      </c>
      <c r="AD49" s="484">
        <f t="shared" si="1"/>
        <v>14.693627426469689</v>
      </c>
      <c r="AE49" s="484">
        <f t="shared" si="1"/>
        <v>14.680464082182761</v>
      </c>
      <c r="AF49" s="484">
        <f t="shared" si="1"/>
        <v>14.667401928912524</v>
      </c>
      <c r="AG49" s="484">
        <f t="shared" si="1"/>
        <v>14.655162355688745</v>
      </c>
      <c r="AH49" s="484">
        <f t="shared" si="1"/>
        <v>14.642810577284596</v>
      </c>
      <c r="AI49" s="484">
        <f t="shared" si="1"/>
        <v>14.642694348194309</v>
      </c>
      <c r="AJ49" s="484">
        <f t="shared" si="1"/>
        <v>14.642503238267553</v>
      </c>
      <c r="AK49"/>
    </row>
    <row r="50" spans="1:44" s="255" customFormat="1">
      <c r="A50" s="254" t="s">
        <v>69</v>
      </c>
      <c r="B50" s="505">
        <f t="shared" ref="B50:B51" si="2">AN52</f>
        <v>0.39900000000000002</v>
      </c>
      <c r="C50" s="505">
        <f t="shared" ref="C50:C51" si="3">AO52</f>
        <v>0.39900000000000002</v>
      </c>
      <c r="D50" s="505">
        <f t="shared" ref="D50:D51" si="4">AP52</f>
        <v>7.5999999999999998E-2</v>
      </c>
      <c r="E50" s="505">
        <f t="shared" ref="E50:E51" si="5">AQ52</f>
        <v>1.7000000000000001E-2</v>
      </c>
      <c r="F50" s="505">
        <f t="shared" ref="F50:F51" si="6">AR52</f>
        <v>8.1000000000000003E-2</v>
      </c>
      <c r="G50" s="484">
        <f t="shared" ref="G50:AJ50" si="7">G37*$AM37</f>
        <v>0.17533120784664144</v>
      </c>
      <c r="H50" s="484">
        <f t="shared" si="7"/>
        <v>0.11114787604363641</v>
      </c>
      <c r="I50" s="484">
        <f t="shared" si="7"/>
        <v>9.1354064366346577E-2</v>
      </c>
      <c r="J50" s="484">
        <f t="shared" si="7"/>
        <v>9.2654136553522087E-2</v>
      </c>
      <c r="K50" s="484">
        <f t="shared" si="7"/>
        <v>8.9801116450060087E-2</v>
      </c>
      <c r="L50" s="484">
        <f t="shared" si="7"/>
        <v>8.5744833595875106E-2</v>
      </c>
      <c r="M50" s="484">
        <f t="shared" si="7"/>
        <v>5.1311743401813312E-2</v>
      </c>
      <c r="N50" s="484">
        <f t="shared" si="7"/>
        <v>5.2207079642110819E-2</v>
      </c>
      <c r="O50" s="484">
        <f t="shared" si="7"/>
        <v>5.2687501699052633E-2</v>
      </c>
      <c r="P50" s="484">
        <f t="shared" si="7"/>
        <v>5.2606099045213649E-2</v>
      </c>
      <c r="Q50" s="484">
        <f t="shared" si="7"/>
        <v>5.3109828798929788E-2</v>
      </c>
      <c r="R50" s="484">
        <f t="shared" si="7"/>
        <v>5.3481078812555712E-2</v>
      </c>
      <c r="S50" s="484">
        <f t="shared" si="7"/>
        <v>5.3734512253254527E-2</v>
      </c>
      <c r="T50" s="484">
        <f t="shared" si="7"/>
        <v>5.4435300101333954E-2</v>
      </c>
      <c r="U50" s="484">
        <f t="shared" si="7"/>
        <v>5.5194810332014316E-2</v>
      </c>
      <c r="V50" s="484">
        <f t="shared" si="7"/>
        <v>5.4624643185399044E-2</v>
      </c>
      <c r="W50" s="484">
        <f t="shared" si="7"/>
        <v>5.4468042419135596E-2</v>
      </c>
      <c r="X50" s="484">
        <f t="shared" si="7"/>
        <v>5.4463394822570413E-2</v>
      </c>
      <c r="Y50" s="484">
        <f t="shared" si="7"/>
        <v>5.4400280461215381E-2</v>
      </c>
      <c r="Z50" s="484">
        <f t="shared" si="7"/>
        <v>5.4460768930511091E-2</v>
      </c>
      <c r="AA50" s="484">
        <f t="shared" si="7"/>
        <v>5.4449707650685984E-2</v>
      </c>
      <c r="AB50" s="484">
        <f t="shared" si="7"/>
        <v>5.4437902755410453E-2</v>
      </c>
      <c r="AC50" s="484">
        <f t="shared" si="7"/>
        <v>5.4382271024525343E-2</v>
      </c>
      <c r="AD50" s="484">
        <f t="shared" si="7"/>
        <v>5.4336399246427088E-2</v>
      </c>
      <c r="AE50" s="484">
        <f t="shared" si="7"/>
        <v>5.428880785759975E-2</v>
      </c>
      <c r="AF50" s="484">
        <f t="shared" si="7"/>
        <v>5.4242936079501494E-2</v>
      </c>
      <c r="AG50" s="484">
        <f t="shared" si="7"/>
        <v>5.4203199128869263E-2</v>
      </c>
      <c r="AH50" s="484">
        <f t="shared" si="7"/>
        <v>5.4151215761287827E-2</v>
      </c>
      <c r="AI50" s="484">
        <f t="shared" si="7"/>
        <v>5.4143407799058345E-2</v>
      </c>
      <c r="AJ50" s="484">
        <f t="shared" si="7"/>
        <v>5.4141688188329228E-2</v>
      </c>
      <c r="AK50"/>
      <c r="AM50" s="255" t="s">
        <v>752</v>
      </c>
      <c r="AN50" s="255">
        <v>34.253999999999998</v>
      </c>
      <c r="AO50" s="255">
        <v>39.183999999999997</v>
      </c>
      <c r="AP50" s="255">
        <v>37.408000000000001</v>
      </c>
      <c r="AQ50" s="255">
        <v>36.265999999999998</v>
      </c>
      <c r="AR50" s="255">
        <v>43.331000000000003</v>
      </c>
    </row>
    <row r="51" spans="1:44" s="255" customFormat="1">
      <c r="A51" s="254" t="s">
        <v>76</v>
      </c>
      <c r="B51" s="505">
        <f t="shared" si="2"/>
        <v>15.706</v>
      </c>
      <c r="C51" s="505">
        <f t="shared" si="3"/>
        <v>21.335000000000001</v>
      </c>
      <c r="D51" s="505">
        <f t="shared" si="4"/>
        <v>20.606999999999999</v>
      </c>
      <c r="E51" s="505">
        <f t="shared" si="5"/>
        <v>23.266999999999999</v>
      </c>
      <c r="F51" s="505">
        <f t="shared" si="6"/>
        <v>29.619</v>
      </c>
      <c r="G51" s="484">
        <f t="shared" ref="G51:AJ51" si="8">G38*$AM38</f>
        <v>22.44824560405965</v>
      </c>
      <c r="H51" s="484">
        <f t="shared" si="8"/>
        <v>26.689458357252573</v>
      </c>
      <c r="I51" s="484">
        <f t="shared" si="8"/>
        <v>23.826128467157211</v>
      </c>
      <c r="J51" s="484">
        <f t="shared" si="8"/>
        <v>22.709192517537009</v>
      </c>
      <c r="K51" s="484">
        <f t="shared" si="8"/>
        <v>24.500850856119957</v>
      </c>
      <c r="L51" s="484">
        <f t="shared" si="8"/>
        <v>26.735987238101245</v>
      </c>
      <c r="M51" s="484">
        <f t="shared" si="8"/>
        <v>25.537448800869289</v>
      </c>
      <c r="N51" s="484">
        <f t="shared" si="8"/>
        <v>25.228559278685371</v>
      </c>
      <c r="O51" s="484">
        <f t="shared" si="8"/>
        <v>25.644433726337851</v>
      </c>
      <c r="P51" s="484">
        <f t="shared" si="8"/>
        <v>26.423311632313524</v>
      </c>
      <c r="Q51" s="484">
        <f t="shared" si="8"/>
        <v>26.824309828835755</v>
      </c>
      <c r="R51" s="484">
        <f t="shared" si="8"/>
        <v>27.387870828134108</v>
      </c>
      <c r="S51" s="484">
        <f t="shared" si="8"/>
        <v>28.437086485104679</v>
      </c>
      <c r="T51" s="484">
        <f t="shared" si="8"/>
        <v>29.083225672428334</v>
      </c>
      <c r="U51" s="484">
        <f t="shared" si="8"/>
        <v>29.434106633355917</v>
      </c>
      <c r="V51" s="484">
        <f t="shared" si="8"/>
        <v>29.910818244654184</v>
      </c>
      <c r="W51" s="484">
        <f t="shared" si="8"/>
        <v>30.376307181079124</v>
      </c>
      <c r="X51" s="484">
        <f t="shared" si="8"/>
        <v>30.920047926705717</v>
      </c>
      <c r="Y51" s="484">
        <f t="shared" si="8"/>
        <v>31.174163319303801</v>
      </c>
      <c r="Z51" s="484">
        <f t="shared" si="8"/>
        <v>31.659175302395532</v>
      </c>
      <c r="AA51" s="484">
        <f t="shared" si="8"/>
        <v>31.867430990194809</v>
      </c>
      <c r="AB51" s="484">
        <f t="shared" si="8"/>
        <v>32.216543549915407</v>
      </c>
      <c r="AC51" s="484">
        <f t="shared" si="8"/>
        <v>32.468546691715439</v>
      </c>
      <c r="AD51" s="484">
        <f t="shared" si="8"/>
        <v>32.817603403076369</v>
      </c>
      <c r="AE51" s="484">
        <f t="shared" si="8"/>
        <v>33.369084586292942</v>
      </c>
      <c r="AF51" s="484">
        <f t="shared" si="8"/>
        <v>33.862043774228354</v>
      </c>
      <c r="AG51" s="484">
        <f t="shared" si="8"/>
        <v>34.643554977786295</v>
      </c>
      <c r="AH51" s="484">
        <f t="shared" si="8"/>
        <v>35.509865359880877</v>
      </c>
      <c r="AI51" s="484">
        <f t="shared" si="8"/>
        <v>36.181552577400495</v>
      </c>
      <c r="AJ51" s="484">
        <f t="shared" si="8"/>
        <v>36.703933361880907</v>
      </c>
      <c r="AK51"/>
      <c r="AM51" s="255" t="s">
        <v>68</v>
      </c>
      <c r="AN51" s="255">
        <v>18.105</v>
      </c>
      <c r="AO51" s="255">
        <v>17.407</v>
      </c>
      <c r="AP51" s="255">
        <v>16.683</v>
      </c>
      <c r="AQ51" s="255">
        <v>12.958</v>
      </c>
      <c r="AR51" s="255">
        <v>13.629</v>
      </c>
    </row>
    <row r="52" spans="1:44" s="255" customFormat="1">
      <c r="A52" s="254" t="s">
        <v>71</v>
      </c>
      <c r="B52" s="506">
        <f>AN55</f>
        <v>10.419</v>
      </c>
      <c r="C52" s="506">
        <f t="shared" ref="C52:F52" si="9">AO55</f>
        <v>9.359</v>
      </c>
      <c r="D52" s="506">
        <f t="shared" si="9"/>
        <v>9.3970000000000002</v>
      </c>
      <c r="E52" s="506">
        <f t="shared" si="9"/>
        <v>10.999000000000001</v>
      </c>
      <c r="F52" s="506">
        <f t="shared" si="9"/>
        <v>9.6430000000000007</v>
      </c>
      <c r="G52" s="484">
        <f>G39*$AM40</f>
        <v>10.133985018317297</v>
      </c>
      <c r="H52" s="484">
        <f t="shared" ref="H52:AJ52" si="10">H39*$AM40</f>
        <v>10.040416210386089</v>
      </c>
      <c r="I52" s="484">
        <f t="shared" si="10"/>
        <v>9.8800758559629589</v>
      </c>
      <c r="J52" s="484">
        <f t="shared" si="10"/>
        <v>9.9093978941640639</v>
      </c>
      <c r="K52" s="484">
        <f t="shared" si="10"/>
        <v>10.285592229478372</v>
      </c>
      <c r="L52" s="484">
        <f t="shared" si="10"/>
        <v>10.721356181001308</v>
      </c>
      <c r="M52" s="484">
        <f t="shared" si="10"/>
        <v>11.144927580380248</v>
      </c>
      <c r="N52" s="484">
        <f t="shared" si="10"/>
        <v>11.473814463153385</v>
      </c>
      <c r="O52" s="484">
        <f t="shared" si="10"/>
        <v>11.53127370043234</v>
      </c>
      <c r="P52" s="484">
        <f t="shared" si="10"/>
        <v>11.531273989077219</v>
      </c>
      <c r="Q52" s="484">
        <f t="shared" si="10"/>
        <v>11.531273989077219</v>
      </c>
      <c r="R52" s="484">
        <f t="shared" si="10"/>
        <v>11.531273892862259</v>
      </c>
      <c r="S52" s="484">
        <f t="shared" si="10"/>
        <v>11.531273989077219</v>
      </c>
      <c r="T52" s="484">
        <f t="shared" si="10"/>
        <v>11.53127370043234</v>
      </c>
      <c r="U52" s="484">
        <f t="shared" si="10"/>
        <v>11.531297032560106</v>
      </c>
      <c r="V52" s="484">
        <f t="shared" si="10"/>
        <v>11.531273892862259</v>
      </c>
      <c r="W52" s="484">
        <f t="shared" si="10"/>
        <v>11.5312737966473</v>
      </c>
      <c r="X52" s="484">
        <f t="shared" si="10"/>
        <v>11.5312737966473</v>
      </c>
      <c r="Y52" s="484">
        <f t="shared" si="10"/>
        <v>11.531273989077219</v>
      </c>
      <c r="Z52" s="484">
        <f t="shared" si="10"/>
        <v>11.5312737966473</v>
      </c>
      <c r="AA52" s="484">
        <f t="shared" si="10"/>
        <v>11.5312737966473</v>
      </c>
      <c r="AB52" s="484">
        <f t="shared" si="10"/>
        <v>11.531273892862259</v>
      </c>
      <c r="AC52" s="484">
        <f t="shared" si="10"/>
        <v>11.531273652324861</v>
      </c>
      <c r="AD52" s="484">
        <f t="shared" si="10"/>
        <v>11.5312737966473</v>
      </c>
      <c r="AE52" s="484">
        <f t="shared" si="10"/>
        <v>11.531273989077219</v>
      </c>
      <c r="AF52" s="484">
        <f t="shared" si="10"/>
        <v>11.531273989077219</v>
      </c>
      <c r="AG52" s="484">
        <f t="shared" si="10"/>
        <v>11.531273989077219</v>
      </c>
      <c r="AH52" s="484">
        <f t="shared" si="10"/>
        <v>11.531273989077219</v>
      </c>
      <c r="AI52" s="484">
        <f t="shared" si="10"/>
        <v>11.5312737966473</v>
      </c>
      <c r="AJ52" s="484">
        <f t="shared" si="10"/>
        <v>11.5312737966473</v>
      </c>
      <c r="AK52"/>
      <c r="AM52" s="255" t="s">
        <v>69</v>
      </c>
      <c r="AN52" s="255">
        <v>0.39900000000000002</v>
      </c>
      <c r="AO52" s="255">
        <v>0.39900000000000002</v>
      </c>
      <c r="AP52" s="255">
        <v>7.5999999999999998E-2</v>
      </c>
      <c r="AQ52" s="255">
        <v>1.7000000000000001E-2</v>
      </c>
      <c r="AR52" s="255">
        <v>8.1000000000000003E-2</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745</v>
      </c>
      <c r="AN53" s="255">
        <v>15.706</v>
      </c>
      <c r="AO53" s="255">
        <v>21.335000000000001</v>
      </c>
      <c r="AP53" s="255">
        <v>20.606999999999999</v>
      </c>
      <c r="AQ53" s="255">
        <v>23.266999999999999</v>
      </c>
      <c r="AR53" s="255">
        <v>29.619</v>
      </c>
    </row>
    <row r="54" spans="1:44" s="255" customFormat="1">
      <c r="A54" s="254" t="s">
        <v>628</v>
      </c>
      <c r="B54" s="506">
        <f>AN56</f>
        <v>1.5409999999999999</v>
      </c>
      <c r="C54" s="506">
        <f t="shared" ref="C54:F54" si="11">AO56</f>
        <v>1.4930000000000001</v>
      </c>
      <c r="D54" s="506">
        <f t="shared" si="11"/>
        <v>1.391</v>
      </c>
      <c r="E54" s="506">
        <f t="shared" si="11"/>
        <v>1.4239999999999999</v>
      </c>
      <c r="F54" s="506">
        <f t="shared" si="11"/>
        <v>1.504</v>
      </c>
      <c r="G54" s="484">
        <f>EIA_RE_aeo2014!G79</f>
        <v>1.5410915418940194</v>
      </c>
      <c r="H54" s="484">
        <f>EIA_RE_aeo2014!H79</f>
        <v>1.488175442369301</v>
      </c>
      <c r="I54" s="484">
        <f>EIA_RE_aeo2014!I79</f>
        <v>1.64839238826858</v>
      </c>
      <c r="J54" s="484">
        <f>EIA_RE_aeo2014!J79</f>
        <v>1.6959689897972274</v>
      </c>
      <c r="K54" s="484">
        <f>EIA_RE_aeo2014!K79</f>
        <v>1.7582455258842995</v>
      </c>
      <c r="L54" s="484">
        <f>EIA_RE_aeo2014!L79</f>
        <v>1.8603291348374698</v>
      </c>
      <c r="M54" s="484">
        <f>EIA_RE_aeo2014!M79</f>
        <v>2.017508049988189</v>
      </c>
      <c r="N54" s="484">
        <f>EIA_RE_aeo2014!N79</f>
        <v>2.1078225956509358</v>
      </c>
      <c r="O54" s="484">
        <f>EIA_RE_aeo2014!O79</f>
        <v>2.1925187682870111</v>
      </c>
      <c r="P54" s="484">
        <f>EIA_RE_aeo2014!P79</f>
        <v>2.300339491535309</v>
      </c>
      <c r="Q54" s="484">
        <f>EIA_RE_aeo2014!Q79</f>
        <v>2.4667569826747715</v>
      </c>
      <c r="R54" s="484">
        <f>EIA_RE_aeo2014!R79</f>
        <v>2.5796592314924611</v>
      </c>
      <c r="S54" s="484">
        <f>EIA_RE_aeo2014!S79</f>
        <v>2.9033932026076523</v>
      </c>
      <c r="T54" s="484">
        <f>EIA_RE_aeo2014!T79</f>
        <v>3.0295661083501755</v>
      </c>
      <c r="U54" s="484">
        <f>EIA_RE_aeo2014!U79</f>
        <v>3.4208962400592267</v>
      </c>
      <c r="V54" s="484">
        <f>EIA_RE_aeo2014!V79</f>
        <v>3.5360075166678619</v>
      </c>
      <c r="W54" s="484">
        <f>EIA_RE_aeo2014!W79</f>
        <v>3.614383182310652</v>
      </c>
      <c r="X54" s="484">
        <f>EIA_RE_aeo2014!X79</f>
        <v>3.6874789282770144</v>
      </c>
      <c r="Y54" s="484">
        <f>EIA_RE_aeo2014!Y79</f>
        <v>4.1299306224018091</v>
      </c>
      <c r="Z54" s="484">
        <f>EIA_RE_aeo2014!Z79</f>
        <v>4.1970387745431958</v>
      </c>
      <c r="AA54" s="484">
        <f>EIA_RE_aeo2014!AA79</f>
        <v>4.2532553301830855</v>
      </c>
      <c r="AB54" s="484">
        <f>EIA_RE_aeo2014!AB79</f>
        <v>4.2954446416190191</v>
      </c>
      <c r="AC54" s="484">
        <f>EIA_RE_aeo2014!AC79</f>
        <v>4.3520000265377252</v>
      </c>
      <c r="AD54" s="484">
        <f>EIA_RE_aeo2014!AD79</f>
        <v>4.4170436134369506</v>
      </c>
      <c r="AE54" s="484">
        <f>EIA_RE_aeo2014!AE79</f>
        <v>4.4725100091987597</v>
      </c>
      <c r="AF54" s="484">
        <f>EIA_RE_aeo2014!AF79</f>
        <v>4.5497399500284654</v>
      </c>
      <c r="AG54" s="484">
        <f>EIA_RE_aeo2014!AG79</f>
        <v>4.6331362651650494</v>
      </c>
      <c r="AH54" s="484">
        <f>EIA_RE_aeo2014!AH79</f>
        <v>4.7291694541744844</v>
      </c>
      <c r="AI54" s="484">
        <f>EIA_RE_aeo2014!AI79</f>
        <v>4.8291983585844198</v>
      </c>
      <c r="AJ54" s="484">
        <f>EIA_RE_aeo2014!AJ79</f>
        <v>4.9192358557281981</v>
      </c>
      <c r="AK54"/>
      <c r="AM54" s="255" t="s">
        <v>753</v>
      </c>
      <c r="AN54" s="255">
        <v>4.3999999999999997E-2</v>
      </c>
      <c r="AO54" s="255">
        <v>4.2000000000000003E-2</v>
      </c>
      <c r="AP54" s="255">
        <v>0.04</v>
      </c>
      <c r="AQ54" s="255">
        <v>2.5000000000000001E-2</v>
      </c>
      <c r="AR54" s="255">
        <v>2E-3</v>
      </c>
    </row>
    <row r="55" spans="1:44" s="255" customFormat="1">
      <c r="A55" s="254" t="s">
        <v>629</v>
      </c>
      <c r="B55" s="506">
        <f>AN58</f>
        <v>1.6E-2</v>
      </c>
      <c r="C55" s="506">
        <f t="shared" ref="C55:F55" si="12">AO58</f>
        <v>7.0000000000000001E-3</v>
      </c>
      <c r="D55" s="506">
        <f t="shared" si="12"/>
        <v>0.01</v>
      </c>
      <c r="E55" s="506">
        <f t="shared" si="12"/>
        <v>1.2E-2</v>
      </c>
      <c r="F55" s="506">
        <f t="shared" si="12"/>
        <v>8.9999999999999993E-3</v>
      </c>
      <c r="G55" s="484">
        <f>G40*$AM43</f>
        <v>8.7003473446472541E-3</v>
      </c>
      <c r="H55" s="484">
        <f t="shared" ref="H55:AJ55" si="13">H40*$AM43</f>
        <v>8.5586989957404814E-3</v>
      </c>
      <c r="I55" s="484">
        <f t="shared" si="13"/>
        <v>-7.9412141127713654E-3</v>
      </c>
      <c r="J55" s="484">
        <f t="shared" si="13"/>
        <v>-7.9233709004024461E-3</v>
      </c>
      <c r="K55" s="484">
        <f t="shared" si="13"/>
        <v>-7.9233633843062493E-3</v>
      </c>
      <c r="L55" s="484">
        <f t="shared" si="13"/>
        <v>-7.9146221644304897E-3</v>
      </c>
      <c r="M55" s="484">
        <f t="shared" si="13"/>
        <v>-7.9146221644304897E-3</v>
      </c>
      <c r="N55" s="484">
        <f t="shared" si="13"/>
        <v>-7.910743858793437E-3</v>
      </c>
      <c r="O55" s="484">
        <f t="shared" si="13"/>
        <v>-7.9064972644427873E-3</v>
      </c>
      <c r="P55" s="484">
        <f t="shared" si="13"/>
        <v>-7.890690914142939E-3</v>
      </c>
      <c r="Q55" s="484">
        <f t="shared" si="13"/>
        <v>-7.8814536319182539E-3</v>
      </c>
      <c r="R55" s="484">
        <f t="shared" si="13"/>
        <v>-7.873200958295223E-3</v>
      </c>
      <c r="S55" s="484">
        <f t="shared" si="13"/>
        <v>-7.8729078305435837E-3</v>
      </c>
      <c r="T55" s="484">
        <f t="shared" si="13"/>
        <v>-7.872599670599556E-3</v>
      </c>
      <c r="U55" s="484">
        <f t="shared" si="13"/>
        <v>-7.8384314972932741E-3</v>
      </c>
      <c r="V55" s="484">
        <f t="shared" si="13"/>
        <v>-7.8173939440411219E-3</v>
      </c>
      <c r="W55" s="484">
        <f t="shared" si="13"/>
        <v>-7.7987014128020719E-3</v>
      </c>
      <c r="X55" s="484">
        <f t="shared" si="13"/>
        <v>-7.7609480616103749E-3</v>
      </c>
      <c r="Y55" s="484">
        <f t="shared" si="13"/>
        <v>-7.7392115114120093E-3</v>
      </c>
      <c r="Z55" s="484">
        <f t="shared" si="13"/>
        <v>-7.7306356456525588E-3</v>
      </c>
      <c r="AA55" s="484">
        <f t="shared" si="13"/>
        <v>-7.723172162130091E-3</v>
      </c>
      <c r="AB55" s="484">
        <f t="shared" si="13"/>
        <v>-7.7187902780479168E-3</v>
      </c>
      <c r="AC55" s="484">
        <f t="shared" si="13"/>
        <v>-7.7150848426233683E-3</v>
      </c>
      <c r="AD55" s="484">
        <f t="shared" si="13"/>
        <v>-7.7093801256107267E-3</v>
      </c>
      <c r="AE55" s="484">
        <f t="shared" si="13"/>
        <v>-7.7056145614166106E-3</v>
      </c>
      <c r="AF55" s="484">
        <f t="shared" si="13"/>
        <v>-7.7016385465290124E-3</v>
      </c>
      <c r="AG55" s="484">
        <f t="shared" si="13"/>
        <v>-7.6941074181407811E-3</v>
      </c>
      <c r="AH55" s="484">
        <f t="shared" si="13"/>
        <v>-7.6897180179624118E-3</v>
      </c>
      <c r="AI55" s="484">
        <f t="shared" si="13"/>
        <v>-7.6855240362851355E-3</v>
      </c>
      <c r="AJ55" s="484">
        <f t="shared" si="13"/>
        <v>-7.6777373606262463E-3</v>
      </c>
      <c r="AK55"/>
      <c r="AM55" s="255" t="s">
        <v>225</v>
      </c>
      <c r="AN55" s="255">
        <v>10.419</v>
      </c>
      <c r="AO55" s="255">
        <v>9.359</v>
      </c>
      <c r="AP55" s="255">
        <v>9.3970000000000002</v>
      </c>
      <c r="AQ55" s="255">
        <v>10.999000000000001</v>
      </c>
      <c r="AR55" s="255">
        <v>9.6430000000000007</v>
      </c>
    </row>
    <row r="56" spans="1:44" s="255" customFormat="1">
      <c r="A56" s="254" t="s">
        <v>82</v>
      </c>
      <c r="B56" s="506">
        <f>AN59</f>
        <v>46.228999999999999</v>
      </c>
      <c r="C56" s="506">
        <f t="shared" ref="C56" si="14">AO59</f>
        <v>50.043999999999997</v>
      </c>
      <c r="D56" s="506">
        <f t="shared" ref="D56" si="15">AP59</f>
        <v>48.206000000000003</v>
      </c>
      <c r="E56" s="506">
        <f t="shared" ref="E56" si="16">AQ59</f>
        <v>48.701000000000001</v>
      </c>
      <c r="F56" s="506">
        <f t="shared" ref="F56" si="17">AR59</f>
        <v>54.487000000000002</v>
      </c>
      <c r="G56" s="531">
        <f>G58</f>
        <v>49.560130125971227</v>
      </c>
      <c r="H56" s="531">
        <f t="shared" ref="H56:AJ56" si="18">H58</f>
        <v>51.477932797920481</v>
      </c>
      <c r="I56" s="531">
        <f t="shared" si="18"/>
        <v>49.488636793042481</v>
      </c>
      <c r="J56" s="531">
        <f t="shared" si="18"/>
        <v>48.872968046548728</v>
      </c>
      <c r="K56" s="531">
        <f t="shared" si="18"/>
        <v>50.342965858449652</v>
      </c>
      <c r="L56" s="531">
        <f t="shared" si="18"/>
        <v>52.574314600899719</v>
      </c>
      <c r="M56" s="531">
        <f t="shared" si="18"/>
        <v>52.617008392190804</v>
      </c>
      <c r="N56" s="531">
        <f t="shared" si="18"/>
        <v>52.978415965488551</v>
      </c>
      <c r="O56" s="531">
        <f t="shared" si="18"/>
        <v>53.665984763085696</v>
      </c>
      <c r="P56" s="531">
        <f t="shared" si="18"/>
        <v>54.516171004693369</v>
      </c>
      <c r="Q56" s="531">
        <f t="shared" si="18"/>
        <v>55.20320127968165</v>
      </c>
      <c r="R56" s="531">
        <f t="shared" si="18"/>
        <v>55.991210997473395</v>
      </c>
      <c r="S56" s="531">
        <f t="shared" si="18"/>
        <v>57.370615061375766</v>
      </c>
      <c r="T56" s="531">
        <f t="shared" si="18"/>
        <v>58.330641599853791</v>
      </c>
      <c r="U56" s="531">
        <f t="shared" si="18"/>
        <v>59.217539056325442</v>
      </c>
      <c r="V56" s="531">
        <f t="shared" si="18"/>
        <v>59.798314663598788</v>
      </c>
      <c r="W56" s="531">
        <f t="shared" si="18"/>
        <v>60.345142354459099</v>
      </c>
      <c r="X56" s="531">
        <f t="shared" si="18"/>
        <v>60.959915468945717</v>
      </c>
      <c r="Y56" s="531">
        <f t="shared" si="18"/>
        <v>61.601910555426201</v>
      </c>
      <c r="Z56" s="531">
        <f t="shared" si="18"/>
        <v>62.166168274382528</v>
      </c>
      <c r="AA56" s="531">
        <f t="shared" si="18"/>
        <v>62.424095977072689</v>
      </c>
      <c r="AB56" s="531">
        <f t="shared" si="18"/>
        <v>62.810478900876483</v>
      </c>
      <c r="AC56" s="531">
        <f t="shared" si="18"/>
        <v>63.10422119995166</v>
      </c>
      <c r="AD56" s="531">
        <f t="shared" si="18"/>
        <v>63.506175258751128</v>
      </c>
      <c r="AE56" s="531">
        <f t="shared" si="18"/>
        <v>64.099915860047872</v>
      </c>
      <c r="AF56" s="531">
        <f t="shared" si="18"/>
        <v>64.657000939779536</v>
      </c>
      <c r="AG56" s="531">
        <f t="shared" si="18"/>
        <v>65.509636679428027</v>
      </c>
      <c r="AH56" s="531">
        <f t="shared" si="18"/>
        <v>66.459580878160509</v>
      </c>
      <c r="AI56" s="531">
        <f t="shared" si="18"/>
        <v>67.231176964589295</v>
      </c>
      <c r="AJ56" s="531">
        <f t="shared" si="18"/>
        <v>67.843410203351667</v>
      </c>
      <c r="AK56"/>
      <c r="AM56" s="255" t="s">
        <v>379</v>
      </c>
      <c r="AN56" s="255">
        <v>1.5409999999999999</v>
      </c>
      <c r="AO56" s="255">
        <v>1.4930000000000001</v>
      </c>
      <c r="AP56" s="255">
        <v>1.391</v>
      </c>
      <c r="AQ56" s="255">
        <v>1.4239999999999999</v>
      </c>
      <c r="AR56" s="255">
        <v>1.504</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754</v>
      </c>
      <c r="AN57" s="255">
        <v>0</v>
      </c>
      <c r="AO57" s="255">
        <v>0</v>
      </c>
      <c r="AP57" s="255">
        <v>0</v>
      </c>
      <c r="AQ57" s="255">
        <v>0</v>
      </c>
      <c r="AR57" s="255">
        <v>0</v>
      </c>
    </row>
    <row r="58" spans="1:44" s="255" customFormat="1">
      <c r="A58" s="254" t="s">
        <v>83</v>
      </c>
      <c r="B58" s="483">
        <f>SUM(B49:B52,B54,B55)</f>
        <v>46.186</v>
      </c>
      <c r="C58" s="483">
        <f t="shared" ref="C58:AJ58" si="19">SUM(C49:C52,C54,C55)</f>
        <v>50.000000000000007</v>
      </c>
      <c r="D58" s="483">
        <f t="shared" si="19"/>
        <v>48.163999999999994</v>
      </c>
      <c r="E58" s="483">
        <f t="shared" si="19"/>
        <v>48.677</v>
      </c>
      <c r="F58" s="483">
        <f t="shared" si="19"/>
        <v>54.484999999999999</v>
      </c>
      <c r="G58" s="483">
        <f t="shared" si="19"/>
        <v>49.560130125971227</v>
      </c>
      <c r="H58" s="483">
        <f t="shared" si="19"/>
        <v>51.477932797920481</v>
      </c>
      <c r="I58" s="483">
        <f t="shared" si="19"/>
        <v>49.488636793042481</v>
      </c>
      <c r="J58" s="483">
        <f t="shared" si="19"/>
        <v>48.872968046548728</v>
      </c>
      <c r="K58" s="483">
        <f t="shared" si="19"/>
        <v>50.342965858449652</v>
      </c>
      <c r="L58" s="483">
        <f t="shared" si="19"/>
        <v>52.574314600899719</v>
      </c>
      <c r="M58" s="483">
        <f t="shared" si="19"/>
        <v>52.617008392190804</v>
      </c>
      <c r="N58" s="483">
        <f t="shared" si="19"/>
        <v>52.978415965488551</v>
      </c>
      <c r="O58" s="483">
        <f t="shared" si="19"/>
        <v>53.665984763085696</v>
      </c>
      <c r="P58" s="483">
        <f t="shared" si="19"/>
        <v>54.516171004693369</v>
      </c>
      <c r="Q58" s="483">
        <f t="shared" si="19"/>
        <v>55.20320127968165</v>
      </c>
      <c r="R58" s="483">
        <f t="shared" si="19"/>
        <v>55.991210997473395</v>
      </c>
      <c r="S58" s="483">
        <f t="shared" si="19"/>
        <v>57.370615061375766</v>
      </c>
      <c r="T58" s="483">
        <f t="shared" si="19"/>
        <v>58.330641599853791</v>
      </c>
      <c r="U58" s="483">
        <f t="shared" si="19"/>
        <v>59.217539056325442</v>
      </c>
      <c r="V58" s="483">
        <f t="shared" si="19"/>
        <v>59.798314663598788</v>
      </c>
      <c r="W58" s="483">
        <f t="shared" si="19"/>
        <v>60.345142354459099</v>
      </c>
      <c r="X58" s="483">
        <f t="shared" si="19"/>
        <v>60.959915468945717</v>
      </c>
      <c r="Y58" s="483">
        <f t="shared" si="19"/>
        <v>61.601910555426201</v>
      </c>
      <c r="Z58" s="483">
        <f t="shared" si="19"/>
        <v>62.166168274382528</v>
      </c>
      <c r="AA58" s="483">
        <f t="shared" si="19"/>
        <v>62.424095977072689</v>
      </c>
      <c r="AB58" s="483">
        <f t="shared" si="19"/>
        <v>62.810478900876483</v>
      </c>
      <c r="AC58" s="483">
        <f t="shared" si="19"/>
        <v>63.10422119995166</v>
      </c>
      <c r="AD58" s="483">
        <f t="shared" si="19"/>
        <v>63.506175258751128</v>
      </c>
      <c r="AE58" s="483">
        <f t="shared" si="19"/>
        <v>64.099915860047872</v>
      </c>
      <c r="AF58" s="483">
        <f t="shared" si="19"/>
        <v>64.657000939779536</v>
      </c>
      <c r="AG58" s="483">
        <f t="shared" si="19"/>
        <v>65.509636679428027</v>
      </c>
      <c r="AH58" s="483">
        <f t="shared" si="19"/>
        <v>66.459580878160509</v>
      </c>
      <c r="AI58" s="483">
        <f t="shared" si="19"/>
        <v>67.231176964589295</v>
      </c>
      <c r="AJ58" s="483">
        <f t="shared" si="19"/>
        <v>67.843410203351667</v>
      </c>
      <c r="AK58" s="490">
        <v>8.9999999999999993E-3</v>
      </c>
      <c r="AM58" s="255" t="s">
        <v>744</v>
      </c>
      <c r="AN58" s="255">
        <v>1.6E-2</v>
      </c>
      <c r="AO58" s="255">
        <v>7.0000000000000001E-3</v>
      </c>
      <c r="AP58" s="255">
        <v>0.01</v>
      </c>
      <c r="AQ58" s="255">
        <v>1.2E-2</v>
      </c>
      <c r="AR58" s="255">
        <v>8.9999999999999993E-3</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46.228999999999999</v>
      </c>
      <c r="AO59" s="5">
        <v>50.043999999999997</v>
      </c>
      <c r="AP59" s="5">
        <v>48.206000000000003</v>
      </c>
      <c r="AQ59" s="5">
        <v>48.701000000000001</v>
      </c>
      <c r="AR59" s="5">
        <v>54.487000000000002</v>
      </c>
    </row>
    <row r="60" spans="1:44" s="274" customFormat="1">
      <c r="A60" s="273" t="s">
        <v>331</v>
      </c>
      <c r="B60" s="367"/>
      <c r="C60" s="367"/>
      <c r="D60" s="367"/>
      <c r="E60" s="367">
        <f>E49/SUM(E49,E51)</f>
        <v>0.35770876466528639</v>
      </c>
      <c r="F60" s="367">
        <f t="shared" ref="F60:AJ60" si="20">F49/SUM(F49,F51)</f>
        <v>0.31513596004439515</v>
      </c>
      <c r="G60" s="324">
        <f t="shared" si="20"/>
        <v>0.40457196099970977</v>
      </c>
      <c r="H60" s="324">
        <f t="shared" si="20"/>
        <v>0.32990953481478713</v>
      </c>
      <c r="I60" s="324">
        <f t="shared" si="20"/>
        <v>0.370956460559142</v>
      </c>
      <c r="J60" s="324">
        <f t="shared" si="20"/>
        <v>0.38925660458399258</v>
      </c>
      <c r="K60" s="324">
        <f t="shared" si="20"/>
        <v>0.35890597487460668</v>
      </c>
      <c r="L60" s="324">
        <f t="shared" si="20"/>
        <v>0.33017357324579621</v>
      </c>
      <c r="M60" s="324">
        <f t="shared" si="20"/>
        <v>0.35202519626003637</v>
      </c>
      <c r="N60" s="324">
        <f t="shared" si="20"/>
        <v>0.35890806296066907</v>
      </c>
      <c r="O60" s="324">
        <f t="shared" si="20"/>
        <v>0.35724066055360038</v>
      </c>
      <c r="P60" s="324">
        <f t="shared" si="20"/>
        <v>0.34981756186638169</v>
      </c>
      <c r="Q60" s="324">
        <f t="shared" si="20"/>
        <v>0.34829087289153726</v>
      </c>
      <c r="R60" s="324">
        <f t="shared" si="20"/>
        <v>0.34533077872409768</v>
      </c>
      <c r="S60" s="324">
        <f t="shared" si="20"/>
        <v>0.33697763373041628</v>
      </c>
      <c r="T60" s="324">
        <f t="shared" si="20"/>
        <v>0.33483368850744805</v>
      </c>
      <c r="U60" s="324">
        <f t="shared" si="20"/>
        <v>0.33434090899408392</v>
      </c>
      <c r="V60" s="324">
        <f t="shared" si="20"/>
        <v>0.33061796255746095</v>
      </c>
      <c r="W60" s="324">
        <f t="shared" si="20"/>
        <v>0.32725553245952749</v>
      </c>
      <c r="X60" s="324">
        <f t="shared" si="20"/>
        <v>0.32333049289654275</v>
      </c>
      <c r="Y60" s="324">
        <f t="shared" si="20"/>
        <v>0.32073619999689362</v>
      </c>
      <c r="Z60" s="324">
        <f t="shared" si="20"/>
        <v>0.31755966440848576</v>
      </c>
      <c r="AA60" s="324">
        <f t="shared" si="20"/>
        <v>0.3160444657394304</v>
      </c>
      <c r="AB60" s="324">
        <f t="shared" si="20"/>
        <v>0.31362219072071817</v>
      </c>
      <c r="AC60" s="324">
        <f t="shared" si="20"/>
        <v>0.31173201877782647</v>
      </c>
      <c r="AD60" s="324">
        <f t="shared" si="20"/>
        <v>0.30926640227834479</v>
      </c>
      <c r="AE60" s="324">
        <f t="shared" si="20"/>
        <v>0.3055276165749774</v>
      </c>
      <c r="AF60" s="324">
        <f t="shared" si="20"/>
        <v>0.30223716171485621</v>
      </c>
      <c r="AG60" s="324">
        <f t="shared" si="20"/>
        <v>0.29727269081983865</v>
      </c>
      <c r="AH60" s="324">
        <f t="shared" si="20"/>
        <v>0.29196469188663154</v>
      </c>
      <c r="AI60" s="324">
        <f t="shared" si="20"/>
        <v>0.28810450196400905</v>
      </c>
      <c r="AJ60" s="324">
        <f t="shared" si="20"/>
        <v>0.28517077732761725</v>
      </c>
      <c r="AK60" s="324"/>
      <c r="AL60" s="274" t="s">
        <v>0</v>
      </c>
    </row>
    <row r="61" spans="1:44" s="265" customFormat="1">
      <c r="A61" s="262" t="s">
        <v>107</v>
      </c>
      <c r="B61" s="358">
        <f>B54/B58</f>
        <v>3.3365088988005019E-2</v>
      </c>
      <c r="C61" s="358">
        <f t="shared" ref="C61:AJ61" si="21">C54/C58</f>
        <v>2.9859999999999998E-2</v>
      </c>
      <c r="D61" s="358">
        <f t="shared" si="21"/>
        <v>2.8880491653517155E-2</v>
      </c>
      <c r="E61" s="358">
        <f t="shared" si="21"/>
        <v>2.9254062493580129E-2</v>
      </c>
      <c r="F61" s="358">
        <f t="shared" si="21"/>
        <v>2.7603927686519227E-2</v>
      </c>
      <c r="G61" s="309">
        <f t="shared" si="21"/>
        <v>3.1095389337697361E-2</v>
      </c>
      <c r="H61" s="309">
        <f t="shared" si="21"/>
        <v>2.8908997729400233E-2</v>
      </c>
      <c r="I61" s="309">
        <f t="shared" si="21"/>
        <v>3.3308502619743295E-2</v>
      </c>
      <c r="J61" s="309">
        <f t="shared" si="21"/>
        <v>3.4701575484057223E-2</v>
      </c>
      <c r="K61" s="309">
        <f t="shared" si="21"/>
        <v>3.4925346488881771E-2</v>
      </c>
      <c r="L61" s="309">
        <f t="shared" si="21"/>
        <v>3.5384752972236248E-2</v>
      </c>
      <c r="M61" s="309">
        <f t="shared" si="21"/>
        <v>3.8343267921093348E-2</v>
      </c>
      <c r="N61" s="309">
        <f t="shared" si="21"/>
        <v>3.9786440519928405E-2</v>
      </c>
      <c r="O61" s="309">
        <f t="shared" si="21"/>
        <v>4.0854906100505239E-2</v>
      </c>
      <c r="P61" s="309">
        <f t="shared" si="21"/>
        <v>4.2195543985238247E-2</v>
      </c>
      <c r="Q61" s="309">
        <f t="shared" si="21"/>
        <v>4.4685035025001305E-2</v>
      </c>
      <c r="R61" s="309">
        <f t="shared" si="21"/>
        <v>4.6072574347585882E-2</v>
      </c>
      <c r="S61" s="309">
        <f t="shared" si="21"/>
        <v>5.0607670834652334E-2</v>
      </c>
      <c r="T61" s="309">
        <f t="shared" si="21"/>
        <v>5.1937815618982822E-2</v>
      </c>
      <c r="U61" s="309">
        <f t="shared" si="21"/>
        <v>5.7768294572413788E-2</v>
      </c>
      <c r="V61" s="309">
        <f t="shared" si="21"/>
        <v>5.9132226996028478E-2</v>
      </c>
      <c r="W61" s="309">
        <f t="shared" si="21"/>
        <v>5.9895180312613407E-2</v>
      </c>
      <c r="X61" s="309">
        <f t="shared" si="21"/>
        <v>6.0490223779189702E-2</v>
      </c>
      <c r="Y61" s="309">
        <f t="shared" si="21"/>
        <v>6.7042248936190249E-2</v>
      </c>
      <c r="Z61" s="309">
        <f t="shared" si="21"/>
        <v>6.7513229318216059E-2</v>
      </c>
      <c r="AA61" s="309">
        <f t="shared" si="21"/>
        <v>6.8134832609273735E-2</v>
      </c>
      <c r="AB61" s="309">
        <f t="shared" si="21"/>
        <v>6.8387388804944757E-2</v>
      </c>
      <c r="AC61" s="309">
        <f t="shared" si="21"/>
        <v>6.8965275916297322E-2</v>
      </c>
      <c r="AD61" s="309">
        <f t="shared" si="21"/>
        <v>6.9552978044104208E-2</v>
      </c>
      <c r="AE61" s="309">
        <f t="shared" si="21"/>
        <v>6.9774038689282919E-2</v>
      </c>
      <c r="AF61" s="309">
        <f t="shared" si="21"/>
        <v>7.0367321154688536E-2</v>
      </c>
      <c r="AG61" s="309">
        <f t="shared" si="21"/>
        <v>7.0724499478410197E-2</v>
      </c>
      <c r="AH61" s="309">
        <f t="shared" si="21"/>
        <v>7.1158580774748029E-2</v>
      </c>
      <c r="AI61" s="309">
        <f t="shared" si="21"/>
        <v>7.182974590981743E-2</v>
      </c>
      <c r="AJ61" s="309">
        <f t="shared" si="21"/>
        <v>7.2508676096667876E-2</v>
      </c>
      <c r="AK61" s="309"/>
    </row>
    <row r="62" spans="1:44" s="275" customFormat="1">
      <c r="A62" s="264" t="s">
        <v>108</v>
      </c>
      <c r="B62" s="368">
        <f>(B54-EIA_RE_aeo2014!B73)/B56</f>
        <v>3.3334054381448874E-2</v>
      </c>
      <c r="C62" s="368">
        <f>(C54-EIA_RE_aeo2014!C73)/C56</f>
        <v>2.9833746303253143E-2</v>
      </c>
      <c r="D62" s="368">
        <f>(D54-EIA_RE_aeo2014!D73)/D56</f>
        <v>2.885532921213127E-2</v>
      </c>
      <c r="E62" s="368">
        <f>(E54-EIA_RE_aeo2014!E73)/E56</f>
        <v>2.9239646003162152E-2</v>
      </c>
      <c r="F62" s="368">
        <f>(F54-EIA_RE_aeo2014!F73)/F56</f>
        <v>2.7602914456659387E-2</v>
      </c>
      <c r="G62" s="325">
        <f>(G54-EIA_RE_aeo2014!G73)/G56</f>
        <v>3.1095389337697361E-2</v>
      </c>
      <c r="H62" s="325">
        <f>(H54-EIA_RE_aeo2014!H73)/H56</f>
        <v>2.8908997729400233E-2</v>
      </c>
      <c r="I62" s="325">
        <f>(I54-EIA_RE_aeo2014!I73)/I56</f>
        <v>3.3308502619743295E-2</v>
      </c>
      <c r="J62" s="325">
        <f>(J54-EIA_RE_aeo2014!J73)/J56</f>
        <v>3.4701575484057223E-2</v>
      </c>
      <c r="K62" s="325">
        <f>(K54-EIA_RE_aeo2014!K73)/K56</f>
        <v>3.4925346488881771E-2</v>
      </c>
      <c r="L62" s="325">
        <f>(L54-EIA_RE_aeo2014!L73)/L56</f>
        <v>3.5384752972236248E-2</v>
      </c>
      <c r="M62" s="325">
        <f>(M54-EIA_RE_aeo2014!M73)/M56</f>
        <v>3.8343267921093348E-2</v>
      </c>
      <c r="N62" s="325">
        <f>(N54-EIA_RE_aeo2014!N73)/N56</f>
        <v>3.9786440519928405E-2</v>
      </c>
      <c r="O62" s="325">
        <f>(O54-EIA_RE_aeo2014!O73)/O56</f>
        <v>4.0854906100505239E-2</v>
      </c>
      <c r="P62" s="325">
        <f>(P54-EIA_RE_aeo2014!P73)/P56</f>
        <v>4.2195543985238247E-2</v>
      </c>
      <c r="Q62" s="325">
        <f>(Q54-EIA_RE_aeo2014!Q73)/Q56</f>
        <v>4.4685035025001305E-2</v>
      </c>
      <c r="R62" s="325">
        <f>(R54-EIA_RE_aeo2014!R73)/R56</f>
        <v>4.6072574347585882E-2</v>
      </c>
      <c r="S62" s="325">
        <f>(S54-EIA_RE_aeo2014!S73)/S56</f>
        <v>5.0607670834652334E-2</v>
      </c>
      <c r="T62" s="325">
        <f>(T54-EIA_RE_aeo2014!T73)/T56</f>
        <v>5.1937815618982822E-2</v>
      </c>
      <c r="U62" s="325">
        <f>(U54-EIA_RE_aeo2014!U73)/U56</f>
        <v>5.7768294572413788E-2</v>
      </c>
      <c r="V62" s="325">
        <f>(V54-EIA_RE_aeo2014!V73)/V56</f>
        <v>5.9132226996028478E-2</v>
      </c>
      <c r="W62" s="325">
        <f>(W54-EIA_RE_aeo2014!W73)/W56</f>
        <v>5.9895180312613407E-2</v>
      </c>
      <c r="X62" s="325">
        <f>(X54-EIA_RE_aeo2014!X73)/X56</f>
        <v>6.0490223779189702E-2</v>
      </c>
      <c r="Y62" s="325">
        <f>(Y54-EIA_RE_aeo2014!Y73)/Y56</f>
        <v>6.7042248936190249E-2</v>
      </c>
      <c r="Z62" s="325">
        <f>(Z54-EIA_RE_aeo2014!Z73)/Z56</f>
        <v>6.7513229318216059E-2</v>
      </c>
      <c r="AA62" s="325">
        <f>(AA54-EIA_RE_aeo2014!AK73)/AA56</f>
        <v>6.8134832609273735E-2</v>
      </c>
      <c r="AB62" s="325">
        <f>(AB54-EIA_RE_aeo2014!AL73)/AB56</f>
        <v>6.8387388804944757E-2</v>
      </c>
      <c r="AC62" s="325">
        <f>(AC54-EIA_RE_aeo2014!AM73)/AC56</f>
        <v>6.8965275916297322E-2</v>
      </c>
      <c r="AD62" s="325">
        <f>(AD54-EIA_RE_aeo2014!AN73)/AD56</f>
        <v>6.9552978044104208E-2</v>
      </c>
      <c r="AE62" s="325">
        <f>(AE54-EIA_RE_aeo2014!AO73)/AE56</f>
        <v>6.9774038689282919E-2</v>
      </c>
      <c r="AF62" s="325">
        <f>(AF54-EIA_RE_aeo2014!AP73)/AF56</f>
        <v>7.0367321154688536E-2</v>
      </c>
      <c r="AG62" s="325">
        <f>(AG54-EIA_RE_aeo2014!AQ73)/AG56</f>
        <v>7.0724499478410197E-2</v>
      </c>
      <c r="AH62" s="325">
        <f>(AH54-EIA_RE_aeo2014!AR73)/AH56</f>
        <v>7.1158580774748029E-2</v>
      </c>
      <c r="AI62" s="325">
        <f>(AI54-EIA_RE_aeo2014!AS73)/AI56</f>
        <v>7.182974590981743E-2</v>
      </c>
      <c r="AJ62" s="325">
        <f>(AJ54-EIA_RE_aeo2014!AT73)/AJ56</f>
        <v>7.2508676096667876E-2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2.0703142856808485</v>
      </c>
      <c r="H64" s="481">
        <f t="shared" ref="H64:O64" si="22">H63/1000/H58</f>
        <v>3.1734174212333404</v>
      </c>
      <c r="I64" s="481">
        <f t="shared" si="22"/>
        <v>4.5661933368059424</v>
      </c>
      <c r="J64" s="481">
        <f t="shared" si="22"/>
        <v>5.9253977204777142</v>
      </c>
      <c r="K64" s="481">
        <f t="shared" si="22"/>
        <v>7.122529757944668</v>
      </c>
      <c r="L64" s="481">
        <f t="shared" si="22"/>
        <v>8.1409652183021599</v>
      </c>
      <c r="M64" s="481">
        <f t="shared" si="22"/>
        <v>9.4933027945795381</v>
      </c>
      <c r="N64" s="481">
        <f t="shared" si="22"/>
        <v>10.785781046119478</v>
      </c>
      <c r="O64" s="481">
        <f t="shared" si="22"/>
        <v>11.97373387445975</v>
      </c>
      <c r="P64" s="481">
        <f t="shared" ref="P64" si="23">P63/1000/P58</f>
        <v>13.075097891020885</v>
      </c>
      <c r="Q64" s="481">
        <f t="shared" ref="Q64" si="24">Q63/1000/Q58</f>
        <v>14.237064853180424</v>
      </c>
      <c r="R64" s="481">
        <f t="shared" ref="R64" si="25">R63/1000/R58</f>
        <v>15.385550973542497</v>
      </c>
      <c r="S64" s="481">
        <f t="shared" ref="S64" si="26">S63/1000/S58</f>
        <v>16.383489051746285</v>
      </c>
      <c r="T64" s="481">
        <f t="shared" ref="T64" si="27">T63/1000/T58</f>
        <v>17.463118496755119</v>
      </c>
      <c r="U64" s="481">
        <f t="shared" ref="U64" si="28">U63/1000/U58</f>
        <v>18.518384531429849</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0.53281916817268282</v>
      </c>
      <c r="I65" s="481">
        <f t="shared" si="29"/>
        <v>0.438888343605079</v>
      </c>
      <c r="J65" s="481">
        <f t="shared" si="29"/>
        <v>0.29766684925841025</v>
      </c>
      <c r="K65" s="481">
        <f t="shared" si="29"/>
        <v>0.20203403955986929</v>
      </c>
      <c r="L65" s="481">
        <f t="shared" si="29"/>
        <v>0.14298788421648931</v>
      </c>
      <c r="M65" s="481">
        <f t="shared" si="29"/>
        <v>0.16611513991450452</v>
      </c>
      <c r="N65" s="481">
        <f t="shared" si="29"/>
        <v>0.13614632120213377</v>
      </c>
      <c r="O65" s="481">
        <f t="shared" si="29"/>
        <v>0.11014064009464342</v>
      </c>
      <c r="P65" s="481">
        <f t="shared" si="29"/>
        <v>9.1981668217160709E-2</v>
      </c>
      <c r="Q65" s="481">
        <f t="shared" si="29"/>
        <v>8.8868700781009183E-2</v>
      </c>
      <c r="R65" s="481">
        <f t="shared" si="29"/>
        <v>8.0668742623976428E-2</v>
      </c>
      <c r="S65" s="481">
        <f t="shared" si="29"/>
        <v>6.4862030610400315E-2</v>
      </c>
      <c r="T65" s="481">
        <f t="shared" si="29"/>
        <v>6.5897406931996472E-2</v>
      </c>
      <c r="U65" s="481">
        <f t="shared" si="29"/>
        <v>6.0428269720028113E-2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0.22558784047113845</v>
      </c>
      <c r="C66" s="369">
        <f t="shared" ref="C66:AJ66" si="30">C52/C58</f>
        <v>0.18717999999999999</v>
      </c>
      <c r="D66" s="369">
        <f t="shared" si="30"/>
        <v>0.19510422722365256</v>
      </c>
      <c r="E66" s="369">
        <f t="shared" si="30"/>
        <v>0.22595887174641002</v>
      </c>
      <c r="F66" s="369">
        <f t="shared" si="30"/>
        <v>0.17698449114435166</v>
      </c>
      <c r="G66" s="326">
        <f t="shared" si="30"/>
        <v>0.20447857970830341</v>
      </c>
      <c r="H66" s="326">
        <f t="shared" si="30"/>
        <v>0.19504311196411689</v>
      </c>
      <c r="I66" s="326">
        <f t="shared" si="30"/>
        <v>0.19964332210807595</v>
      </c>
      <c r="J66" s="326">
        <f t="shared" si="30"/>
        <v>0.20275825860884744</v>
      </c>
      <c r="K66" s="326">
        <f t="shared" si="30"/>
        <v>0.20431041465452357</v>
      </c>
      <c r="L66" s="326">
        <f t="shared" si="30"/>
        <v>0.20392764532241436</v>
      </c>
      <c r="M66" s="326">
        <f t="shared" si="30"/>
        <v>0.2118122622500585</v>
      </c>
      <c r="N66" s="326">
        <f t="shared" si="30"/>
        <v>0.21657526473852504</v>
      </c>
      <c r="O66" s="326">
        <f t="shared" si="30"/>
        <v>0.21487118425830434</v>
      </c>
      <c r="P66" s="326">
        <f t="shared" si="30"/>
        <v>0.21152024759927612</v>
      </c>
      <c r="Q66" s="326">
        <f t="shared" si="30"/>
        <v>0.20888777682756368</v>
      </c>
      <c r="R66" s="326">
        <f t="shared" si="30"/>
        <v>0.20594792803075126</v>
      </c>
      <c r="S66" s="326">
        <f t="shared" si="30"/>
        <v>0.20099617158960079</v>
      </c>
      <c r="T66" s="326">
        <f t="shared" si="30"/>
        <v>0.19768809984187186</v>
      </c>
      <c r="U66" s="326">
        <f t="shared" si="30"/>
        <v>0.19472773128231452</v>
      </c>
      <c r="V66" s="326">
        <f t="shared" si="30"/>
        <v>0.19283610178200769</v>
      </c>
      <c r="W66" s="326">
        <f t="shared" si="30"/>
        <v>0.19108868330965528</v>
      </c>
      <c r="X66" s="326">
        <f t="shared" si="30"/>
        <v>0.18916157786540203</v>
      </c>
      <c r="Y66" s="326">
        <f t="shared" si="30"/>
        <v>0.18719020051662161</v>
      </c>
      <c r="Z66" s="326">
        <f t="shared" si="30"/>
        <v>0.18549114601613809</v>
      </c>
      <c r="AA66" s="326">
        <f t="shared" si="30"/>
        <v>0.18472472233931175</v>
      </c>
      <c r="AB66" s="326">
        <f t="shared" si="30"/>
        <v>0.18358837720470472</v>
      </c>
      <c r="AC66" s="326">
        <f t="shared" si="30"/>
        <v>0.18273379233675885</v>
      </c>
      <c r="AD66" s="326">
        <f t="shared" si="30"/>
        <v>0.18157720488856388</v>
      </c>
      <c r="AE66" s="326">
        <f t="shared" si="30"/>
        <v>0.1798953061694176</v>
      </c>
      <c r="AF66" s="326">
        <f t="shared" si="30"/>
        <v>0.17834532721085003</v>
      </c>
      <c r="AG66" s="326">
        <f t="shared" si="30"/>
        <v>0.17602408704395062</v>
      </c>
      <c r="AH66" s="326">
        <f t="shared" si="30"/>
        <v>0.17350807568614304</v>
      </c>
      <c r="AI66" s="326">
        <f t="shared" si="30"/>
        <v>0.17151676227118304</v>
      </c>
      <c r="AJ66" s="326">
        <f t="shared" si="30"/>
        <v>0.16996895884336929</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2" t="s">
        <v>632</v>
      </c>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row>
    <row r="110" spans="1:38">
      <c r="A110" s="561" t="s">
        <v>633</v>
      </c>
      <c r="B110" s="561"/>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row>
    <row r="111" spans="1:38">
      <c r="A111" s="561" t="s">
        <v>634</v>
      </c>
      <c r="B111" s="561"/>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row>
    <row r="112" spans="1:38">
      <c r="A112" s="561" t="s">
        <v>635</v>
      </c>
      <c r="B112" s="561"/>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row>
    <row r="113" spans="1:32">
      <c r="A113" s="561" t="s">
        <v>636</v>
      </c>
      <c r="B113" s="561"/>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row>
    <row r="114" spans="1:32">
      <c r="A114" s="561" t="s">
        <v>637</v>
      </c>
      <c r="B114" s="561"/>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row>
    <row r="115" spans="1:32">
      <c r="A115" s="561" t="s">
        <v>638</v>
      </c>
      <c r="B115" s="561"/>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row>
    <row r="116" spans="1:32">
      <c r="A116" s="561" t="s">
        <v>639</v>
      </c>
      <c r="B116" s="561"/>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row>
    <row r="117" spans="1:32">
      <c r="A117" s="561" t="s">
        <v>640</v>
      </c>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row>
    <row r="118" spans="1:32">
      <c r="A118" s="561" t="s">
        <v>641</v>
      </c>
      <c r="B118" s="561"/>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row>
    <row r="119" spans="1:32">
      <c r="A119" s="561" t="s">
        <v>642</v>
      </c>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row>
    <row r="120" spans="1:32">
      <c r="A120" s="561" t="s">
        <v>643</v>
      </c>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row>
    <row r="121" spans="1:32">
      <c r="A121" s="561" t="s">
        <v>644</v>
      </c>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row>
    <row r="122" spans="1:32">
      <c r="A122" s="561" t="s">
        <v>645</v>
      </c>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row>
    <row r="123" spans="1:32">
      <c r="A123" s="561" t="s">
        <v>646</v>
      </c>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row>
    <row r="124" spans="1:32">
      <c r="A124" s="561" t="s">
        <v>647</v>
      </c>
      <c r="B124" s="561"/>
      <c r="C124" s="561"/>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row>
    <row r="125" spans="1:32">
      <c r="A125" s="561" t="s">
        <v>640</v>
      </c>
      <c r="B125" s="561"/>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1"/>
    </row>
    <row r="126" spans="1:32">
      <c r="A126" s="561" t="s">
        <v>648</v>
      </c>
      <c r="B126" s="561"/>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row>
    <row r="127" spans="1:32">
      <c r="A127" s="561" t="s">
        <v>649</v>
      </c>
      <c r="B127" s="561"/>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row>
    <row r="128" spans="1:32">
      <c r="A128" s="561" t="s">
        <v>650</v>
      </c>
      <c r="B128" s="561"/>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row>
    <row r="129" spans="1:32">
      <c r="A129" s="561" t="s">
        <v>620</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row>
    <row r="130" spans="1:32">
      <c r="A130" s="561" t="s">
        <v>621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row>
    <row r="131" spans="1:32">
      <c r="A131" s="561" t="s">
        <v>622</v>
      </c>
      <c r="B131" s="561"/>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row>
    <row r="132" spans="1:32">
      <c r="A132" s="561" t="s">
        <v>651</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row>
    <row r="133" spans="1:32">
      <c r="A133" s="561" t="s">
        <v>652</v>
      </c>
      <c r="B133" s="561"/>
      <c r="C133" s="561"/>
      <c r="D133" s="561"/>
      <c r="E133" s="561"/>
      <c r="F133" s="561"/>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row>
    <row r="134" spans="1:32">
      <c r="A134" s="561" t="s">
        <v>653</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row>
    <row r="135" spans="1:32">
      <c r="A135" s="561" t="s">
        <v>654</v>
      </c>
      <c r="B135" s="561"/>
      <c r="C135" s="561"/>
      <c r="D135" s="561"/>
      <c r="E135" s="561"/>
      <c r="F135" s="561"/>
      <c r="G135" s="561"/>
      <c r="H135" s="561"/>
      <c r="I135" s="561"/>
      <c r="J135" s="561"/>
      <c r="K135" s="561"/>
      <c r="L135" s="561"/>
      <c r="M135" s="561"/>
      <c r="N135" s="561"/>
      <c r="O135" s="561"/>
      <c r="P135" s="561"/>
      <c r="Q135" s="561"/>
      <c r="R135" s="561"/>
      <c r="S135" s="561"/>
      <c r="T135" s="561"/>
      <c r="U135" s="561"/>
      <c r="V135" s="561"/>
      <c r="W135" s="561"/>
      <c r="X135" s="561"/>
      <c r="Y135" s="561"/>
      <c r="Z135" s="561"/>
      <c r="AA135" s="561"/>
      <c r="AB135" s="561"/>
      <c r="AC135" s="561"/>
      <c r="AD135" s="561"/>
      <c r="AE135" s="561"/>
      <c r="AF135" s="561"/>
    </row>
    <row r="136" spans="1:32">
      <c r="A136" s="561" t="s">
        <v>655</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row>
    <row r="137" spans="1:32">
      <c r="A137" s="561" t="s">
        <v>656</v>
      </c>
      <c r="B137" s="561"/>
      <c r="C137" s="561"/>
      <c r="D137" s="561"/>
      <c r="E137" s="561"/>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6" zoomScale="125" zoomScaleNormal="125" zoomScalePageLayoutView="125" workbookViewId="0">
      <selection activeCell="G76" sqref="G76:AJ76"/>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1E-4</v>
      </c>
      <c r="H33" s="499">
        <v>1E-4</v>
      </c>
      <c r="I33" s="499">
        <v>1E-4</v>
      </c>
      <c r="J33" s="499">
        <v>1E-4</v>
      </c>
      <c r="K33" s="499">
        <v>1E-4</v>
      </c>
      <c r="L33" s="499">
        <v>1E-4</v>
      </c>
      <c r="M33" s="499">
        <v>1E-4</v>
      </c>
      <c r="N33" s="499">
        <v>1E-4</v>
      </c>
      <c r="O33" s="499">
        <v>1E-4</v>
      </c>
      <c r="P33" s="499">
        <v>1E-4</v>
      </c>
      <c r="Q33" s="499">
        <v>1E-4</v>
      </c>
      <c r="R33" s="499">
        <v>1E-4</v>
      </c>
      <c r="S33" s="499">
        <v>1E-4</v>
      </c>
      <c r="T33" s="499">
        <v>1E-4</v>
      </c>
      <c r="U33" s="499">
        <v>1E-4</v>
      </c>
      <c r="V33" s="499">
        <v>1E-4</v>
      </c>
      <c r="W33" s="499">
        <v>1E-4</v>
      </c>
      <c r="X33" s="499">
        <v>1E-4</v>
      </c>
      <c r="Y33" s="499">
        <v>1E-4</v>
      </c>
      <c r="Z33" s="499">
        <v>1E-4</v>
      </c>
      <c r="AA33" s="499">
        <v>1E-4</v>
      </c>
      <c r="AB33" s="499">
        <v>1E-4</v>
      </c>
      <c r="AC33" s="499">
        <v>1E-4</v>
      </c>
      <c r="AD33" s="499">
        <v>1E-4</v>
      </c>
      <c r="AE33" s="499">
        <v>1E-4</v>
      </c>
      <c r="AF33" s="499">
        <v>1E-4</v>
      </c>
      <c r="AG33" s="499">
        <v>1E-4</v>
      </c>
      <c r="AH33" s="499">
        <v>1E-4</v>
      </c>
      <c r="AI33" s="499">
        <v>1E-4</v>
      </c>
      <c r="AJ33" s="499">
        <v>1E-4</v>
      </c>
      <c r="AK33"/>
    </row>
    <row r="34" spans="1:39" s="18" customFormat="1">
      <c r="A34" s="17" t="s">
        <v>662</v>
      </c>
      <c r="B34"/>
      <c r="C34"/>
      <c r="D34"/>
      <c r="E34"/>
      <c r="F34"/>
      <c r="G34" s="499">
        <v>1E-4</v>
      </c>
      <c r="H34" s="499">
        <v>1E-4</v>
      </c>
      <c r="I34" s="499">
        <v>1E-4</v>
      </c>
      <c r="J34" s="499">
        <v>1E-4</v>
      </c>
      <c r="K34" s="499">
        <v>1E-4</v>
      </c>
      <c r="L34" s="499">
        <v>1E-4</v>
      </c>
      <c r="M34" s="499">
        <v>1E-4</v>
      </c>
      <c r="N34" s="499">
        <v>1E-4</v>
      </c>
      <c r="O34" s="499">
        <v>1E-4</v>
      </c>
      <c r="P34" s="499">
        <v>1E-4</v>
      </c>
      <c r="Q34" s="499">
        <v>1E-4</v>
      </c>
      <c r="R34" s="499">
        <v>1E-4</v>
      </c>
      <c r="S34" s="499">
        <v>1E-4</v>
      </c>
      <c r="T34" s="499">
        <v>1E-4</v>
      </c>
      <c r="U34" s="499">
        <v>1E-4</v>
      </c>
      <c r="V34" s="499">
        <v>1E-4</v>
      </c>
      <c r="W34" s="499">
        <v>1E-4</v>
      </c>
      <c r="X34" s="499">
        <v>1E-4</v>
      </c>
      <c r="Y34" s="499">
        <v>1E-4</v>
      </c>
      <c r="Z34" s="499">
        <v>1E-4</v>
      </c>
      <c r="AA34" s="499">
        <v>1E-4</v>
      </c>
      <c r="AB34" s="499">
        <v>1E-4</v>
      </c>
      <c r="AC34" s="499">
        <v>1E-4</v>
      </c>
      <c r="AD34" s="499">
        <v>1E-4</v>
      </c>
      <c r="AE34" s="499">
        <v>1E-4</v>
      </c>
      <c r="AF34" s="499">
        <v>1E-4</v>
      </c>
      <c r="AG34" s="499">
        <v>1E-4</v>
      </c>
      <c r="AH34" s="499">
        <v>1E-4</v>
      </c>
      <c r="AI34" s="499">
        <v>1E-4</v>
      </c>
      <c r="AJ34" s="499">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1E-4</v>
      </c>
      <c r="H54" s="499">
        <v>1E-4</v>
      </c>
      <c r="I54" s="499">
        <v>1E-4</v>
      </c>
      <c r="J54" s="499">
        <v>1E-4</v>
      </c>
      <c r="K54" s="499">
        <v>1E-4</v>
      </c>
      <c r="L54" s="499">
        <v>1E-4</v>
      </c>
      <c r="M54" s="499">
        <v>1E-4</v>
      </c>
      <c r="N54" s="499">
        <v>1E-4</v>
      </c>
      <c r="O54" s="499">
        <v>1E-4</v>
      </c>
      <c r="P54" s="499">
        <v>1E-4</v>
      </c>
      <c r="Q54" s="499">
        <v>1E-4</v>
      </c>
      <c r="R54" s="499">
        <v>1E-4</v>
      </c>
      <c r="S54" s="499">
        <v>1E-4</v>
      </c>
      <c r="T54" s="499">
        <v>1E-4</v>
      </c>
      <c r="U54" s="499">
        <v>1E-4</v>
      </c>
      <c r="V54" s="499">
        <v>1E-4</v>
      </c>
      <c r="W54" s="499">
        <v>1E-4</v>
      </c>
      <c r="X54" s="499">
        <v>1E-4</v>
      </c>
      <c r="Y54" s="499">
        <v>1E-4</v>
      </c>
      <c r="Z54" s="499">
        <v>1E-4</v>
      </c>
      <c r="AA54" s="499">
        <v>1E-4</v>
      </c>
      <c r="AB54" s="499">
        <v>1E-4</v>
      </c>
      <c r="AC54" s="499">
        <v>1E-4</v>
      </c>
      <c r="AD54" s="499">
        <v>1E-4</v>
      </c>
      <c r="AE54" s="499">
        <v>1E-4</v>
      </c>
      <c r="AF54" s="499">
        <v>1E-4</v>
      </c>
      <c r="AG54" s="499">
        <v>1E-4</v>
      </c>
      <c r="AH54" s="499">
        <v>1E-4</v>
      </c>
      <c r="AI54" s="499">
        <v>1E-4</v>
      </c>
      <c r="AJ54" s="499">
        <v>1E-4</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748</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757</v>
      </c>
    </row>
    <row r="60" spans="1:39">
      <c r="A60" s="501" t="s">
        <v>734</v>
      </c>
      <c r="G60" s="499">
        <v>44.842190000000002</v>
      </c>
      <c r="H60" s="499">
        <v>36.483971000000004</v>
      </c>
      <c r="I60" s="499">
        <v>46.312049000000002</v>
      </c>
      <c r="J60" s="499">
        <v>47.425668000000002</v>
      </c>
      <c r="K60" s="499">
        <v>48.408583</v>
      </c>
      <c r="L60" s="499">
        <v>49.257862000000003</v>
      </c>
      <c r="M60" s="499">
        <v>49.834113000000002</v>
      </c>
      <c r="N60" s="499">
        <v>49.834088000000008</v>
      </c>
      <c r="O60" s="499">
        <v>49.834101000000004</v>
      </c>
      <c r="P60" s="499">
        <v>49.834088000000008</v>
      </c>
      <c r="Q60" s="499">
        <v>49.834100000000007</v>
      </c>
      <c r="R60" s="499">
        <v>49.834065000000002</v>
      </c>
      <c r="S60" s="499">
        <v>50.109192</v>
      </c>
      <c r="T60" s="499">
        <v>50.109172000000001</v>
      </c>
      <c r="U60" s="499">
        <v>50.109192999999998</v>
      </c>
      <c r="V60" s="499">
        <v>50.213749</v>
      </c>
      <c r="W60" s="499">
        <v>50.276525999999997</v>
      </c>
      <c r="X60" s="499">
        <v>50.631925000000003</v>
      </c>
      <c r="Y60" s="499">
        <v>50.979087999999997</v>
      </c>
      <c r="Z60" s="499">
        <v>51.366464999999991</v>
      </c>
      <c r="AA60" s="499">
        <v>51.366472000000002</v>
      </c>
      <c r="AB60" s="499">
        <v>51.591163000000002</v>
      </c>
      <c r="AC60" s="499">
        <v>51.591174000000002</v>
      </c>
      <c r="AD60" s="499">
        <v>51.591174000000002</v>
      </c>
      <c r="AE60" s="499">
        <v>51.804420999999998</v>
      </c>
      <c r="AF60" s="499">
        <v>51.952124000000005</v>
      </c>
      <c r="AG60" s="499">
        <v>51.952144000000004</v>
      </c>
      <c r="AH60" s="499">
        <v>52.086152999999996</v>
      </c>
      <c r="AI60" s="499">
        <v>52.086151999999998</v>
      </c>
      <c r="AJ60" s="499">
        <v>52.086157000000007</v>
      </c>
      <c r="AK60" s="503">
        <v>4.0000000000000001E-3</v>
      </c>
      <c r="AL60" s="508" t="s">
        <v>728</v>
      </c>
      <c r="AM60" s="29">
        <v>1.0000000000000001E-5</v>
      </c>
    </row>
    <row r="61" spans="1:39">
      <c r="A61" s="501" t="s">
        <v>735</v>
      </c>
      <c r="G61" s="499">
        <v>4.0118830000000001</v>
      </c>
      <c r="H61" s="499">
        <v>3.7581989999999998</v>
      </c>
      <c r="I61" s="499">
        <v>4.1090540000000004</v>
      </c>
      <c r="J61" s="499">
        <v>4.10907</v>
      </c>
      <c r="K61" s="499">
        <v>4.1077979999999998</v>
      </c>
      <c r="L61" s="499">
        <v>4.100117</v>
      </c>
      <c r="M61" s="499">
        <v>4.5077809999999996</v>
      </c>
      <c r="N61" s="499">
        <v>4.9009479999999996</v>
      </c>
      <c r="O61" s="499">
        <v>4.9156639999999996</v>
      </c>
      <c r="P61" s="499">
        <v>4.9143330000000001</v>
      </c>
      <c r="Q61" s="499">
        <v>4.9132239999999996</v>
      </c>
      <c r="R61" s="499">
        <v>4.9197499999999996</v>
      </c>
      <c r="S61" s="499">
        <v>4.9287999999999998</v>
      </c>
      <c r="T61" s="499">
        <v>4.9247540000000001</v>
      </c>
      <c r="U61" s="499">
        <v>4.9286719999999997</v>
      </c>
      <c r="V61" s="499">
        <v>4.927543</v>
      </c>
      <c r="W61" s="499">
        <v>5.3101979999999998</v>
      </c>
      <c r="X61" s="499">
        <v>5.5501300000000002</v>
      </c>
      <c r="Y61" s="499">
        <v>5.5720200000000002</v>
      </c>
      <c r="Z61" s="499">
        <v>5.8294079999999999</v>
      </c>
      <c r="AA61" s="499">
        <v>6.0471729999999999</v>
      </c>
      <c r="AB61" s="499">
        <v>6.0445359999999999</v>
      </c>
      <c r="AC61" s="499">
        <v>6.0421290000000001</v>
      </c>
      <c r="AD61" s="499">
        <v>6.0397999999999996</v>
      </c>
      <c r="AE61" s="499">
        <v>6.0375639999999997</v>
      </c>
      <c r="AF61" s="499">
        <v>6.0354029999999996</v>
      </c>
      <c r="AG61" s="499">
        <v>6.0333230000000002</v>
      </c>
      <c r="AH61" s="499">
        <v>6.0313509999999999</v>
      </c>
      <c r="AI61" s="499">
        <v>6.0293979999999996</v>
      </c>
      <c r="AJ61" s="499">
        <v>6.0275829999999999</v>
      </c>
      <c r="AK61" s="499" t="s">
        <v>41</v>
      </c>
      <c r="AL61" s="508" t="s">
        <v>729</v>
      </c>
      <c r="AM61" s="29">
        <v>0</v>
      </c>
    </row>
    <row r="62" spans="1:39">
      <c r="A62" s="501" t="s">
        <v>736</v>
      </c>
      <c r="G62" s="499">
        <v>1.339353</v>
      </c>
      <c r="H62" s="499">
        <v>1.3868399999999999</v>
      </c>
      <c r="I62" s="499">
        <v>1.1280109999999999</v>
      </c>
      <c r="J62" s="499">
        <v>1.213775</v>
      </c>
      <c r="K62" s="499">
        <v>1.1110189999999998</v>
      </c>
      <c r="L62" s="499">
        <v>1.299696</v>
      </c>
      <c r="M62" s="499">
        <v>1.308611</v>
      </c>
      <c r="N62" s="499">
        <v>1.308832</v>
      </c>
      <c r="O62" s="499">
        <v>1.300244</v>
      </c>
      <c r="P62" s="499">
        <v>1.2998630000000002</v>
      </c>
      <c r="Q62" s="499">
        <v>1.2996369999999999</v>
      </c>
      <c r="R62" s="499">
        <v>1.3080210000000001</v>
      </c>
      <c r="S62" s="499">
        <v>1.2992279999999998</v>
      </c>
      <c r="T62" s="499">
        <v>1.299032</v>
      </c>
      <c r="U62" s="499">
        <v>1.3074349999999999</v>
      </c>
      <c r="V62" s="499">
        <v>1.284637</v>
      </c>
      <c r="W62" s="499">
        <v>1.298103</v>
      </c>
      <c r="X62" s="499">
        <v>1.297704</v>
      </c>
      <c r="Y62" s="499">
        <v>1.2972440000000001</v>
      </c>
      <c r="Z62" s="499">
        <v>1.296748</v>
      </c>
      <c r="AA62" s="499">
        <v>1.296254</v>
      </c>
      <c r="AB62" s="499">
        <v>1.304459</v>
      </c>
      <c r="AC62" s="499">
        <v>1.3161710000000002</v>
      </c>
      <c r="AD62" s="499">
        <v>1.3335859999999999</v>
      </c>
      <c r="AE62" s="499">
        <v>1.333243</v>
      </c>
      <c r="AF62" s="499">
        <v>1.3329070000000001</v>
      </c>
      <c r="AG62" s="499">
        <v>1.3581589999999999</v>
      </c>
      <c r="AH62" s="499">
        <v>1.3578999999999999</v>
      </c>
      <c r="AI62" s="499">
        <v>1.3576220000000001</v>
      </c>
      <c r="AJ62" s="499">
        <v>1.3573469999999999</v>
      </c>
      <c r="AK62" s="503">
        <v>4.0000000000000001E-3</v>
      </c>
      <c r="AL62" s="508" t="s">
        <v>730</v>
      </c>
      <c r="AM62" s="29">
        <v>0</v>
      </c>
    </row>
    <row r="63" spans="1:39">
      <c r="A63" s="501" t="s">
        <v>737</v>
      </c>
      <c r="G63" s="499">
        <v>14.945162</v>
      </c>
      <c r="H63" s="499">
        <v>14.431946</v>
      </c>
      <c r="I63" s="499">
        <v>15.985713000000001</v>
      </c>
      <c r="J63" s="499">
        <v>16.447120999999999</v>
      </c>
      <c r="K63" s="499">
        <v>17.050978000000001</v>
      </c>
      <c r="L63" s="499">
        <v>18.040935000000001</v>
      </c>
      <c r="M63" s="499">
        <v>19.565261</v>
      </c>
      <c r="N63" s="499">
        <v>20.441119</v>
      </c>
      <c r="O63" s="499">
        <v>21.262525000000004</v>
      </c>
      <c r="P63" s="499">
        <v>22.308201</v>
      </c>
      <c r="Q63" s="499">
        <v>23.922165</v>
      </c>
      <c r="R63" s="499">
        <v>25.017121999999997</v>
      </c>
      <c r="S63" s="499">
        <v>28.156784999999999</v>
      </c>
      <c r="T63" s="499">
        <v>29.380445999999999</v>
      </c>
      <c r="U63" s="499">
        <v>33.175676000000003</v>
      </c>
      <c r="V63" s="499">
        <v>34.292058000000004</v>
      </c>
      <c r="W63" s="499">
        <v>35.052129999999998</v>
      </c>
      <c r="X63" s="499">
        <v>35.761009999999999</v>
      </c>
      <c r="Y63" s="499">
        <v>40.052028999999997</v>
      </c>
      <c r="Z63" s="499">
        <v>40.702837000000002</v>
      </c>
      <c r="AA63" s="499">
        <v>41.248019000000006</v>
      </c>
      <c r="AB63" s="499">
        <v>41.657182000000006</v>
      </c>
      <c r="AC63" s="499">
        <v>42.205671000000002</v>
      </c>
      <c r="AD63" s="499">
        <v>42.836480000000002</v>
      </c>
      <c r="AE63" s="499">
        <v>43.374407999999995</v>
      </c>
      <c r="AF63" s="499">
        <v>44.123406000000003</v>
      </c>
      <c r="AG63" s="499">
        <v>44.932203999999999</v>
      </c>
      <c r="AH63" s="499">
        <v>45.863558999999995</v>
      </c>
      <c r="AI63" s="499">
        <v>46.833663999999999</v>
      </c>
      <c r="AJ63" s="499">
        <v>47.706866999999995</v>
      </c>
      <c r="AK63" s="503">
        <v>1.7999999999999999E-2</v>
      </c>
      <c r="AL63" s="508" t="s">
        <v>143</v>
      </c>
      <c r="AM63" s="29">
        <v>9.9999999999999995E-7</v>
      </c>
    </row>
    <row r="64" spans="1:39">
      <c r="A64" s="501" t="s">
        <v>738</v>
      </c>
      <c r="G64" s="499">
        <v>1.0267039999999998</v>
      </c>
      <c r="H64" s="499">
        <v>2.8537889999999999</v>
      </c>
      <c r="I64" s="499">
        <v>4.2529700000000004</v>
      </c>
      <c r="J64" s="499">
        <v>6.6156470000000001</v>
      </c>
      <c r="K64" s="499">
        <v>7.8609019999999994</v>
      </c>
      <c r="L64" s="499">
        <v>8.632753000000001</v>
      </c>
      <c r="M64" s="499">
        <v>8.6597589999999993</v>
      </c>
      <c r="N64" s="499">
        <v>8.7042290000000015</v>
      </c>
      <c r="O64" s="499">
        <v>8.7542929999999988</v>
      </c>
      <c r="P64" s="499">
        <v>8.8394560000000002</v>
      </c>
      <c r="Q64" s="499">
        <v>8.9440819999999999</v>
      </c>
      <c r="R64" s="499">
        <v>9.0665030000000009</v>
      </c>
      <c r="S64" s="499">
        <v>9.2123340000000002</v>
      </c>
      <c r="T64" s="499">
        <v>9.3902070000000002</v>
      </c>
      <c r="U64" s="499">
        <v>9.6184659999999997</v>
      </c>
      <c r="V64" s="499">
        <v>9.8824939999999994</v>
      </c>
      <c r="W64" s="499">
        <v>10.192751000000001</v>
      </c>
      <c r="X64" s="499">
        <v>10.572926000000001</v>
      </c>
      <c r="Y64" s="499">
        <v>11.015145</v>
      </c>
      <c r="Z64" s="499">
        <v>11.577275</v>
      </c>
      <c r="AA64" s="499">
        <v>12.280673999999999</v>
      </c>
      <c r="AB64" s="499">
        <v>12.961821</v>
      </c>
      <c r="AC64" s="499">
        <v>13.529388999999998</v>
      </c>
      <c r="AD64" s="499">
        <v>14.326228</v>
      </c>
      <c r="AE64" s="499">
        <v>15.365499</v>
      </c>
      <c r="AF64" s="499">
        <v>16.162962</v>
      </c>
      <c r="AG64" s="499">
        <v>16.775990999999998</v>
      </c>
      <c r="AH64" s="499">
        <v>17.386566999999999</v>
      </c>
      <c r="AI64" s="499">
        <v>18.015301000000001</v>
      </c>
      <c r="AJ64" s="499">
        <v>18.662105999999998</v>
      </c>
      <c r="AK64" s="503">
        <v>7.0000000000000007E-2</v>
      </c>
      <c r="AL64" s="508" t="s">
        <v>731</v>
      </c>
      <c r="AM64" s="29">
        <v>0.10311103350970832</v>
      </c>
    </row>
    <row r="65" spans="1:44">
      <c r="A65" s="501" t="s">
        <v>739</v>
      </c>
      <c r="G65" s="499">
        <v>38.983921000000002</v>
      </c>
      <c r="H65" s="499">
        <v>43.605923000000004</v>
      </c>
      <c r="I65" s="499">
        <v>46.780897999999993</v>
      </c>
      <c r="J65" s="499">
        <v>47.040753000000002</v>
      </c>
      <c r="K65" s="499">
        <v>59.372954</v>
      </c>
      <c r="L65" s="499">
        <v>67.38064</v>
      </c>
      <c r="M65" s="499">
        <v>67.380969999999991</v>
      </c>
      <c r="N65" s="499">
        <v>67.37115399999999</v>
      </c>
      <c r="O65" s="499">
        <v>67.38362699999999</v>
      </c>
      <c r="P65" s="499">
        <v>67.38749</v>
      </c>
      <c r="Q65" s="499">
        <v>67.393857999999994</v>
      </c>
      <c r="R65" s="499">
        <v>67.421112999999991</v>
      </c>
      <c r="S65" s="499">
        <v>67.413719</v>
      </c>
      <c r="T65" s="499">
        <v>67.409741999999994</v>
      </c>
      <c r="U65" s="499">
        <v>67.406160999999997</v>
      </c>
      <c r="V65" s="499">
        <v>67.415046000000004</v>
      </c>
      <c r="W65" s="499">
        <v>67.43121099999999</v>
      </c>
      <c r="X65" s="499">
        <v>67.428821999999997</v>
      </c>
      <c r="Y65" s="499">
        <v>67.500607000000002</v>
      </c>
      <c r="Z65" s="499">
        <v>67.593868000000001</v>
      </c>
      <c r="AA65" s="499">
        <v>67.692881</v>
      </c>
      <c r="AB65" s="499">
        <v>67.802678</v>
      </c>
      <c r="AC65" s="499">
        <v>67.932296000000008</v>
      </c>
      <c r="AD65" s="499">
        <v>68.157133000000002</v>
      </c>
      <c r="AE65" s="499">
        <v>68.263564000000002</v>
      </c>
      <c r="AF65" s="499">
        <v>68.268462999999997</v>
      </c>
      <c r="AG65" s="499">
        <v>68.581467000000004</v>
      </c>
      <c r="AH65" s="499">
        <v>68.813840999999996</v>
      </c>
      <c r="AI65" s="499">
        <v>69.208895999999996</v>
      </c>
      <c r="AJ65" s="499">
        <v>69.860670999999996</v>
      </c>
      <c r="AK65" s="503">
        <v>7.2999999999999995E-2</v>
      </c>
      <c r="AL65" s="508" t="s">
        <v>732</v>
      </c>
      <c r="AM65" s="29">
        <v>9.9999999999999995E-7</v>
      </c>
    </row>
    <row r="66" spans="1:44">
      <c r="A66" s="502" t="s">
        <v>740</v>
      </c>
      <c r="G66" s="500">
        <v>105.14921200000001</v>
      </c>
      <c r="H66" s="500">
        <v>102.52066500000001</v>
      </c>
      <c r="I66" s="500">
        <v>118.56869200000001</v>
      </c>
      <c r="J66" s="500">
        <v>122.85203200000001</v>
      </c>
      <c r="K66" s="500">
        <v>137.912237</v>
      </c>
      <c r="L66" s="500">
        <v>148.712006</v>
      </c>
      <c r="M66" s="500">
        <v>151.256494</v>
      </c>
      <c r="N66" s="500">
        <v>152.560371</v>
      </c>
      <c r="O66" s="500">
        <v>153.450457</v>
      </c>
      <c r="P66" s="500">
        <v>154.583426</v>
      </c>
      <c r="Q66" s="500">
        <v>156.307063</v>
      </c>
      <c r="R66" s="500">
        <v>157.56657100000001</v>
      </c>
      <c r="S66" s="500">
        <v>161.12006099999996</v>
      </c>
      <c r="T66" s="500">
        <v>162.51335699999998</v>
      </c>
      <c r="U66" s="500">
        <v>166.54560699999999</v>
      </c>
      <c r="V66" s="500">
        <v>168.015525</v>
      </c>
      <c r="W66" s="500">
        <v>169.56092100000001</v>
      </c>
      <c r="X66" s="500">
        <v>171.242514</v>
      </c>
      <c r="Y66" s="500">
        <v>176.41612999999995</v>
      </c>
      <c r="Z66" s="500">
        <v>178.366603</v>
      </c>
      <c r="AA66" s="500">
        <v>179.93147900000002</v>
      </c>
      <c r="AB66" s="500">
        <v>181.361839</v>
      </c>
      <c r="AC66" s="500">
        <v>182.616829</v>
      </c>
      <c r="AD66" s="500">
        <v>184.28439900000001</v>
      </c>
      <c r="AE66" s="500">
        <v>186.17869400000001</v>
      </c>
      <c r="AF66" s="500">
        <v>187.87526300000002</v>
      </c>
      <c r="AG66" s="500">
        <v>189.63328299999998</v>
      </c>
      <c r="AH66" s="500">
        <v>191.53937300000001</v>
      </c>
      <c r="AI66" s="500">
        <v>193.53103399999998</v>
      </c>
      <c r="AJ66" s="500">
        <v>195.70073199999999</v>
      </c>
      <c r="AK66" s="504">
        <v>2.1999999999999999E-2</v>
      </c>
      <c r="AL66" s="508" t="s">
        <v>733</v>
      </c>
      <c r="AM66" s="29">
        <v>1.5063567476288129E-2</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2.1590235239755527E-2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749</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0</v>
      </c>
      <c r="C73" s="491">
        <f t="shared" ref="C73:F73" si="0">AO73</f>
        <v>0</v>
      </c>
      <c r="D73" s="491">
        <f t="shared" si="0"/>
        <v>0</v>
      </c>
      <c r="E73" s="491">
        <f t="shared" si="0"/>
        <v>0</v>
      </c>
      <c r="F73" s="491">
        <f t="shared" si="0"/>
        <v>0</v>
      </c>
      <c r="G73" s="484">
        <f t="shared" ref="G73:AJ73" si="1">G60*$AM61</f>
        <v>0</v>
      </c>
      <c r="H73" s="484">
        <f t="shared" si="1"/>
        <v>0</v>
      </c>
      <c r="I73" s="484">
        <f t="shared" si="1"/>
        <v>0</v>
      </c>
      <c r="J73" s="484">
        <f t="shared" si="1"/>
        <v>0</v>
      </c>
      <c r="K73" s="484">
        <f t="shared" si="1"/>
        <v>0</v>
      </c>
      <c r="L73" s="484">
        <f t="shared" si="1"/>
        <v>0</v>
      </c>
      <c r="M73" s="484">
        <f t="shared" si="1"/>
        <v>0</v>
      </c>
      <c r="N73" s="484">
        <f t="shared" si="1"/>
        <v>0</v>
      </c>
      <c r="O73" s="484">
        <f t="shared" si="1"/>
        <v>0</v>
      </c>
      <c r="P73" s="484">
        <f t="shared" si="1"/>
        <v>0</v>
      </c>
      <c r="Q73" s="484">
        <f t="shared" si="1"/>
        <v>0</v>
      </c>
      <c r="R73" s="484">
        <f t="shared" si="1"/>
        <v>0</v>
      </c>
      <c r="S73" s="484">
        <f t="shared" si="1"/>
        <v>0</v>
      </c>
      <c r="T73" s="484">
        <f t="shared" si="1"/>
        <v>0</v>
      </c>
      <c r="U73" s="484">
        <f t="shared" si="1"/>
        <v>0</v>
      </c>
      <c r="V73" s="484">
        <f t="shared" si="1"/>
        <v>0</v>
      </c>
      <c r="W73" s="484">
        <f t="shared" si="1"/>
        <v>0</v>
      </c>
      <c r="X73" s="484">
        <f t="shared" si="1"/>
        <v>0</v>
      </c>
      <c r="Y73" s="484">
        <f t="shared" si="1"/>
        <v>0</v>
      </c>
      <c r="Z73" s="484">
        <f t="shared" si="1"/>
        <v>0</v>
      </c>
      <c r="AA73" s="484">
        <f t="shared" si="1"/>
        <v>0</v>
      </c>
      <c r="AB73" s="484">
        <f t="shared" si="1"/>
        <v>0</v>
      </c>
      <c r="AC73" s="484">
        <f t="shared" si="1"/>
        <v>0</v>
      </c>
      <c r="AD73" s="484">
        <f t="shared" si="1"/>
        <v>0</v>
      </c>
      <c r="AE73" s="484">
        <f t="shared" si="1"/>
        <v>0</v>
      </c>
      <c r="AF73" s="484">
        <f t="shared" si="1"/>
        <v>0</v>
      </c>
      <c r="AG73" s="484">
        <f t="shared" si="1"/>
        <v>0</v>
      </c>
      <c r="AH73" s="484">
        <f t="shared" si="1"/>
        <v>0</v>
      </c>
      <c r="AI73" s="484">
        <f t="shared" si="1"/>
        <v>0</v>
      </c>
      <c r="AJ73" s="484">
        <f t="shared" si="1"/>
        <v>0</v>
      </c>
      <c r="AK73" s="485"/>
      <c r="AM73" s="18" t="s">
        <v>729</v>
      </c>
      <c r="AN73" s="18">
        <v>0</v>
      </c>
      <c r="AO73" s="18">
        <v>0</v>
      </c>
      <c r="AP73" s="18">
        <v>0</v>
      </c>
      <c r="AQ73" s="18">
        <v>0</v>
      </c>
      <c r="AR73" s="18">
        <v>0</v>
      </c>
    </row>
    <row r="74" spans="1:44" s="18" customFormat="1">
      <c r="A74" s="17" t="s">
        <v>50</v>
      </c>
      <c r="B74" s="491">
        <f>AN72</f>
        <v>0</v>
      </c>
      <c r="C74" s="491">
        <f t="shared" ref="C74:F74" si="2">AO72</f>
        <v>0</v>
      </c>
      <c r="D74" s="491">
        <f t="shared" si="2"/>
        <v>0</v>
      </c>
      <c r="E74" s="491">
        <f t="shared" si="2"/>
        <v>0</v>
      </c>
      <c r="F74" s="491">
        <f t="shared" si="2"/>
        <v>0</v>
      </c>
      <c r="G74" s="484">
        <f t="shared" ref="G74:AJ74" si="3">G61*$AM60</f>
        <v>4.0118830000000002E-5</v>
      </c>
      <c r="H74" s="484">
        <f t="shared" si="3"/>
        <v>3.758199E-5</v>
      </c>
      <c r="I74" s="484">
        <f t="shared" si="3"/>
        <v>4.1090540000000005E-5</v>
      </c>
      <c r="J74" s="484">
        <f t="shared" si="3"/>
        <v>4.1090700000000003E-5</v>
      </c>
      <c r="K74" s="484">
        <f t="shared" si="3"/>
        <v>4.1077980000000001E-5</v>
      </c>
      <c r="L74" s="484">
        <f t="shared" si="3"/>
        <v>4.1001170000000001E-5</v>
      </c>
      <c r="M74" s="484">
        <f t="shared" si="3"/>
        <v>4.5077809999999998E-5</v>
      </c>
      <c r="N74" s="484">
        <f t="shared" si="3"/>
        <v>4.9009479999999998E-5</v>
      </c>
      <c r="O74" s="484">
        <f t="shared" si="3"/>
        <v>4.9156639999999999E-5</v>
      </c>
      <c r="P74" s="484">
        <f t="shared" si="3"/>
        <v>4.9143330000000003E-5</v>
      </c>
      <c r="Q74" s="484">
        <f t="shared" si="3"/>
        <v>4.913224E-5</v>
      </c>
      <c r="R74" s="484">
        <f t="shared" si="3"/>
        <v>4.9197499999999998E-5</v>
      </c>
      <c r="S74" s="484">
        <f t="shared" si="3"/>
        <v>4.9288E-5</v>
      </c>
      <c r="T74" s="484">
        <f t="shared" si="3"/>
        <v>4.9247540000000002E-5</v>
      </c>
      <c r="U74" s="484">
        <f t="shared" si="3"/>
        <v>4.9286719999999998E-5</v>
      </c>
      <c r="V74" s="484">
        <f t="shared" si="3"/>
        <v>4.9275430000000001E-5</v>
      </c>
      <c r="W74" s="484">
        <f t="shared" si="3"/>
        <v>5.3101979999999999E-5</v>
      </c>
      <c r="X74" s="484">
        <f t="shared" si="3"/>
        <v>5.550130000000001E-5</v>
      </c>
      <c r="Y74" s="484">
        <f t="shared" si="3"/>
        <v>5.5720200000000009E-5</v>
      </c>
      <c r="Z74" s="484">
        <f t="shared" si="3"/>
        <v>5.8294080000000007E-5</v>
      </c>
      <c r="AA74" s="484">
        <f t="shared" si="3"/>
        <v>6.0471730000000001E-5</v>
      </c>
      <c r="AB74" s="484">
        <f t="shared" si="3"/>
        <v>6.0445360000000006E-5</v>
      </c>
      <c r="AC74" s="484">
        <f t="shared" si="3"/>
        <v>6.0421290000000003E-5</v>
      </c>
      <c r="AD74" s="484">
        <f t="shared" si="3"/>
        <v>6.0398E-5</v>
      </c>
      <c r="AE74" s="484">
        <f t="shared" si="3"/>
        <v>6.0375640000000001E-5</v>
      </c>
      <c r="AF74" s="484">
        <f t="shared" si="3"/>
        <v>6.0354030000000001E-5</v>
      </c>
      <c r="AG74" s="484">
        <f t="shared" si="3"/>
        <v>6.0333230000000009E-5</v>
      </c>
      <c r="AH74" s="484">
        <f t="shared" si="3"/>
        <v>6.0313510000000005E-5</v>
      </c>
      <c r="AI74" s="484">
        <f t="shared" si="3"/>
        <v>6.0293980000000001E-5</v>
      </c>
      <c r="AJ74" s="484">
        <f t="shared" si="3"/>
        <v>6.0275830000000005E-5</v>
      </c>
      <c r="AK74" s="485"/>
      <c r="AM74" s="18" t="s">
        <v>730</v>
      </c>
      <c r="AN74" s="18">
        <v>0</v>
      </c>
      <c r="AO74" s="18">
        <v>0</v>
      </c>
      <c r="AP74" s="18">
        <v>0</v>
      </c>
      <c r="AQ74" s="18">
        <v>0</v>
      </c>
      <c r="AR74" s="18">
        <v>0</v>
      </c>
    </row>
    <row r="75" spans="1:44" s="18" customFormat="1">
      <c r="A75" s="17" t="s">
        <v>51</v>
      </c>
      <c r="B75" s="491">
        <f>AN77</f>
        <v>0</v>
      </c>
      <c r="C75" s="491">
        <f t="shared" ref="C75:F75" si="4">AO77</f>
        <v>0</v>
      </c>
      <c r="D75" s="491">
        <f t="shared" si="4"/>
        <v>0</v>
      </c>
      <c r="E75" s="491">
        <f t="shared" si="4"/>
        <v>0</v>
      </c>
      <c r="F75" s="491">
        <f t="shared" si="4"/>
        <v>0</v>
      </c>
      <c r="G75" s="484">
        <f t="shared" ref="G75:AJ75" si="5">G62*$AM65</f>
        <v>1.339353E-6</v>
      </c>
      <c r="H75" s="484">
        <f t="shared" si="5"/>
        <v>1.3868399999999998E-6</v>
      </c>
      <c r="I75" s="484">
        <f t="shared" si="5"/>
        <v>1.1280109999999999E-6</v>
      </c>
      <c r="J75" s="484">
        <f t="shared" si="5"/>
        <v>1.2137750000000001E-6</v>
      </c>
      <c r="K75" s="484">
        <f t="shared" si="5"/>
        <v>1.1110189999999997E-6</v>
      </c>
      <c r="L75" s="484">
        <f t="shared" si="5"/>
        <v>1.2996959999999999E-6</v>
      </c>
      <c r="M75" s="484">
        <f t="shared" si="5"/>
        <v>1.3086109999999999E-6</v>
      </c>
      <c r="N75" s="484">
        <f t="shared" si="5"/>
        <v>1.3088319999999999E-6</v>
      </c>
      <c r="O75" s="484">
        <f t="shared" si="5"/>
        <v>1.3002439999999998E-6</v>
      </c>
      <c r="P75" s="484">
        <f t="shared" si="5"/>
        <v>1.2998630000000001E-6</v>
      </c>
      <c r="Q75" s="484">
        <f t="shared" si="5"/>
        <v>1.2996369999999998E-6</v>
      </c>
      <c r="R75" s="484">
        <f t="shared" si="5"/>
        <v>1.308021E-6</v>
      </c>
      <c r="S75" s="484">
        <f t="shared" si="5"/>
        <v>1.2992279999999997E-6</v>
      </c>
      <c r="T75" s="484">
        <f t="shared" si="5"/>
        <v>1.299032E-6</v>
      </c>
      <c r="U75" s="484">
        <f t="shared" si="5"/>
        <v>1.3074349999999999E-6</v>
      </c>
      <c r="V75" s="484">
        <f t="shared" si="5"/>
        <v>1.2846369999999999E-6</v>
      </c>
      <c r="W75" s="484">
        <f t="shared" si="5"/>
        <v>1.298103E-6</v>
      </c>
      <c r="X75" s="484">
        <f t="shared" si="5"/>
        <v>1.297704E-6</v>
      </c>
      <c r="Y75" s="484">
        <f t="shared" si="5"/>
        <v>1.297244E-6</v>
      </c>
      <c r="Z75" s="484">
        <f t="shared" si="5"/>
        <v>1.2967479999999999E-6</v>
      </c>
      <c r="AA75" s="484">
        <f t="shared" si="5"/>
        <v>1.296254E-6</v>
      </c>
      <c r="AB75" s="484">
        <f t="shared" si="5"/>
        <v>1.3044589999999999E-6</v>
      </c>
      <c r="AC75" s="484">
        <f t="shared" si="5"/>
        <v>1.316171E-6</v>
      </c>
      <c r="AD75" s="484">
        <f t="shared" si="5"/>
        <v>1.3335859999999999E-6</v>
      </c>
      <c r="AE75" s="484">
        <f t="shared" si="5"/>
        <v>1.3332429999999999E-6</v>
      </c>
      <c r="AF75" s="484">
        <f t="shared" si="5"/>
        <v>1.332907E-6</v>
      </c>
      <c r="AG75" s="484">
        <f t="shared" si="5"/>
        <v>1.3581589999999999E-6</v>
      </c>
      <c r="AH75" s="484">
        <f t="shared" si="5"/>
        <v>1.3578999999999997E-6</v>
      </c>
      <c r="AI75" s="484">
        <f t="shared" si="5"/>
        <v>1.3576220000000001E-6</v>
      </c>
      <c r="AJ75" s="484">
        <f t="shared" si="5"/>
        <v>1.3573469999999997E-6</v>
      </c>
      <c r="AK75" s="485"/>
      <c r="AM75" s="18" t="s">
        <v>143</v>
      </c>
      <c r="AN75" s="18">
        <v>0</v>
      </c>
      <c r="AO75" s="18">
        <v>0</v>
      </c>
      <c r="AP75" s="18">
        <v>0</v>
      </c>
      <c r="AQ75" s="18">
        <v>0</v>
      </c>
      <c r="AR75" s="18">
        <v>0</v>
      </c>
    </row>
    <row r="76" spans="1:44" s="18" customFormat="1">
      <c r="A76" s="17" t="s">
        <v>56</v>
      </c>
      <c r="B76" s="492">
        <f>AN76</f>
        <v>1.5349999999999999</v>
      </c>
      <c r="C76" s="492">
        <f t="shared" ref="C76:F76" si="6">AO76</f>
        <v>1.488</v>
      </c>
      <c r="D76" s="492">
        <f t="shared" si="6"/>
        <v>1.3859999999999999</v>
      </c>
      <c r="E76" s="492">
        <f t="shared" si="6"/>
        <v>1.417</v>
      </c>
      <c r="F76" s="492">
        <f t="shared" si="6"/>
        <v>1.5029999999999999</v>
      </c>
      <c r="G76" s="492">
        <f>G63*$AM64</f>
        <v>1.5410110997900195</v>
      </c>
      <c r="H76" s="492">
        <f t="shared" ref="H76:AJ76" si="7">H63*$AM64</f>
        <v>1.488092867616301</v>
      </c>
      <c r="I76" s="492">
        <f t="shared" si="7"/>
        <v>1.6483033888195799</v>
      </c>
      <c r="J76" s="492">
        <f t="shared" si="7"/>
        <v>1.6958796445692275</v>
      </c>
      <c r="K76" s="492">
        <f t="shared" si="7"/>
        <v>1.7581439639312995</v>
      </c>
      <c r="L76" s="492">
        <f t="shared" si="7"/>
        <v>1.8602194533314698</v>
      </c>
      <c r="M76" s="492">
        <f t="shared" si="7"/>
        <v>2.0173942825971891</v>
      </c>
      <c r="N76" s="492">
        <f t="shared" si="7"/>
        <v>2.1077049061849356</v>
      </c>
      <c r="O76" s="492">
        <f t="shared" si="7"/>
        <v>2.1924009277760113</v>
      </c>
      <c r="P76" s="492">
        <f t="shared" si="7"/>
        <v>2.3002216608523089</v>
      </c>
      <c r="Q76" s="492">
        <f t="shared" si="7"/>
        <v>2.4666391569397716</v>
      </c>
      <c r="R76" s="492">
        <f t="shared" si="7"/>
        <v>2.579541304858461</v>
      </c>
      <c r="S76" s="492">
        <f t="shared" si="7"/>
        <v>2.9032752016606524</v>
      </c>
      <c r="T76" s="492">
        <f t="shared" si="7"/>
        <v>3.0294481520361756</v>
      </c>
      <c r="U76" s="492">
        <f t="shared" si="7"/>
        <v>3.4207782397432265</v>
      </c>
      <c r="V76" s="492">
        <f t="shared" si="7"/>
        <v>3.5358895415548619</v>
      </c>
      <c r="W76" s="492">
        <f t="shared" si="7"/>
        <v>3.6142613510166521</v>
      </c>
      <c r="X76" s="492">
        <f t="shared" si="7"/>
        <v>3.6873547004510141</v>
      </c>
      <c r="Y76" s="492">
        <f t="shared" si="7"/>
        <v>4.1298061043508092</v>
      </c>
      <c r="Z76" s="492">
        <f t="shared" si="7"/>
        <v>4.196911589847196</v>
      </c>
      <c r="AA76" s="492">
        <f t="shared" si="7"/>
        <v>4.2531258693180858</v>
      </c>
      <c r="AB76" s="492">
        <f t="shared" si="7"/>
        <v>4.2953150891220186</v>
      </c>
      <c r="AC76" s="492">
        <f t="shared" si="7"/>
        <v>4.3518703567807249</v>
      </c>
      <c r="AD76" s="492">
        <f t="shared" si="7"/>
        <v>4.4169137247179506</v>
      </c>
      <c r="AE76" s="492">
        <f t="shared" si="7"/>
        <v>4.4723800367517601</v>
      </c>
      <c r="AF76" s="492">
        <f t="shared" si="7"/>
        <v>4.5496099946284652</v>
      </c>
      <c r="AG76" s="492">
        <f t="shared" si="7"/>
        <v>4.6330059923090499</v>
      </c>
      <c r="AH76" s="492">
        <f t="shared" si="7"/>
        <v>4.7290389689234846</v>
      </c>
      <c r="AI76" s="492">
        <f t="shared" si="7"/>
        <v>4.8290674980864203</v>
      </c>
      <c r="AJ76" s="492">
        <f t="shared" si="7"/>
        <v>4.9191043618801977</v>
      </c>
      <c r="AK76" s="485"/>
      <c r="AM76" s="18" t="s">
        <v>746</v>
      </c>
      <c r="AN76" s="18">
        <v>1.5349999999999999</v>
      </c>
      <c r="AO76" s="18">
        <v>1.488</v>
      </c>
      <c r="AP76" s="18">
        <v>1.3859999999999999</v>
      </c>
      <c r="AQ76" s="18">
        <v>1.417</v>
      </c>
      <c r="AR76" s="18">
        <v>1.5029999999999999</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750</v>
      </c>
      <c r="AN77" s="18">
        <v>0</v>
      </c>
      <c r="AO77" s="18">
        <v>0</v>
      </c>
      <c r="AP77" s="18">
        <v>0</v>
      </c>
      <c r="AQ77" s="18">
        <v>0</v>
      </c>
      <c r="AR77" s="18">
        <v>0</v>
      </c>
    </row>
    <row r="78" spans="1:44" s="18" customFormat="1">
      <c r="A78" s="17" t="s">
        <v>53</v>
      </c>
      <c r="B78" s="491">
        <f>AN75</f>
        <v>0</v>
      </c>
      <c r="C78" s="491">
        <f t="shared" ref="C78:F78" si="10">AO75</f>
        <v>0</v>
      </c>
      <c r="D78" s="491">
        <f t="shared" si="10"/>
        <v>0</v>
      </c>
      <c r="E78" s="491">
        <f t="shared" si="10"/>
        <v>0</v>
      </c>
      <c r="F78" s="491">
        <f t="shared" si="10"/>
        <v>0</v>
      </c>
      <c r="G78" s="484">
        <f t="shared" ref="G78:AJ78" si="11">G65*$AM63</f>
        <v>3.8983921000000002E-5</v>
      </c>
      <c r="H78" s="484">
        <f t="shared" si="11"/>
        <v>4.3605923000000005E-5</v>
      </c>
      <c r="I78" s="484">
        <f t="shared" si="11"/>
        <v>4.6780897999999992E-5</v>
      </c>
      <c r="J78" s="484">
        <f t="shared" si="11"/>
        <v>4.7040753000000003E-5</v>
      </c>
      <c r="K78" s="484">
        <f t="shared" si="11"/>
        <v>5.9372953999999996E-5</v>
      </c>
      <c r="L78" s="484">
        <f t="shared" si="11"/>
        <v>6.7380639999999999E-5</v>
      </c>
      <c r="M78" s="484">
        <f t="shared" si="11"/>
        <v>6.7380969999999982E-5</v>
      </c>
      <c r="N78" s="484">
        <f t="shared" si="11"/>
        <v>6.7371153999999984E-5</v>
      </c>
      <c r="O78" s="484">
        <f t="shared" si="11"/>
        <v>6.738362699999999E-5</v>
      </c>
      <c r="P78" s="484">
        <f t="shared" si="11"/>
        <v>6.7387489999999991E-5</v>
      </c>
      <c r="Q78" s="484">
        <f t="shared" si="11"/>
        <v>6.7393857999999997E-5</v>
      </c>
      <c r="R78" s="484">
        <f t="shared" si="11"/>
        <v>6.7421112999999986E-5</v>
      </c>
      <c r="S78" s="484">
        <f t="shared" si="11"/>
        <v>6.7413719E-5</v>
      </c>
      <c r="T78" s="484">
        <f t="shared" si="11"/>
        <v>6.7409741999999994E-5</v>
      </c>
      <c r="U78" s="484">
        <f t="shared" si="11"/>
        <v>6.7406160999999992E-5</v>
      </c>
      <c r="V78" s="484">
        <f t="shared" si="11"/>
        <v>6.7415045999999997E-5</v>
      </c>
      <c r="W78" s="484">
        <f t="shared" si="11"/>
        <v>6.7431210999999982E-5</v>
      </c>
      <c r="X78" s="484">
        <f t="shared" si="11"/>
        <v>6.7428821999999987E-5</v>
      </c>
      <c r="Y78" s="484">
        <f t="shared" si="11"/>
        <v>6.7500607000000001E-5</v>
      </c>
      <c r="Z78" s="484">
        <f t="shared" si="11"/>
        <v>6.7593868000000003E-5</v>
      </c>
      <c r="AA78" s="484">
        <f t="shared" si="11"/>
        <v>6.7692880999999992E-5</v>
      </c>
      <c r="AB78" s="484">
        <f t="shared" si="11"/>
        <v>6.7802678E-5</v>
      </c>
      <c r="AC78" s="484">
        <f t="shared" si="11"/>
        <v>6.7932296000000009E-5</v>
      </c>
      <c r="AD78" s="484">
        <f t="shared" si="11"/>
        <v>6.8157133000000002E-5</v>
      </c>
      <c r="AE78" s="484">
        <f t="shared" si="11"/>
        <v>6.8263564000000003E-5</v>
      </c>
      <c r="AF78" s="484">
        <f t="shared" si="11"/>
        <v>6.8268462999999997E-5</v>
      </c>
      <c r="AG78" s="484">
        <f t="shared" si="11"/>
        <v>6.8581467000000004E-5</v>
      </c>
      <c r="AH78" s="484">
        <f t="shared" si="11"/>
        <v>6.8813840999999994E-5</v>
      </c>
      <c r="AI78" s="484">
        <f t="shared" si="11"/>
        <v>6.920889599999999E-5</v>
      </c>
      <c r="AJ78" s="484">
        <f t="shared" si="11"/>
        <v>6.9860670999999987E-5</v>
      </c>
      <c r="AK78" s="485"/>
      <c r="AM78" s="18" t="s">
        <v>751</v>
      </c>
      <c r="AN78" s="18">
        <v>6.0000000000000001E-3</v>
      </c>
      <c r="AO78" s="18">
        <v>5.0000000000000001E-3</v>
      </c>
      <c r="AP78" s="18">
        <v>5.0000000000000001E-3</v>
      </c>
      <c r="AQ78" s="18">
        <v>7.0000000000000001E-3</v>
      </c>
      <c r="AR78" s="18">
        <v>1E-3</v>
      </c>
    </row>
    <row r="79" spans="1:44" s="18" customFormat="1">
      <c r="A79" s="17" t="s">
        <v>54</v>
      </c>
      <c r="B79" s="493">
        <f>AN79</f>
        <v>1.5409999999999999</v>
      </c>
      <c r="C79" s="493">
        <f t="shared" ref="C79:F79" si="12">AO79</f>
        <v>1.4930000000000001</v>
      </c>
      <c r="D79" s="493">
        <f t="shared" si="12"/>
        <v>1.391</v>
      </c>
      <c r="E79" s="493">
        <f t="shared" si="12"/>
        <v>1.4239999999999999</v>
      </c>
      <c r="F79" s="493">
        <f t="shared" si="12"/>
        <v>1.504</v>
      </c>
      <c r="G79" s="486">
        <f>SUM(G73:G78)</f>
        <v>1.5410915418940194</v>
      </c>
      <c r="H79" s="486">
        <f t="shared" ref="H79:AJ79" si="13">SUM(H73:H78)</f>
        <v>1.488175442369301</v>
      </c>
      <c r="I79" s="486">
        <f t="shared" si="13"/>
        <v>1.64839238826858</v>
      </c>
      <c r="J79" s="486">
        <f t="shared" si="13"/>
        <v>1.6959689897972274</v>
      </c>
      <c r="K79" s="486">
        <f t="shared" si="13"/>
        <v>1.7582455258842995</v>
      </c>
      <c r="L79" s="486">
        <f t="shared" si="13"/>
        <v>1.8603291348374698</v>
      </c>
      <c r="M79" s="486">
        <f t="shared" si="13"/>
        <v>2.017508049988189</v>
      </c>
      <c r="N79" s="486">
        <f t="shared" si="13"/>
        <v>2.1078225956509358</v>
      </c>
      <c r="O79" s="486">
        <f t="shared" si="13"/>
        <v>2.1925187682870111</v>
      </c>
      <c r="P79" s="486">
        <f t="shared" si="13"/>
        <v>2.300339491535309</v>
      </c>
      <c r="Q79" s="486">
        <f t="shared" si="13"/>
        <v>2.4667569826747715</v>
      </c>
      <c r="R79" s="486">
        <f t="shared" si="13"/>
        <v>2.5796592314924611</v>
      </c>
      <c r="S79" s="486">
        <f t="shared" si="13"/>
        <v>2.9033932026076523</v>
      </c>
      <c r="T79" s="486">
        <f t="shared" si="13"/>
        <v>3.0295661083501755</v>
      </c>
      <c r="U79" s="486">
        <f t="shared" si="13"/>
        <v>3.4208962400592267</v>
      </c>
      <c r="V79" s="486">
        <f t="shared" si="13"/>
        <v>3.5360075166678619</v>
      </c>
      <c r="W79" s="486">
        <f t="shared" si="13"/>
        <v>3.614383182310652</v>
      </c>
      <c r="X79" s="486">
        <f t="shared" si="13"/>
        <v>3.6874789282770144</v>
      </c>
      <c r="Y79" s="486">
        <f t="shared" si="13"/>
        <v>4.1299306224018091</v>
      </c>
      <c r="Z79" s="486">
        <f t="shared" si="13"/>
        <v>4.1970387745431958</v>
      </c>
      <c r="AA79" s="486">
        <f t="shared" si="13"/>
        <v>4.2532553301830855</v>
      </c>
      <c r="AB79" s="486">
        <f t="shared" si="13"/>
        <v>4.2954446416190191</v>
      </c>
      <c r="AC79" s="486">
        <f t="shared" si="13"/>
        <v>4.3520000265377252</v>
      </c>
      <c r="AD79" s="486">
        <f t="shared" si="13"/>
        <v>4.4170436134369506</v>
      </c>
      <c r="AE79" s="486">
        <f t="shared" si="13"/>
        <v>4.4725100091987597</v>
      </c>
      <c r="AF79" s="486">
        <f t="shared" si="13"/>
        <v>4.5497399500284654</v>
      </c>
      <c r="AG79" s="486">
        <f t="shared" si="13"/>
        <v>4.6331362651650494</v>
      </c>
      <c r="AH79" s="486">
        <f t="shared" si="13"/>
        <v>4.7291694541744844</v>
      </c>
      <c r="AI79" s="486">
        <f t="shared" si="13"/>
        <v>4.8291983585844198</v>
      </c>
      <c r="AJ79" s="486">
        <f t="shared" si="13"/>
        <v>4.9192358557281981</v>
      </c>
      <c r="AK79" s="487"/>
      <c r="AM79" s="18" t="s">
        <v>58</v>
      </c>
      <c r="AN79" s="18">
        <v>1.5409999999999999</v>
      </c>
      <c r="AO79" s="18">
        <v>1.4930000000000001</v>
      </c>
      <c r="AP79" s="18">
        <v>1.391</v>
      </c>
      <c r="AQ79" s="18">
        <v>1.4239999999999999</v>
      </c>
      <c r="AR79" s="18">
        <v>1.504</v>
      </c>
    </row>
    <row r="80" spans="1:44" s="255" customFormat="1">
      <c r="A80" s="254" t="s">
        <v>57</v>
      </c>
      <c r="B80" s="474">
        <f>B79*1000</f>
        <v>1541</v>
      </c>
      <c r="C80" s="474">
        <f t="shared" ref="C80:AJ80" si="14">C79*1000</f>
        <v>1493</v>
      </c>
      <c r="D80" s="474">
        <f t="shared" si="14"/>
        <v>1391</v>
      </c>
      <c r="E80" s="474">
        <f t="shared" si="14"/>
        <v>1424</v>
      </c>
      <c r="F80" s="474">
        <f t="shared" si="14"/>
        <v>1504</v>
      </c>
      <c r="G80" s="276">
        <f t="shared" si="14"/>
        <v>1541.0915418940194</v>
      </c>
      <c r="H80" s="276">
        <f t="shared" si="14"/>
        <v>1488.175442369301</v>
      </c>
      <c r="I80" s="276">
        <f t="shared" si="14"/>
        <v>1648.3923882685801</v>
      </c>
      <c r="J80" s="276">
        <f t="shared" si="14"/>
        <v>1695.9689897972273</v>
      </c>
      <c r="K80" s="276">
        <f t="shared" si="14"/>
        <v>1758.2455258842995</v>
      </c>
      <c r="L80" s="276">
        <f t="shared" si="14"/>
        <v>1860.3291348374698</v>
      </c>
      <c r="M80" s="276">
        <f t="shared" si="14"/>
        <v>2017.508049988189</v>
      </c>
      <c r="N80" s="276">
        <f t="shared" si="14"/>
        <v>2107.8225956509359</v>
      </c>
      <c r="O80" s="276">
        <f t="shared" si="14"/>
        <v>2192.518768287011</v>
      </c>
      <c r="P80" s="276">
        <f t="shared" si="14"/>
        <v>2300.3394915353092</v>
      </c>
      <c r="Q80" s="276">
        <f t="shared" si="14"/>
        <v>2466.7569826747713</v>
      </c>
      <c r="R80" s="276">
        <f t="shared" si="14"/>
        <v>2579.659231492461</v>
      </c>
      <c r="S80" s="276">
        <f t="shared" si="14"/>
        <v>2903.3932026076523</v>
      </c>
      <c r="T80" s="276">
        <f t="shared" si="14"/>
        <v>3029.5661083501755</v>
      </c>
      <c r="U80" s="276">
        <f t="shared" si="14"/>
        <v>3420.8962400592268</v>
      </c>
      <c r="V80" s="276">
        <f t="shared" si="14"/>
        <v>3536.0075166678621</v>
      </c>
      <c r="W80" s="276">
        <f t="shared" si="14"/>
        <v>3614.383182310652</v>
      </c>
      <c r="X80" s="276">
        <f t="shared" si="14"/>
        <v>3687.4789282770143</v>
      </c>
      <c r="Y80" s="276">
        <f t="shared" si="14"/>
        <v>4129.9306224018092</v>
      </c>
      <c r="Z80" s="276">
        <f t="shared" si="14"/>
        <v>4197.0387745431963</v>
      </c>
      <c r="AA80" s="276">
        <f t="shared" si="14"/>
        <v>4253.2553301830858</v>
      </c>
      <c r="AB80" s="276">
        <f t="shared" si="14"/>
        <v>4295.4446416190194</v>
      </c>
      <c r="AC80" s="276">
        <f t="shared" si="14"/>
        <v>4352.0000265377248</v>
      </c>
      <c r="AD80" s="276">
        <f t="shared" si="14"/>
        <v>4417.0436134369502</v>
      </c>
      <c r="AE80" s="276">
        <f t="shared" si="14"/>
        <v>4472.5100091987597</v>
      </c>
      <c r="AF80" s="276">
        <f t="shared" si="14"/>
        <v>4549.7399500284655</v>
      </c>
      <c r="AG80" s="276">
        <f t="shared" si="14"/>
        <v>4633.1362651650497</v>
      </c>
      <c r="AH80" s="276">
        <f t="shared" si="14"/>
        <v>4729.1694541744846</v>
      </c>
      <c r="AI80" s="276">
        <f t="shared" si="14"/>
        <v>4829.19835858442</v>
      </c>
      <c r="AJ80" s="276">
        <f t="shared" si="14"/>
        <v>4919.2358557281977</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2.6032736478907344E-5</v>
      </c>
      <c r="H81" s="260">
        <f t="shared" si="15"/>
        <v>2.5253736172508194E-5</v>
      </c>
      <c r="I81" s="260">
        <f t="shared" si="15"/>
        <v>2.4927644832890928E-5</v>
      </c>
      <c r="J81" s="260">
        <f t="shared" si="15"/>
        <v>2.4228450076149604E-5</v>
      </c>
      <c r="K81" s="260">
        <f t="shared" si="15"/>
        <v>2.3363051061563242E-5</v>
      </c>
      <c r="L81" s="260">
        <f t="shared" si="15"/>
        <v>2.2039739760126976E-5</v>
      </c>
      <c r="M81" s="260">
        <f t="shared" si="15"/>
        <v>2.2343311096212921E-5</v>
      </c>
      <c r="N81" s="260">
        <f t="shared" si="15"/>
        <v>2.3251235706990291E-5</v>
      </c>
      <c r="O81" s="260">
        <f t="shared" si="15"/>
        <v>2.2420168397648655E-5</v>
      </c>
      <c r="P81" s="260">
        <f t="shared" si="15"/>
        <v>2.1363511855895849E-5</v>
      </c>
      <c r="Q81" s="260">
        <f t="shared" si="15"/>
        <v>1.9917746395400726E-5</v>
      </c>
      <c r="R81" s="260">
        <f t="shared" ref="R81:AJ82" si="16">R74/SUM(R$74:R$78)</f>
        <v>1.907131740479412E-5</v>
      </c>
      <c r="S81" s="260">
        <f t="shared" si="16"/>
        <v>1.6975998964154252E-5</v>
      </c>
      <c r="T81" s="260">
        <f t="shared" si="16"/>
        <v>1.6255641315851318E-5</v>
      </c>
      <c r="U81" s="260">
        <f t="shared" si="16"/>
        <v>1.4407546017574239E-5</v>
      </c>
      <c r="V81" s="260">
        <f t="shared" si="16"/>
        <v>1.3935329539806646E-5</v>
      </c>
      <c r="W81" s="260">
        <f t="shared" si="16"/>
        <v>1.4691851229246879E-5</v>
      </c>
      <c r="X81" s="260">
        <f t="shared" si="16"/>
        <v>1.5051286008550335E-5</v>
      </c>
      <c r="Y81" s="260">
        <f t="shared" si="16"/>
        <v>1.3491800491213888E-5</v>
      </c>
      <c r="Z81" s="260">
        <f t="shared" si="16"/>
        <v>1.3889335584311992E-5</v>
      </c>
      <c r="AA81" s="260">
        <f t="shared" si="16"/>
        <v>1.4217752122912624E-5</v>
      </c>
      <c r="AB81" s="260">
        <f t="shared" si="16"/>
        <v>1.4071968106476916E-5</v>
      </c>
      <c r="AC81" s="260">
        <f t="shared" si="16"/>
        <v>1.3883568389605165E-5</v>
      </c>
      <c r="AD81" s="260">
        <f t="shared" si="16"/>
        <v>1.3673851853367516E-5</v>
      </c>
      <c r="AE81" s="260">
        <f t="shared" si="16"/>
        <v>1.3499274428860622E-5</v>
      </c>
      <c r="AF81" s="260">
        <f t="shared" si="16"/>
        <v>1.3265380145434993E-5</v>
      </c>
      <c r="AG81" s="260">
        <f t="shared" si="16"/>
        <v>1.3022114297311892E-5</v>
      </c>
      <c r="AH81" s="260">
        <f t="shared" si="16"/>
        <v>1.275351001575143E-5</v>
      </c>
      <c r="AI81" s="260">
        <f t="shared" si="16"/>
        <v>1.2485297874091454E-5</v>
      </c>
      <c r="AJ81" s="260">
        <f t="shared" si="16"/>
        <v>1.2253088033949804E-5</v>
      </c>
      <c r="AK81" s="322"/>
    </row>
    <row r="82" spans="1:37" s="256" customFormat="1">
      <c r="A82" s="257" t="s">
        <v>340</v>
      </c>
      <c r="B82" s="260">
        <f t="shared" si="15"/>
        <v>0</v>
      </c>
      <c r="C82" s="260">
        <f t="shared" ref="C82:AA82" si="17">C75/SUM(C$74:C$78)</f>
        <v>0</v>
      </c>
      <c r="D82" s="260">
        <f t="shared" si="17"/>
        <v>0</v>
      </c>
      <c r="E82" s="260">
        <f t="shared" si="17"/>
        <v>0</v>
      </c>
      <c r="F82" s="260">
        <f t="shared" si="17"/>
        <v>0</v>
      </c>
      <c r="G82" s="260">
        <f t="shared" si="17"/>
        <v>8.6909373232554345E-7</v>
      </c>
      <c r="H82" s="260">
        <f t="shared" si="17"/>
        <v>9.3190625279505577E-7</v>
      </c>
      <c r="I82" s="260">
        <f t="shared" si="17"/>
        <v>6.8430976024150868E-7</v>
      </c>
      <c r="J82" s="260">
        <f t="shared" si="17"/>
        <v>7.1568230746077541E-7</v>
      </c>
      <c r="K82" s="260">
        <f t="shared" si="17"/>
        <v>6.3189070220509683E-7</v>
      </c>
      <c r="L82" s="260">
        <f t="shared" si="17"/>
        <v>6.9863766344418927E-7</v>
      </c>
      <c r="M82" s="260">
        <f t="shared" si="17"/>
        <v>6.4862739953263676E-7</v>
      </c>
      <c r="N82" s="260">
        <f t="shared" si="17"/>
        <v>6.2094030242417423E-7</v>
      </c>
      <c r="O82" s="260">
        <f t="shared" si="17"/>
        <v>5.9303665665579002E-7</v>
      </c>
      <c r="P82" s="261">
        <f t="shared" si="17"/>
        <v>5.6507441826877314E-7</v>
      </c>
      <c r="Q82" s="260">
        <f t="shared" si="17"/>
        <v>5.2686057407680599E-7</v>
      </c>
      <c r="R82" s="260">
        <f t="shared" si="17"/>
        <v>5.0705185554420875E-7</v>
      </c>
      <c r="S82" s="260">
        <f t="shared" si="17"/>
        <v>4.4748606521263175E-7</v>
      </c>
      <c r="T82" s="260">
        <f t="shared" si="17"/>
        <v>4.2878483371581543E-7</v>
      </c>
      <c r="U82" s="260">
        <f t="shared" si="17"/>
        <v>3.8219077933137314E-7</v>
      </c>
      <c r="V82" s="260">
        <f t="shared" si="17"/>
        <v>3.633015467146322E-7</v>
      </c>
      <c r="W82" s="260">
        <f t="shared" si="17"/>
        <v>3.5914924747135722E-7</v>
      </c>
      <c r="X82" s="260">
        <f t="shared" si="17"/>
        <v>3.5192173982302756E-7</v>
      </c>
      <c r="Y82" s="260">
        <f t="shared" si="17"/>
        <v>3.1410793996475723E-7</v>
      </c>
      <c r="Z82" s="260">
        <f t="shared" si="17"/>
        <v>3.0896736238543266E-7</v>
      </c>
      <c r="AA82" s="260">
        <f t="shared" si="17"/>
        <v>3.0476750144793245E-7</v>
      </c>
      <c r="AB82" s="260">
        <f t="shared" si="16"/>
        <v>3.0368427691069703E-7</v>
      </c>
      <c r="AC82" s="260">
        <f t="shared" si="16"/>
        <v>3.0242899631760628E-7</v>
      </c>
      <c r="AD82" s="260">
        <f t="shared" si="16"/>
        <v>3.0191823235413377E-7</v>
      </c>
      <c r="AE82" s="260">
        <f t="shared" si="16"/>
        <v>2.9809726468087825E-7</v>
      </c>
      <c r="AF82" s="260">
        <f t="shared" si="16"/>
        <v>2.9296333738627427E-7</v>
      </c>
      <c r="AG82" s="260">
        <f t="shared" si="16"/>
        <v>2.9314030977494187E-7</v>
      </c>
      <c r="AH82" s="260">
        <f t="shared" si="16"/>
        <v>2.8713287040314616E-7</v>
      </c>
      <c r="AI82" s="260">
        <f t="shared" si="16"/>
        <v>2.8112781857193354E-7</v>
      </c>
      <c r="AJ82" s="260">
        <f t="shared" si="16"/>
        <v>2.7592639178286983E-7</v>
      </c>
      <c r="AK82" s="322"/>
    </row>
    <row r="83" spans="1:37" s="256" customFormat="1">
      <c r="A83" s="257" t="s">
        <v>336</v>
      </c>
      <c r="B83" s="260">
        <f>B76/SUM(B$74:B$78)</f>
        <v>1</v>
      </c>
      <c r="C83" s="260">
        <f t="shared" ref="C83:AJ83" si="18">C76/SUM(C$74:C$78)</f>
        <v>1</v>
      </c>
      <c r="D83" s="260">
        <f t="shared" si="18"/>
        <v>1</v>
      </c>
      <c r="E83" s="260">
        <f t="shared" si="18"/>
        <v>1</v>
      </c>
      <c r="F83" s="260">
        <f t="shared" si="18"/>
        <v>1</v>
      </c>
      <c r="G83" s="260">
        <f t="shared" si="18"/>
        <v>0.99994780186522791</v>
      </c>
      <c r="H83" s="260">
        <f t="shared" si="18"/>
        <v>0.99994451275659502</v>
      </c>
      <c r="I83" s="260">
        <f t="shared" si="18"/>
        <v>0.99994600833537362</v>
      </c>
      <c r="J83" s="260">
        <f t="shared" si="18"/>
        <v>0.99994731906742551</v>
      </c>
      <c r="K83" s="260">
        <f t="shared" si="18"/>
        <v>0.99994223676300897</v>
      </c>
      <c r="L83" s="260">
        <f t="shared" si="18"/>
        <v>0.99994104188127464</v>
      </c>
      <c r="M83" s="260">
        <f t="shared" si="18"/>
        <v>0.99994360994445575</v>
      </c>
      <c r="N83" s="260">
        <f t="shared" si="18"/>
        <v>0.99994416538363184</v>
      </c>
      <c r="O83" s="260">
        <f t="shared" si="18"/>
        <v>0.99994625336270582</v>
      </c>
      <c r="P83" s="261">
        <f t="shared" si="18"/>
        <v>0.99994877682905781</v>
      </c>
      <c r="Q83" s="260">
        <f t="shared" si="18"/>
        <v>0.99995223455904758</v>
      </c>
      <c r="R83" s="260">
        <f t="shared" si="18"/>
        <v>0.99995428596437841</v>
      </c>
      <c r="S83" s="260">
        <f t="shared" si="18"/>
        <v>0.99995935757275523</v>
      </c>
      <c r="T83" s="260">
        <f t="shared" si="18"/>
        <v>0.99996106494798886</v>
      </c>
      <c r="U83" s="260">
        <f t="shared" si="18"/>
        <v>0.99996550602306544</v>
      </c>
      <c r="V83" s="260">
        <f t="shared" si="18"/>
        <v>0.99996663606837821</v>
      </c>
      <c r="W83" s="260">
        <f t="shared" si="18"/>
        <v>0.99996629264583892</v>
      </c>
      <c r="X83" s="260">
        <f t="shared" si="18"/>
        <v>0.99996631090552202</v>
      </c>
      <c r="Y83" s="260">
        <f t="shared" si="18"/>
        <v>0.99996984984437165</v>
      </c>
      <c r="Z83" s="260">
        <f t="shared" si="18"/>
        <v>0.99996969656397472</v>
      </c>
      <c r="AA83" s="260">
        <f t="shared" si="18"/>
        <v>0.99996956193434217</v>
      </c>
      <c r="AB83" s="260">
        <f t="shared" si="18"/>
        <v>0.99996983956078833</v>
      </c>
      <c r="AC83" s="260">
        <f t="shared" si="18"/>
        <v>0.99997020455969443</v>
      </c>
      <c r="AD83" s="260">
        <f t="shared" si="18"/>
        <v>0.99997059374315322</v>
      </c>
      <c r="AE83" s="260">
        <f t="shared" si="18"/>
        <v>0.99997093970796436</v>
      </c>
      <c r="AF83" s="260">
        <f t="shared" si="18"/>
        <v>0.99997143674112643</v>
      </c>
      <c r="AG83" s="260">
        <f t="shared" si="18"/>
        <v>0.99997188236033996</v>
      </c>
      <c r="AH83" s="260">
        <f t="shared" si="18"/>
        <v>0.99997240842133817</v>
      </c>
      <c r="AI83" s="260">
        <f t="shared" si="18"/>
        <v>0.99997290223174062</v>
      </c>
      <c r="AJ83" s="260">
        <f t="shared" si="18"/>
        <v>0.99997326945650566</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v>
      </c>
      <c r="C85" s="260">
        <f t="shared" ref="C85:AJ85" si="20">C78/SUM(C$74:C$78)</f>
        <v>0</v>
      </c>
      <c r="D85" s="260">
        <f t="shared" si="20"/>
        <v>0</v>
      </c>
      <c r="E85" s="260">
        <f t="shared" si="20"/>
        <v>0</v>
      </c>
      <c r="F85" s="260">
        <f t="shared" si="20"/>
        <v>0</v>
      </c>
      <c r="G85" s="260">
        <f t="shared" si="20"/>
        <v>2.5296304560914214E-5</v>
      </c>
      <c r="H85" s="260">
        <f t="shared" si="20"/>
        <v>2.9301600979636979E-5</v>
      </c>
      <c r="I85" s="260">
        <f t="shared" si="20"/>
        <v>2.837971003320222E-5</v>
      </c>
      <c r="J85" s="260">
        <f t="shared" si="20"/>
        <v>2.7736800190918741E-5</v>
      </c>
      <c r="K85" s="260">
        <f t="shared" si="20"/>
        <v>3.3768295227220166E-5</v>
      </c>
      <c r="L85" s="260">
        <f t="shared" si="20"/>
        <v>3.6219741301792168E-5</v>
      </c>
      <c r="M85" s="260">
        <f t="shared" si="20"/>
        <v>3.3398117048600848E-5</v>
      </c>
      <c r="N85" s="260">
        <f t="shared" si="20"/>
        <v>3.1962440358598818E-5</v>
      </c>
      <c r="O85" s="260">
        <f t="shared" si="20"/>
        <v>3.0733432239964821E-5</v>
      </c>
      <c r="P85" s="261">
        <f t="shared" si="20"/>
        <v>2.9294584668032522E-5</v>
      </c>
      <c r="Q85" s="260">
        <f t="shared" si="20"/>
        <v>2.7320833982974279E-5</v>
      </c>
      <c r="R85" s="260">
        <f t="shared" si="20"/>
        <v>2.6135666361247848E-5</v>
      </c>
      <c r="S85" s="260">
        <f t="shared" si="20"/>
        <v>2.3218942215423342E-5</v>
      </c>
      <c r="T85" s="260">
        <f t="shared" si="20"/>
        <v>2.2250625861638525E-5</v>
      </c>
      <c r="U85" s="260">
        <f t="shared" si="20"/>
        <v>1.9704240137617554E-5</v>
      </c>
      <c r="V85" s="260">
        <f t="shared" si="20"/>
        <v>1.906530053520028E-5</v>
      </c>
      <c r="W85" s="260">
        <f t="shared" si="20"/>
        <v>1.8656353684362721E-5</v>
      </c>
      <c r="X85" s="260">
        <f t="shared" si="20"/>
        <v>1.8285886729529408E-5</v>
      </c>
      <c r="Y85" s="260">
        <f t="shared" si="20"/>
        <v>1.6344247197243291E-5</v>
      </c>
      <c r="Z85" s="260">
        <f t="shared" si="20"/>
        <v>1.6105133078585125E-5</v>
      </c>
      <c r="AA85" s="260">
        <f t="shared" si="20"/>
        <v>1.5915546033556863E-5</v>
      </c>
      <c r="AB85" s="260">
        <f t="shared" si="20"/>
        <v>1.5784786828132451E-5</v>
      </c>
      <c r="AC85" s="260">
        <f t="shared" si="20"/>
        <v>1.5609442919522266E-5</v>
      </c>
      <c r="AD85" s="260">
        <f t="shared" si="20"/>
        <v>1.5430486761022988E-5</v>
      </c>
      <c r="AE85" s="260">
        <f t="shared" si="20"/>
        <v>1.5262920342179238E-5</v>
      </c>
      <c r="AF85" s="260">
        <f t="shared" si="20"/>
        <v>1.5004915390729723E-5</v>
      </c>
      <c r="AG85" s="260">
        <f t="shared" si="20"/>
        <v>1.4802385053001863E-5</v>
      </c>
      <c r="AH85" s="260">
        <f t="shared" si="20"/>
        <v>1.455093577567988E-5</v>
      </c>
      <c r="AI85" s="260">
        <f t="shared" si="20"/>
        <v>1.4331342566820377E-5</v>
      </c>
      <c r="AJ85" s="260">
        <f t="shared" si="20"/>
        <v>1.4201529068513927E-5</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1</v>
      </c>
      <c r="H86" s="260">
        <f t="shared" si="21"/>
        <v>1</v>
      </c>
      <c r="I86" s="260">
        <f t="shared" si="21"/>
        <v>1</v>
      </c>
      <c r="J86" s="260">
        <f t="shared" si="21"/>
        <v>1</v>
      </c>
      <c r="K86" s="260">
        <f t="shared" si="21"/>
        <v>0.99999999999999989</v>
      </c>
      <c r="L86" s="260">
        <f t="shared" si="21"/>
        <v>1</v>
      </c>
      <c r="M86" s="260">
        <f t="shared" si="21"/>
        <v>1</v>
      </c>
      <c r="N86" s="260">
        <f t="shared" si="21"/>
        <v>0.99999999999999989</v>
      </c>
      <c r="O86" s="260">
        <f t="shared" si="21"/>
        <v>1</v>
      </c>
      <c r="P86" s="260">
        <f t="shared" si="21"/>
        <v>1</v>
      </c>
      <c r="Q86" s="260">
        <f t="shared" si="21"/>
        <v>1</v>
      </c>
      <c r="R86" s="260">
        <f t="shared" si="21"/>
        <v>1</v>
      </c>
      <c r="S86" s="260">
        <f t="shared" si="21"/>
        <v>1</v>
      </c>
      <c r="T86" s="260">
        <f t="shared" si="21"/>
        <v>1</v>
      </c>
      <c r="U86" s="260">
        <f t="shared" si="21"/>
        <v>1</v>
      </c>
      <c r="V86" s="260">
        <f t="shared" si="21"/>
        <v>0.99999999999999989</v>
      </c>
      <c r="W86" s="260">
        <f t="shared" si="21"/>
        <v>1</v>
      </c>
      <c r="X86" s="260">
        <f t="shared" si="21"/>
        <v>0.99999999999999989</v>
      </c>
      <c r="Y86" s="260">
        <f t="shared" si="21"/>
        <v>1</v>
      </c>
      <c r="Z86" s="260">
        <f t="shared" si="21"/>
        <v>1</v>
      </c>
      <c r="AA86" s="260">
        <f t="shared" si="21"/>
        <v>1.0000000000000002</v>
      </c>
      <c r="AB86" s="260">
        <f t="shared" si="21"/>
        <v>0.99999999999999989</v>
      </c>
      <c r="AC86" s="260">
        <f t="shared" si="21"/>
        <v>0.99999999999999989</v>
      </c>
      <c r="AD86" s="260">
        <f t="shared" si="21"/>
        <v>1</v>
      </c>
      <c r="AE86" s="260">
        <f t="shared" si="21"/>
        <v>1</v>
      </c>
      <c r="AF86" s="260">
        <f t="shared" si="21"/>
        <v>1</v>
      </c>
      <c r="AG86" s="260">
        <f t="shared" si="21"/>
        <v>1</v>
      </c>
      <c r="AH86" s="260">
        <f t="shared" si="21"/>
        <v>1</v>
      </c>
      <c r="AI86" s="260">
        <f t="shared" si="21"/>
        <v>1.0000000000000002</v>
      </c>
      <c r="AJ86" s="260">
        <f t="shared" si="21"/>
        <v>0.99999999999999989</v>
      </c>
      <c r="AK86" s="322"/>
    </row>
    <row r="87" spans="1:37">
      <c r="A87" s="562" t="s">
        <v>632</v>
      </c>
      <c r="B87" s="562"/>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row>
    <row r="88" spans="1:37">
      <c r="A88" s="561" t="s">
        <v>665</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row>
    <row r="89" spans="1:37">
      <c r="A89" s="561" t="s">
        <v>666</v>
      </c>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row>
    <row r="90" spans="1:37">
      <c r="A90" s="561" t="s">
        <v>667</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row>
    <row r="91" spans="1:37">
      <c r="A91" s="561" t="s">
        <v>668</v>
      </c>
      <c r="B91" s="561"/>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row>
    <row r="92" spans="1:37">
      <c r="A92" s="561" t="s">
        <v>669</v>
      </c>
      <c r="B92" s="561"/>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row>
    <row r="93" spans="1:37">
      <c r="A93" s="561" t="s">
        <v>670</v>
      </c>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row>
    <row r="94" spans="1:37">
      <c r="A94" s="561" t="s">
        <v>671</v>
      </c>
      <c r="B94" s="561"/>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row>
    <row r="95" spans="1:37">
      <c r="A95" s="561" t="s">
        <v>672</v>
      </c>
      <c r="B95" s="561"/>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row>
    <row r="96" spans="1:37">
      <c r="A96" s="561" t="s">
        <v>673</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row>
    <row r="97" spans="1:32">
      <c r="A97" s="561" t="s">
        <v>674</v>
      </c>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row>
    <row r="98" spans="1:32">
      <c r="A98" s="561" t="s">
        <v>675</v>
      </c>
      <c r="B98" s="561"/>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row>
    <row r="99" spans="1:32">
      <c r="A99" s="561" t="s">
        <v>676</v>
      </c>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row>
    <row r="100" spans="1:32">
      <c r="A100" s="561" t="s">
        <v>677</v>
      </c>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row>
    <row r="101" spans="1:32">
      <c r="A101" s="561" t="s">
        <v>678</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row>
    <row r="102" spans="1:32">
      <c r="A102" s="561" t="s">
        <v>679</v>
      </c>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row>
    <row r="103" spans="1:32">
      <c r="A103" s="561" t="s">
        <v>680</v>
      </c>
      <c r="B103" s="561"/>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row>
    <row r="104" spans="1:32">
      <c r="A104" s="561" t="s">
        <v>681</v>
      </c>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row>
    <row r="105" spans="1:32">
      <c r="A105" s="561" t="s">
        <v>682</v>
      </c>
      <c r="B105" s="561"/>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row>
    <row r="106" spans="1:32">
      <c r="A106" s="561" t="s">
        <v>683</v>
      </c>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row>
    <row r="107" spans="1:32">
      <c r="A107" s="561" t="s">
        <v>684</v>
      </c>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row>
    <row r="108" spans="1:32">
      <c r="A108" s="561" t="s">
        <v>636</v>
      </c>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row>
    <row r="109" spans="1:32">
      <c r="A109" s="561" t="s">
        <v>685</v>
      </c>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row>
    <row r="110" spans="1:32">
      <c r="A110" s="561" t="s">
        <v>686</v>
      </c>
      <c r="B110" s="561"/>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row>
    <row r="111" spans="1:32">
      <c r="A111" s="561" t="s">
        <v>643</v>
      </c>
      <c r="B111" s="561"/>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row>
    <row r="112" spans="1:32">
      <c r="A112" s="561" t="s">
        <v>644</v>
      </c>
      <c r="B112" s="561"/>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row>
    <row r="113" spans="1:32">
      <c r="A113" s="561" t="s">
        <v>645</v>
      </c>
      <c r="B113" s="561"/>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row>
    <row r="114" spans="1:32">
      <c r="A114" s="561" t="s">
        <v>687</v>
      </c>
      <c r="B114" s="561"/>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row>
    <row r="115" spans="1:32">
      <c r="A115" s="561" t="s">
        <v>688</v>
      </c>
      <c r="B115" s="561"/>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row>
    <row r="116" spans="1:32">
      <c r="A116" s="561" t="s">
        <v>620</v>
      </c>
      <c r="B116" s="561"/>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row>
    <row r="117" spans="1:32">
      <c r="A117" s="561" t="s">
        <v>621</v>
      </c>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row>
    <row r="118" spans="1:32">
      <c r="A118" s="561" t="s">
        <v>622</v>
      </c>
      <c r="B118" s="561"/>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row>
    <row r="119" spans="1:32">
      <c r="A119" s="561" t="s">
        <v>689</v>
      </c>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row>
    <row r="120" spans="1:32">
      <c r="A120" s="561" t="s">
        <v>690</v>
      </c>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row>
    <row r="121" spans="1:32">
      <c r="A121" s="561" t="s">
        <v>624</v>
      </c>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row>
    <row r="122" spans="1:32">
      <c r="A122" s="561" t="s">
        <v>627</v>
      </c>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2015-02-19T00:29:38Z</dcterms:modified>
</cp:coreProperties>
</file>