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108" i="15"/>
  <c r="H113" i="15"/>
  <c r="H118" i="15"/>
  <c r="H135" i="15"/>
  <c r="H140" i="15"/>
  <c r="H145" i="15"/>
  <c r="H179" i="15"/>
  <c r="H47" i="9"/>
  <c r="H52" i="9"/>
  <c r="H55" i="9"/>
  <c r="H65" i="9"/>
  <c r="H70" i="9"/>
  <c r="H73" i="9"/>
  <c r="H176" i="15"/>
  <c r="H182" i="15"/>
  <c r="H185" i="15"/>
  <c r="H73" i="8"/>
  <c r="H79" i="8"/>
  <c r="H54" i="11"/>
  <c r="H58" i="11"/>
  <c r="H56" i="11"/>
  <c r="I73" i="8"/>
  <c r="I79" i="8"/>
  <c r="I54" i="11"/>
  <c r="I58" i="11"/>
  <c r="I56" i="11"/>
  <c r="J73" i="8"/>
  <c r="J79" i="8"/>
  <c r="J54" i="11"/>
  <c r="J58" i="11"/>
  <c r="J56" i="11"/>
  <c r="K73" i="8"/>
  <c r="K79" i="8"/>
  <c r="K54" i="11"/>
  <c r="K58" i="11"/>
  <c r="K56" i="11"/>
  <c r="L73" i="8"/>
  <c r="L79" i="8"/>
  <c r="L54" i="11"/>
  <c r="L58" i="11"/>
  <c r="L56" i="11"/>
  <c r="M73" i="8"/>
  <c r="M79" i="8"/>
  <c r="M54" i="11"/>
  <c r="M58" i="11"/>
  <c r="M56" i="11"/>
  <c r="N73" i="8"/>
  <c r="N79" i="8"/>
  <c r="N54" i="11"/>
  <c r="N58" i="11"/>
  <c r="N56" i="11"/>
  <c r="O73" i="8"/>
  <c r="O79" i="8"/>
  <c r="O54" i="11"/>
  <c r="O58" i="11"/>
  <c r="O56" i="11"/>
  <c r="P73" i="8"/>
  <c r="P79" i="8"/>
  <c r="P54" i="11"/>
  <c r="P58" i="11"/>
  <c r="P56" i="11"/>
  <c r="Q73" i="8"/>
  <c r="Q79" i="8"/>
  <c r="Q54" i="11"/>
  <c r="Q58" i="11"/>
  <c r="Q56" i="11"/>
  <c r="R73" i="8"/>
  <c r="R79" i="8"/>
  <c r="R54" i="11"/>
  <c r="R58" i="11"/>
  <c r="R56" i="11"/>
  <c r="S73" i="8"/>
  <c r="S79" i="8"/>
  <c r="S54" i="11"/>
  <c r="S58" i="11"/>
  <c r="S56" i="11"/>
  <c r="T73" i="8"/>
  <c r="T79" i="8"/>
  <c r="T54" i="11"/>
  <c r="T58" i="11"/>
  <c r="T56" i="11"/>
  <c r="U73" i="8"/>
  <c r="U79" i="8"/>
  <c r="U54" i="11"/>
  <c r="U58" i="11"/>
  <c r="U56" i="11"/>
  <c r="V73" i="8"/>
  <c r="V79" i="8"/>
  <c r="V54" i="11"/>
  <c r="V58" i="11"/>
  <c r="V56" i="11"/>
  <c r="W73" i="8"/>
  <c r="W79" i="8"/>
  <c r="W54" i="11"/>
  <c r="W58" i="11"/>
  <c r="W56" i="11"/>
  <c r="X73" i="8"/>
  <c r="X79" i="8"/>
  <c r="X54" i="11"/>
  <c r="X58" i="11"/>
  <c r="X56" i="11"/>
  <c r="Y73" i="8"/>
  <c r="Y79" i="8"/>
  <c r="Y54" i="11"/>
  <c r="Y58" i="11"/>
  <c r="Y56" i="11"/>
  <c r="Z73" i="8"/>
  <c r="Z79" i="8"/>
  <c r="Z54" i="11"/>
  <c r="Z58" i="11"/>
  <c r="Z56" i="11"/>
  <c r="AA73" i="8"/>
  <c r="AA79" i="8"/>
  <c r="AA54" i="11"/>
  <c r="AA58" i="11"/>
  <c r="AA56" i="11"/>
  <c r="AB73" i="8"/>
  <c r="AB79" i="8"/>
  <c r="AB54" i="11"/>
  <c r="AB58" i="11"/>
  <c r="AB56" i="11"/>
  <c r="AC73" i="8"/>
  <c r="AC79" i="8"/>
  <c r="AC54" i="11"/>
  <c r="AC58" i="11"/>
  <c r="AC56" i="11"/>
  <c r="AD73" i="8"/>
  <c r="AD79" i="8"/>
  <c r="AD54" i="11"/>
  <c r="AD58" i="11"/>
  <c r="AD56" i="11"/>
  <c r="AE73" i="8"/>
  <c r="AE79" i="8"/>
  <c r="AE54" i="11"/>
  <c r="AE58" i="11"/>
  <c r="AE56" i="11"/>
  <c r="AF73" i="8"/>
  <c r="AF79" i="8"/>
  <c r="AF54" i="11"/>
  <c r="AF58" i="11"/>
  <c r="AF56" i="11"/>
  <c r="AG73" i="8"/>
  <c r="AG79" i="8"/>
  <c r="AG54" i="11"/>
  <c r="AG58" i="11"/>
  <c r="AG56" i="11"/>
  <c r="AH73" i="8"/>
  <c r="AH79" i="8"/>
  <c r="AH54" i="11"/>
  <c r="AH58" i="11"/>
  <c r="AH56" i="11"/>
  <c r="AI73" i="8"/>
  <c r="AI79" i="8"/>
  <c r="AI54" i="11"/>
  <c r="AI58" i="11"/>
  <c r="AI56" i="11"/>
  <c r="AJ73" i="8"/>
  <c r="AJ79" i="8"/>
  <c r="AJ54" i="11"/>
  <c r="AJ58" i="11"/>
  <c r="AJ56" i="11"/>
  <c r="G73" i="8"/>
  <c r="G79" i="8"/>
  <c r="G54" i="11"/>
  <c r="G58" i="11"/>
  <c r="G56" i="11"/>
  <c r="G51" i="11"/>
  <c r="G52"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P78" i="8"/>
  <c r="P49" i="11"/>
  <c r="P51" i="11"/>
  <c r="P52" i="11"/>
  <c r="N13" i="15"/>
  <c r="N14" i="15"/>
  <c r="N7" i="9"/>
  <c r="D35" i="5"/>
  <c r="C35" i="5"/>
  <c r="Z78" i="8"/>
  <c r="Z49" i="11"/>
  <c r="Z51" i="11"/>
  <c r="Z52" i="11"/>
  <c r="X13" i="15"/>
  <c r="X14" i="15"/>
  <c r="X8" i="9"/>
  <c r="X7" i="9"/>
  <c r="D29" i="5"/>
  <c r="C29" i="5"/>
  <c r="N8" i="9"/>
  <c r="D28" i="5"/>
  <c r="C28" i="5"/>
  <c r="F35" i="5"/>
  <c r="H35" i="5"/>
  <c r="AH26" i="15"/>
  <c r="AJ78" i="8"/>
  <c r="AJ49" i="11"/>
  <c r="AJ51" i="11"/>
  <c r="AJ52" i="11"/>
  <c r="AH13" i="15"/>
  <c r="AH14" i="15"/>
  <c r="AH31" i="15"/>
  <c r="D36" i="5"/>
  <c r="C36" i="5"/>
  <c r="F36" i="5"/>
  <c r="H36" i="5"/>
  <c r="AH18" i="15"/>
  <c r="AH32" i="15"/>
  <c r="D17" i="5"/>
  <c r="N16" i="9"/>
  <c r="N18" i="9"/>
  <c r="D11"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AH43" i="15"/>
  <c r="F34" i="5"/>
  <c r="H34" i="5"/>
  <c r="AH24" i="15"/>
  <c r="AH30" i="15"/>
  <c r="AH46" i="15"/>
  <c r="AJ60" i="11"/>
  <c r="AH47" i="15"/>
  <c r="AH48" i="15"/>
  <c r="AH49" i="15"/>
  <c r="AH93" i="15"/>
  <c r="X26" i="15"/>
  <c r="X31" i="15"/>
  <c r="X18" i="15"/>
  <c r="X32" i="15"/>
  <c r="X34" i="15"/>
  <c r="X35" i="15"/>
  <c r="X37" i="15"/>
  <c r="X38" i="15"/>
  <c r="X39" i="15"/>
  <c r="X40" i="15"/>
  <c r="X42" i="15"/>
  <c r="X43" i="15"/>
  <c r="X24" i="15"/>
  <c r="X30" i="15"/>
  <c r="X46" i="15"/>
  <c r="Z60" i="11"/>
  <c r="X47" i="15"/>
  <c r="X48" i="15"/>
  <c r="X49" i="15"/>
  <c r="X93" i="15"/>
  <c r="AH78" i="15"/>
  <c r="AH94" i="15"/>
  <c r="X94" i="15"/>
  <c r="AH79" i="15"/>
  <c r="AH87" i="15"/>
  <c r="X87" i="15"/>
  <c r="AH72" i="15"/>
  <c r="N26" i="15"/>
  <c r="N31" i="15"/>
  <c r="N18" i="15"/>
  <c r="N32" i="15"/>
  <c r="C24" i="5"/>
  <c r="E17" i="5"/>
  <c r="N19" i="15"/>
  <c r="N20" i="15"/>
  <c r="N21" i="15"/>
  <c r="N34" i="15"/>
  <c r="E19" i="5"/>
  <c r="N35" i="15"/>
  <c r="E20" i="5"/>
  <c r="N37" i="15"/>
  <c r="E21" i="5"/>
  <c r="N38" i="15"/>
  <c r="E22" i="5"/>
  <c r="N39" i="15"/>
  <c r="E18" i="5"/>
  <c r="N40" i="15"/>
  <c r="E23" i="5"/>
  <c r="N42" i="15"/>
  <c r="N43" i="15"/>
  <c r="N30" i="15"/>
  <c r="N46" i="15"/>
  <c r="P60" i="11"/>
  <c r="N47" i="15"/>
  <c r="N48" i="15"/>
  <c r="N49" i="15"/>
  <c r="N93" i="15"/>
  <c r="X78" i="15"/>
  <c r="N94" i="15"/>
  <c r="X79" i="15"/>
  <c r="N87" i="15"/>
  <c r="X72" i="15"/>
  <c r="J78" i="8"/>
  <c r="H16" i="9"/>
  <c r="H42" i="15"/>
  <c r="J52" i="11"/>
  <c r="H32" i="15"/>
  <c r="H7" i="9"/>
  <c r="H31" i="15"/>
  <c r="H43" i="15"/>
  <c r="J49" i="11"/>
  <c r="J51" i="11"/>
  <c r="H14" i="15"/>
  <c r="H30" i="15"/>
  <c r="H46" i="15"/>
  <c r="J60" i="11"/>
  <c r="H47" i="15"/>
  <c r="H48" i="15"/>
  <c r="H49" i="15"/>
  <c r="H93" i="15"/>
  <c r="N78" i="15"/>
  <c r="H94" i="15"/>
  <c r="N79" i="15"/>
  <c r="H76"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G76" i="8"/>
  <c r="P74" i="8"/>
  <c r="N10" i="9"/>
  <c r="N11" i="9"/>
  <c r="J74" i="8"/>
  <c r="H11" i="9"/>
  <c r="H35" i="15"/>
  <c r="H10" i="9"/>
  <c r="H34" i="15"/>
  <c r="H87" i="15"/>
  <c r="N72" i="15"/>
  <c r="H74" i="8"/>
  <c r="H78" i="8"/>
  <c r="I74" i="8"/>
  <c r="I78" i="8"/>
  <c r="K74" i="8"/>
  <c r="K78" i="8"/>
  <c r="L74" i="8"/>
  <c r="L78" i="8"/>
  <c r="M74" i="8"/>
  <c r="M78" i="8"/>
  <c r="N74" i="8"/>
  <c r="N78" i="8"/>
  <c r="O74" i="8"/>
  <c r="O78" i="8"/>
  <c r="Q74" i="8"/>
  <c r="Q78" i="8"/>
  <c r="R74" i="8"/>
  <c r="R78" i="8"/>
  <c r="S74" i="8"/>
  <c r="S78" i="8"/>
  <c r="T74" i="8"/>
  <c r="T78" i="8"/>
  <c r="U74" i="8"/>
  <c r="U78" i="8"/>
  <c r="V74" i="8"/>
  <c r="V78" i="8"/>
  <c r="W74" i="8"/>
  <c r="W78" i="8"/>
  <c r="X74" i="8"/>
  <c r="X78" i="8"/>
  <c r="Y74" i="8"/>
  <c r="Y78" i="8"/>
  <c r="Z74" i="8"/>
  <c r="AA74" i="8"/>
  <c r="AA78" i="8"/>
  <c r="AB74" i="8"/>
  <c r="AB78" i="8"/>
  <c r="AC74" i="8"/>
  <c r="AC78" i="8"/>
  <c r="AD74" i="8"/>
  <c r="AD78" i="8"/>
  <c r="AE74" i="8"/>
  <c r="AE78" i="8"/>
  <c r="AF74" i="8"/>
  <c r="AF78" i="8"/>
  <c r="AG74" i="8"/>
  <c r="AG78" i="8"/>
  <c r="AH74" i="8"/>
  <c r="AH78" i="8"/>
  <c r="AI74" i="8"/>
  <c r="AI78" i="8"/>
  <c r="AJ74" i="8"/>
  <c r="G74" i="8"/>
  <c r="G78" i="8"/>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2" i="11"/>
  <c r="I52" i="11"/>
  <c r="K52" i="11"/>
  <c r="L52" i="11"/>
  <c r="M52" i="11"/>
  <c r="N52" i="11"/>
  <c r="O52" i="11"/>
  <c r="Q52" i="11"/>
  <c r="R52" i="11"/>
  <c r="S52" i="11"/>
  <c r="T52" i="11"/>
  <c r="U52" i="11"/>
  <c r="V52" i="11"/>
  <c r="W52" i="11"/>
  <c r="X52" i="11"/>
  <c r="Y52" i="11"/>
  <c r="AA52" i="11"/>
  <c r="AB52" i="11"/>
  <c r="AC52" i="11"/>
  <c r="AD52" i="11"/>
  <c r="AE52" i="11"/>
  <c r="AF52" i="11"/>
  <c r="AG52" i="11"/>
  <c r="AH52" i="11"/>
  <c r="AI52" i="11"/>
  <c r="H49" i="11"/>
  <c r="H50" i="11"/>
  <c r="H51" i="11"/>
  <c r="I49" i="11"/>
  <c r="I50" i="11"/>
  <c r="I51" i="11"/>
  <c r="J50" i="11"/>
  <c r="K49" i="11"/>
  <c r="K50" i="11"/>
  <c r="K51" i="11"/>
  <c r="L49" i="11"/>
  <c r="L50" i="11"/>
  <c r="L51" i="11"/>
  <c r="M49" i="11"/>
  <c r="M50" i="11"/>
  <c r="M51" i="11"/>
  <c r="N49" i="11"/>
  <c r="N50" i="11"/>
  <c r="N51" i="11"/>
  <c r="O49" i="11"/>
  <c r="O50" i="11"/>
  <c r="O51" i="11"/>
  <c r="P50" i="11"/>
  <c r="Q49" i="11"/>
  <c r="Q50" i="11"/>
  <c r="Q51" i="11"/>
  <c r="R49" i="11"/>
  <c r="R50" i="11"/>
  <c r="R51" i="11"/>
  <c r="S49" i="11"/>
  <c r="S50" i="11"/>
  <c r="S51" i="11"/>
  <c r="T49" i="11"/>
  <c r="T50" i="11"/>
  <c r="T51" i="11"/>
  <c r="U49" i="11"/>
  <c r="U50" i="11"/>
  <c r="U51" i="11"/>
  <c r="V49" i="11"/>
  <c r="V50" i="11"/>
  <c r="V51" i="11"/>
  <c r="W49" i="11"/>
  <c r="W50" i="11"/>
  <c r="W51" i="11"/>
  <c r="X49" i="11"/>
  <c r="X50" i="11"/>
  <c r="X51" i="11"/>
  <c r="Y49" i="11"/>
  <c r="Y50" i="11"/>
  <c r="Y51" i="11"/>
  <c r="Z50" i="11"/>
  <c r="AA49" i="11"/>
  <c r="AA50" i="11"/>
  <c r="AA51" i="11"/>
  <c r="AB49" i="11"/>
  <c r="AB50" i="11"/>
  <c r="AB51" i="11"/>
  <c r="AC49" i="11"/>
  <c r="AC50" i="11"/>
  <c r="AC51" i="11"/>
  <c r="AD49" i="11"/>
  <c r="AD50" i="11"/>
  <c r="AD51" i="11"/>
  <c r="AE49" i="11"/>
  <c r="AE50" i="11"/>
  <c r="AE51" i="11"/>
  <c r="AF49" i="11"/>
  <c r="AF50" i="11"/>
  <c r="AF51" i="11"/>
  <c r="AG49" i="11"/>
  <c r="AG50" i="11"/>
  <c r="AG51" i="11"/>
  <c r="AH49" i="11"/>
  <c r="AH50" i="11"/>
  <c r="AH51" i="11"/>
  <c r="AI49" i="11"/>
  <c r="AI50" i="11"/>
  <c r="AI51" i="11"/>
  <c r="AJ50" i="11"/>
  <c r="AH16" i="15"/>
  <c r="Z13" i="15"/>
  <c r="Z14" i="15"/>
  <c r="P75" i="8"/>
  <c r="N12" i="9"/>
  <c r="N13" i="9"/>
  <c r="N14" i="9"/>
  <c r="X58" i="15"/>
  <c r="AH86" i="15"/>
  <c r="X86" i="15"/>
  <c r="AH71" i="15"/>
  <c r="Y58" i="15"/>
  <c r="Z58" i="15"/>
  <c r="Z10" i="9"/>
  <c r="Z34" i="15"/>
  <c r="Y26" i="15"/>
  <c r="Z26" i="15"/>
  <c r="Z31" i="15"/>
  <c r="Y18" i="15"/>
  <c r="Z18" i="15"/>
  <c r="Z32" i="15"/>
  <c r="X59" i="15"/>
  <c r="Y59" i="15"/>
  <c r="Z59" i="15"/>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C75" i="8"/>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D75" i="8"/>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E75" i="8"/>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F75" i="8"/>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G75" i="8"/>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H75" i="8"/>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I75" i="8"/>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AA75" i="8"/>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7" i="8"/>
  <c r="H75" i="8"/>
  <c r="I75" i="8"/>
  <c r="J75" i="8"/>
  <c r="K75" i="8"/>
  <c r="L75" i="8"/>
  <c r="M75" i="8"/>
  <c r="N75" i="8"/>
  <c r="O75" i="8"/>
  <c r="Q75" i="8"/>
  <c r="R75" i="8"/>
  <c r="S75" i="8"/>
  <c r="T75" i="8"/>
  <c r="U75" i="8"/>
  <c r="V75" i="8"/>
  <c r="W75" i="8"/>
  <c r="X75" i="8"/>
  <c r="Y75" i="8"/>
  <c r="Z75" i="8"/>
  <c r="AJ75" i="8"/>
  <c r="G75" i="8"/>
  <c r="G50" i="11"/>
  <c r="G49" i="11"/>
  <c r="B58" i="11"/>
  <c r="C58" i="11"/>
  <c r="D58" i="11"/>
  <c r="E58" i="11"/>
  <c r="F58" i="11"/>
  <c r="X10" i="9"/>
  <c r="X11" i="9"/>
  <c r="X12" i="9"/>
  <c r="X13" i="9"/>
  <c r="X14" i="9"/>
  <c r="X16" i="9"/>
  <c r="X18" i="9"/>
  <c r="D12" i="5"/>
  <c r="E12" i="5"/>
  <c r="AH8" i="9"/>
  <c r="AH7" i="9"/>
  <c r="AH10" i="9"/>
  <c r="AH11" i="9"/>
  <c r="AH12" i="9"/>
  <c r="AH13" i="9"/>
  <c r="AH14" i="9"/>
  <c r="AH16" i="9"/>
  <c r="AH18" i="9"/>
  <c r="D13" i="5"/>
  <c r="E13" i="5"/>
  <c r="G13" i="5"/>
  <c r="G12" i="5"/>
  <c r="E60" i="11"/>
  <c r="F60" i="11"/>
  <c r="G60" i="11"/>
  <c r="H60" i="11"/>
  <c r="I60" i="11"/>
  <c r="K60" i="11"/>
  <c r="L60" i="11"/>
  <c r="M60" i="11"/>
  <c r="N60" i="11"/>
  <c r="O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16" i="15"/>
  <c r="N86" i="15"/>
  <c r="H13" i="9"/>
  <c r="H38" i="15"/>
  <c r="H14" i="9"/>
  <c r="H39" i="15"/>
  <c r="H12" i="9"/>
  <c r="H37"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H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D30" i="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29"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49" i="15"/>
  <c r="H252" i="15"/>
  <c r="H250" i="15"/>
  <c r="H251" i="15"/>
  <c r="H253" i="15"/>
  <c r="H254" i="15"/>
  <c r="H100"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127"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01" i="15"/>
  <c r="H128"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6" i="15"/>
  <c r="H117" i="15"/>
  <c r="H144" i="15"/>
  <c r="H115" i="15"/>
  <c r="H214" i="15"/>
  <c r="H131" i="15"/>
  <c r="H143"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<sst xmlns="http://schemas.openxmlformats.org/spreadsheetml/2006/main" count="1319" uniqueCount="760">
  <si>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</si>
  <si>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</si>
  <si>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</si>
  <si>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</si>
  <si>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</si>
  <si>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</si>
  <si>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</si>
  <si>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</si>
  <si>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</si>
  <si>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</si>
  <si>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</si>
  <si>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</si>
  <si>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</si>
  <si>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</si>
  <si>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</si>
  <si>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</si>
  <si>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</si>
  <si>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</si>
  <si>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</si>
  <si>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</si>
  <si>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</si>
  <si>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</si>
  <si>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</si>
  <si>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</si>
  <si>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</si>
  <si>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</si>
  <si>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</si>
  <si>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</si>
  <si>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</si>
  <si>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</si>
  <si>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</si>
  <si>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</si>
  <si>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</si>
  <si>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</si>
  <si>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</si>
  <si>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</si>
  <si>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</si>
  <si>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</si>
  <si>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</si>
  <si>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</si>
  <si>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</si>
  <si>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</si>
  <si>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</si>
  <si>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</si>
  <si>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</si>
  <si>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</si>
  <si>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</si>
  <si>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</si>
  <si>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</si>
  <si>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</si>
  <si>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</si>
  <si>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</si>
  <si>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</si>
  <si>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</si>
  <si>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</si>
  <si>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</si>
  <si>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</si>
  <si>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</si>
  <si>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</si>
  <si>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</si>
  <si>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</si>
  <si>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</si>
  <si>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</si>
  <si>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</si>
  <si>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</si>
  <si>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</si>
  <si>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</si>
  <si>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</si>
  <si>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</si>
  <si>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</si>
  <si>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</si>
  <si>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</si>
  <si>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</si>
  <si>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</si>
  <si>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</si>
  <si>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</si>
  <si>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</si>
  <si>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</si>
  <si>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</si>
  <si>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</si>
  <si>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</si>
  <si>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</si>
  <si>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</si>
  <si>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</si>
  <si>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</si>
  <si>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</si>
  <si>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</si>
  <si>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</si>
  <si>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</si>
  <si>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</si>
  <si>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</si>
  <si>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</si>
  <si>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</si>
  <si>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</si>
  <si>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</si>
  <si>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</si>
  <si>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</si>
  <si>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</si>
  <si>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</si>
  <si>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</si>
  <si>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</si>
  <si>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</si>
  <si>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</si>
  <si>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</si>
  <si>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</si>
  <si>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</si>
  <si>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</si>
  <si>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</si>
  <si>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</si>
  <si>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</si>
  <si>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</si>
  <si>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</si>
  <si>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</si>
  <si>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</si>
  <si>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</si>
  <si>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</si>
  <si>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</si>
  <si>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</si>
  <si>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</si>
  <si>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</si>
  <si>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</si>
  <si>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</si>
  <si>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</si>
  <si>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</si>
  <si>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</si>
  <si>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</si>
  <si>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</si>
  <si>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</si>
  <si>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</si>
  <si>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</si>
  <si>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</si>
  <si>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</si>
  <si>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</si>
  <si>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</si>
  <si>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</si>
  <si>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</si>
  <si>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</si>
  <si>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</si>
  <si>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</si>
  <si>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</si>
  <si>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</si>
  <si>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</si>
  <si>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</si>
  <si>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</si>
  <si>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</si>
  <si>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</si>
  <si>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</si>
  <si>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</si>
  <si>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</si>
  <si>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</si>
  <si>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</si>
  <si>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</si>
  <si>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</si>
  <si>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</si>
  <si>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</si>
  <si>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</si>
  <si>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</si>
  <si>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</si>
  <si>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</si>
  <si>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</si>
  <si>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</si>
  <si>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</si>
  <si>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</si>
  <si>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</si>
  <si>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</si>
  <si>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</si>
  <si>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</si>
  <si>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</si>
  <si>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</si>
  <si>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</si>
  <si>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</si>
  <si>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</si>
  <si>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</si>
  <si>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</si>
  <si>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</si>
  <si>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</si>
  <si>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</si>
  <si>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</si>
  <si>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</si>
  <si>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</si>
  <si>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</si>
  <si>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</si>
  <si>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</si>
  <si>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</si>
  <si>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</si>
  <si>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</si>
  <si>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</si>
  <si>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</si>
  <si>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</si>
  <si>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</si>
  <si>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</si>
  <si>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</si>
  <si>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</si>
  <si>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</si>
  <si>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</si>
  <si>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</si>
  <si>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</si>
  <si>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</si>
  <si>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</si>
  <si>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</si>
  <si>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</si>
  <si>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</si>
  <si>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</si>
  <si>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</si>
  <si>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</si>
  <si>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</si>
  <si>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</si>
  <si>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</si>
  <si>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</si>
  <si>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</si>
  <si>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</si>
  <si>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</si>
  <si>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</si>
  <si>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</si>
  <si>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</si>
  <si>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</si>
  <si>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</si>
  <si>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</si>
  <si>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</si>
  <si>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</si>
  <si>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</si>
  <si>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</si>
  <si>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</si>
  <si>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</si>
  <si>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</si>
  <si>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</si>
  <si>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</si>
  <si>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</si>
  <si>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</si>
  <si>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</si>
  <si>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</si>
  <si>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</si>
  <si>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</si>
  <si>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</si>
  <si>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</si>
  <si>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</si>
  <si>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</si>
  <si>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</si>
  <si>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</si>
  <si>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</si>
  <si>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</si>
  <si>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</si>
  <si>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</si>
  <si>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</si>
  <si>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</si>
  <si>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</si>
  <si>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</si>
  <si>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</si>
  <si>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</si>
  <si>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</si>
  <si>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</si>
  <si>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</si>
  <si>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</si>
  <si>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</si>
  <si>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</si>
  <si>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</si>
  <si>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</si>
  <si>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</si>
  <si>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</si>
  <si>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</si>
  <si>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</si>
  <si>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</si>
  <si>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</si>
  <si>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</si>
  <si>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</si>
  <si>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</si>
  <si>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</si>
  <si>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</si>
  <si>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</si>
  <si>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</si>
  <si>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</si>
  <si>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</si>
  <si>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</si>
  <si>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</si>
  <si>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</si>
  <si>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</si>
  <si>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</si>
  <si>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</si>
  <si>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</si>
  <si>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</si>
  <si>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</si>
  <si>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</si>
  <si>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</si>
  <si>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</si>
  <si>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</si>
  <si>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</si>
  <si>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</si>
  <si>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</si>
  <si>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</si>
  <si>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</si>
  <si>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</si>
  <si>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</si>
  <si>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</si>
  <si>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</si>
  <si>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</si>
  <si>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</si>
  <si>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</si>
  <si>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</si>
  <si>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</si>
  <si>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</si>
  <si>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</si>
  <si>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</si>
  <si>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</si>
  <si>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</si>
  <si>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</si>
  <si>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</si>
  <si>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</si>
  <si>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</si>
  <si>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</si>
  <si>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</si>
  <si>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</si>
  <si>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</si>
  <si>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</si>
  <si>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</si>
  <si>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</si>
  <si>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</si>
  <si>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</si>
  <si>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</si>
  <si>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</si>
  <si>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</si>
  <si>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</si>
  <si>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</si>
  <si>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</si>
  <si>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</si>
  <si>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</si>
  <si>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</si>
  <si>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</si>
  <si>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</si>
  <si>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</si>
  <si>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</si>
  <si>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</si>
  <si>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</si>
  <si>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</si>
  <si>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</si>
  <si>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</si>
  <si>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</si>
  <si>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</si>
  <si>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</si>
  <si>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</si>
  <si>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</si>
  <si>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</si>
  <si>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</si>
  <si>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</si>
  <si>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</si>
  <si>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</si>
  <si>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</si>
  <si>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</si>
  <si>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</si>
  <si>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</si>
  <si>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</si>
  <si>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</si>
  <si>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</si>
  <si>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</si>
  <si>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</si>
  <si>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</si>
  <si>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</si>
  <si>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</si>
  <si>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</si>
  <si>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</si>
  <si>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</si>
  <si>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</si>
  <si>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</si>
  <si>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</si>
  <si>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</si>
  <si>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</si>
  <si>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</si>
  <si>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</si>
  <si>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</si>
  <si>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</si>
  <si>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</si>
  <si>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</si>
  <si>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</si>
  <si>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</si>
  <si>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</si>
  <si>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</si>
  <si>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</si>
  <si>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</si>
  <si>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</si>
  <si>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</si>
  <si>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</si>
  <si>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</si>
  <si>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</si>
  <si>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</si>
  <si>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</si>
  <si>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</si>
  <si>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</si>
  <si>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</si>
  <si>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</si>
  <si>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</si>
  <si>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</si>
  <si>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</si>
  <si>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</si>
  <si>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</si>
  <si>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</si>
  <si>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</si>
  <si>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</si>
  <si>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</si>
  <si>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</si>
  <si>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</si>
  <si>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</si>
  <si>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</si>
  <si>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</si>
  <si>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</si>
  <si>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</si>
  <si>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</si>
  <si>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</si>
  <si>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</si>
  <si>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</si>
  <si>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</si>
  <si>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</si>
  <si>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</si>
  <si>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</si>
  <si>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</si>
  <si>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</si>
  <si>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</si>
  <si>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</si>
  <si>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</si>
  <si>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</si>
  <si>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</si>
  <si>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</si>
  <si>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</si>
  <si>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</si>
  <si>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</si>
  <si>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</si>
  <si>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</si>
  <si>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</si>
  <si>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</si>
  <si>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</si>
  <si>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</si>
  <si>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</si>
  <si>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</si>
  <si>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</si>
  <si>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</si>
  <si>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</si>
  <si>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</si>
  <si>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</si>
  <si>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</si>
  <si>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</si>
  <si>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</si>
  <si>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</si>
  <si>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</si>
  <si>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</si>
  <si>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</si>
  <si>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</si>
  <si>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</si>
  <si>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</si>
  <si>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</si>
  <si>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</si>
  <si>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</si>
  <si>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</si>
  <si>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</si>
  <si>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</si>
  <si>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</si>
  <si>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</si>
  <si>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</si>
  <si>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</si>
  <si>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</si>
  <si>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</si>
  <si>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</si>
  <si>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</si>
  <si>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</si>
  <si>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</si>
  <si>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</si>
  <si>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</si>
  <si>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</si>
  <si>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</si>
  <si>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</si>
  <si>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</si>
  <si>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</si>
  <si>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</si>
  <si>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</si>
  <si>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</si>
  <si>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</si>
  <si>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</si>
  <si>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</si>
  <si>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</si>
  <si>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</si>
  <si>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</si>
  <si>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</si>
  <si>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</si>
  <si>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</si>
  <si>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</si>
  <si>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</si>
  <si>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</si>
  <si>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</si>
  <si>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</si>
  <si>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</si>
  <si>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</si>
  <si>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</si>
  <si>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</si>
  <si>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</si>
  <si>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</si>
  <si>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</si>
  <si>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</si>
  <si>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</si>
  <si>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</si>
  <si>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</si>
  <si>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</si>
  <si>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</si>
  <si>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</si>
  <si>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</si>
  <si>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</si>
  <si>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</si>
  <si>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</si>
  <si>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</si>
  <si>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</si>
  <si>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</si>
  <si>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</si>
  <si>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</si>
  <si>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</si>
  <si>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</si>
  <si>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</si>
  <si>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</si>
  <si>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</si>
  <si>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</si>
  <si>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</si>
  <si>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</si>
  <si>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</si>
  <si>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</si>
  <si>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</si>
  <si>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</si>
  <si>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</si>
  <si>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</si>
  <si>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</si>
  <si>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</si>
  <si>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</si>
  <si>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</si>
  <si>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</si>
  <si>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</si>
  <si>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</si>
  <si>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</si>
  <si>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</si>
  <si>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</si>
  <si>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</si>
  <si>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</si>
  <si>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</si>
  <si>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</si>
  <si>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</si>
  <si>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</si>
  <si>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</si>
  <si>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</si>
  <si>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</si>
  <si>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</si>
  <si>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</si>
  <si>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</si>
  <si>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</si>
  <si>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</si>
  <si>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</si>
  <si>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</si>
  <si>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</si>
  <si>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</si>
  <si>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</si>
  <si>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</si>
  <si>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</si>
  <si>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</si>
  <si>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</si>
  <si>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</si>
  <si>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</si>
  <si>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</si>
  <si>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</si>
  <si>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</si>
  <si>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</si>
  <si>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</si>
  <si>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</si>
  <si>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</si>
  <si>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</si>
  <si>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</si>
  <si>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</si>
  <si>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</si>
  <si>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</si>
  <si>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</si>
  <si>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</si>
  <si>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</si>
  <si>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</si>
  <si>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</si>
  <si>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</si>
  <si>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</si>
  <si>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</si>
  <si>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</si>
  <si>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</si>
  <si>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</si>
  <si>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</si>
  <si>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</si>
  <si>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</si>
  <si>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</si>
  <si>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</si>
  <si>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</si>
  <si>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</si>
  <si>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</si>
  <si>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</si>
  <si>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</si>
  <si>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</si>
  <si>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</si>
  <si>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</si>
  <si>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</si>
  <si>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</si>
  <si>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</si>
  <si>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</si>
  <si>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</si>
  <si>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</si>
  <si>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</si>
  <si>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</si>
  <si>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</si>
  <si>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</si>
  <si>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</si>
  <si>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</si>
  <si>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</si>
  <si>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</si>
  <si>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</si>
  <si>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</si>
  <si>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</si>
  <si>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</si>
  <si>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</si>
  <si>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</si>
  <si>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</si>
  <si>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</si>
  <si>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</si>
  <si>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</si>
  <si>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</si>
  <si>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</si>
  <si>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</si>
  <si>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</si>
  <si>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</si>
  <si>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</si>
  <si>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</si>
  <si>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</si>
  <si>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</si>
  <si>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</si>
  <si>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</si>
  <si>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</si>
  <si>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</si>
  <si>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</si>
  <si>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</si>
  <si>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</si>
  <si>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</si>
  <si>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</si>
  <si>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</si>
  <si>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</si>
  <si>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</si>
  <si>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</si>
  <si>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</si>
  <si>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</si>
  <si>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</si>
  <si>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</si>
  <si>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</si>
  <si>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</si>
  <si>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</si>
  <si>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</si>
  <si>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</si>
  <si>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</si>
  <si>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</si>
  <si>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</si>
  <si>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</si>
  <si>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</si>
  <si>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</si>
  <si>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</si>
  <si>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</si>
  <si>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</si>
  <si>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</si>
  <si>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</si>
  <si>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</si>
  <si>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</si>
  <si>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</si>
  <si>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</si>
  <si>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</si>
  <si>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</si>
  <si>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</si>
  <si>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</si>
  <si>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</si>
  <si>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</si>
  <si>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</si>
  <si>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</si>
  <si>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</si>
  <si>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</si>
  <si>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</si>
  <si>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</si>
  <si>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</si>
  <si>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</si>
  <si>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</si>
  <si>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</si>
  <si>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</si>
  <si>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</si>
  <si>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</si>
  <si>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</si>
  <si>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</si>
  <si>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</si>
  <si>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</si>
  <si>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</si>
  <si>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</si>
  <si>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</si>
  <si>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</si>
  <si>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</si>
  <si>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</si>
  <si>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</si>
  <si>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</si>
  <si>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</si>
  <si>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</si>
  <si>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</si>
  <si>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</si>
  <si>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</si>
  <si>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</si>
  <si>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</si>
  <si>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</si>
  <si>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</si>
  <si>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</si>
  <si>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</si>
  <si>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</si>
  <si>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</si>
  <si>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</si>
  <si>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</si>
  <si>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</si>
  <si>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</si>
  <si>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</si>
  <si>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</si>
  <si>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</si>
  <si>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</si>
  <si>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</si>
  <si>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</si>
  <si>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</si>
  <si>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</si>
  <si>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</si>
  <si>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</si>
  <si>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</si>
  <si>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</si>
  <si>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</si>
  <si>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</si>
  <si>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</si>
  <si>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</si>
  <si>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</si>
  <si>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</si>
  <si>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</si>
  <si>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</si>
  <si>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</si>
  <si>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</si>
  <si>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</si>
  <si>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</si>
  <si>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</si>
  <si>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</si>
  <si>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</si>
  <si>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</si>
  <si>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</si>
  <si>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</si>
  <si>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</si>
  <si>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</si>
  <si>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</si>
  <si>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 xml:space="preserve">    Natural Ga0</t>
  </si>
  <si>
    <t>Wood/Wood Wa0te</t>
  </si>
  <si>
    <t>Generation from EIA South region from EIA</t>
  </si>
  <si>
    <t>Energy source</t>
  </si>
  <si>
    <t>MSW Biogenic/Landfill Ga0</t>
  </si>
  <si>
    <t>Other Biomass0</t>
  </si>
  <si>
    <t>Fossil</t>
  </si>
  <si>
    <t xml:space="preserve">    Other Gase0</t>
  </si>
  <si>
    <t>Pumped storage</t>
  </si>
  <si>
    <t>Total Electricity Generation by Fuel from EIA for Gateway and North</t>
  </si>
  <si>
    <t>Contribution of Missouri</t>
  </si>
  <si>
    <t>Total Electricity Generation by Fuel by computation for Missouri</t>
  </si>
  <si>
    <t>Proportion for Missouri</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</si>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</sst>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1"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26">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66">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7" fontId="0" fillId="2" borderId="1" xfId="10" applyNumberFormat="1" applyFont="1" applyFill="1" applyBorder="1" applyAlignment="1">
      <alignment horizontal="center"/>
    </xf>
    <xf numFmtId="168" fontId="28" fillId="2" borderId="53" xfId="0" applyNumberFormat="1" applyFont="1" applyFill="1" applyBorder="1" applyAlignment="1">
      <alignment wrapText="1"/>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0" fontId="0" fillId="0" borderId="0" xfId="0"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0" fontId="28" fillId="0" borderId="0" xfId="0" applyFont="1" applyAlignment="1">
      <alignment horizontal="center" vertical="top"/>
    </xf>
    <xf numFmtId="0" fontId="0" fillId="0" borderId="31" xfId="0" applyBorder="1" applyAlignment="1">
      <alignment wrapText="1"/>
    </xf>
    <xf numFmtId="0" fontId="0" fillId="0" borderId="0" xfId="0"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26">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111516264"/>
        <c:axId val="2111143864"/>
      </c:lineChart>
      <c:catAx>
        <c:axId val="211151626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1143864"/>
        <c:crosses val="autoZero"/>
        <c:auto val="1"/>
        <c:lblAlgn val="ctr"/>
        <c:lblOffset val="100"/>
        <c:noMultiLvlLbl val="0"/>
      </c:catAx>
      <c:valAx>
        <c:axId val="2111143864"/>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1516264"/>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111590136"/>
        <c:axId val="2079056360"/>
      </c:lineChart>
      <c:catAx>
        <c:axId val="211159013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079056360"/>
        <c:crosses val="autoZero"/>
        <c:auto val="1"/>
        <c:lblAlgn val="ctr"/>
        <c:lblOffset val="100"/>
        <c:noMultiLvlLbl val="0"/>
      </c:catAx>
      <c:valAx>
        <c:axId val="2079056360"/>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1590136"/>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B11"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0"/>
      <c r="B1" s="530"/>
      <c r="C1" s="530"/>
      <c r="D1" s="530"/>
      <c r="E1" s="530"/>
      <c r="F1" s="530"/>
      <c r="G1" s="530"/>
      <c r="H1" s="530"/>
      <c r="I1" s="530"/>
      <c r="J1" s="530"/>
      <c r="K1" s="530"/>
      <c r="L1" s="530"/>
      <c r="M1" s="530"/>
      <c r="N1" s="530"/>
      <c r="O1" s="530"/>
      <c r="P1" s="530"/>
      <c r="Q1" s="530"/>
      <c r="R1" s="530"/>
      <c r="S1" s="530"/>
      <c r="T1" s="530"/>
    </row>
    <row r="2" spans="1:20" ht="113.25" customHeight="1">
      <c r="A2" s="530"/>
      <c r="B2" s="530"/>
      <c r="C2" s="530"/>
      <c r="D2" s="530"/>
      <c r="E2" s="530"/>
      <c r="F2" s="530"/>
      <c r="G2" s="530"/>
      <c r="H2" s="530"/>
      <c r="I2" s="530"/>
      <c r="J2" s="530"/>
      <c r="K2" s="530"/>
      <c r="L2" s="530"/>
      <c r="M2" s="530"/>
      <c r="N2" s="530"/>
      <c r="O2" s="530"/>
      <c r="P2" s="119"/>
      <c r="Q2" s="119"/>
      <c r="R2" s="119"/>
      <c r="S2" s="119"/>
      <c r="T2" s="119"/>
    </row>
    <row r="3" spans="1:20" ht="15" thickBot="1">
      <c r="C3" s="110"/>
      <c r="D3"/>
      <c r="E3" s="110"/>
      <c r="F3" s="110"/>
      <c r="G3" s="110"/>
      <c r="H3" s="110"/>
      <c r="I3" s="246"/>
      <c r="J3" s="246"/>
      <c r="K3" s="246"/>
      <c r="L3" s="171"/>
      <c r="M3" s="7" t="s">
        <v>0</v>
      </c>
    </row>
    <row r="4" spans="1:20" ht="15" thickBot="1">
      <c r="C4" s="117" t="s">
        <v>141</v>
      </c>
      <c r="D4" s="124"/>
      <c r="E4" s="119"/>
      <c r="F4" s="110"/>
      <c r="G4" s="110"/>
      <c r="H4" s="162" t="s">
        <v>0</v>
      </c>
      <c r="I4" s="246"/>
      <c r="J4" s="246"/>
      <c r="K4" s="246"/>
      <c r="L4" s="171"/>
      <c r="M4" t="s">
        <v>0</v>
      </c>
      <c r="Q4" t="s">
        <v>0</v>
      </c>
      <c r="R4" t="s">
        <v>0</v>
      </c>
    </row>
    <row r="5" spans="1:20">
      <c r="B5" s="1" t="s">
        <v>1</v>
      </c>
      <c r="C5" s="110" t="s">
        <v>708</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09" t="s">
        <v>555</v>
      </c>
      <c r="D7" s="114">
        <f>'Output - Jobs vs Yr (BAU)'!X4/'Output - Jobs vs Yr (BAU)'!C4-1</f>
        <v>0.1859532610717578</v>
      </c>
      <c r="E7" s="92" t="s">
        <v>519</v>
      </c>
      <c r="F7" s="109"/>
      <c r="G7" s="109"/>
      <c r="H7" s="29" t="s">
        <v>0</v>
      </c>
      <c r="I7" s="29"/>
      <c r="J7" s="29"/>
      <c r="K7" s="29"/>
      <c r="L7" s="29"/>
      <c r="M7" s="7" t="s">
        <v>0</v>
      </c>
      <c r="N7" t="s">
        <v>0</v>
      </c>
      <c r="O7" t="s">
        <v>0</v>
      </c>
      <c r="P7" t="s">
        <v>0</v>
      </c>
    </row>
    <row r="8" spans="1:20" ht="15" thickBot="1">
      <c r="B8" s="1" t="s">
        <v>368</v>
      </c>
      <c r="C8" s="109"/>
      <c r="D8" s="104" t="s">
        <v>342</v>
      </c>
      <c r="E8" s="497" t="s">
        <v>718</v>
      </c>
      <c r="F8" s="109"/>
      <c r="G8" s="497" t="s">
        <v>719</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521">
        <v>0.05</v>
      </c>
      <c r="D11" s="125">
        <f>'Output - Jobs vs Yr (BAU)'!N18/'Output -Jobs vs Yr'!N14</f>
        <v>3.9500141327621134E-2</v>
      </c>
      <c r="E11" s="496">
        <f>(7.7/3)^(1/6)</f>
        <v>1.1701141873017888</v>
      </c>
      <c r="F11" s="109"/>
      <c r="G11" s="493">
        <f>(12.5/3)^(1/6)</f>
        <v>1.2685223586294079</v>
      </c>
      <c r="H11"/>
      <c r="I11"/>
      <c r="J11"/>
      <c r="K11"/>
      <c r="L11"/>
      <c r="M11" t="s">
        <v>0</v>
      </c>
      <c r="N11" t="s">
        <v>0</v>
      </c>
      <c r="O11" s="111" t="s">
        <v>0</v>
      </c>
      <c r="P11" s="31" t="s">
        <v>0</v>
      </c>
    </row>
    <row r="12" spans="1:20" ht="15" thickBot="1">
      <c r="B12" t="s">
        <v>381</v>
      </c>
      <c r="C12" s="208">
        <v>0.06</v>
      </c>
      <c r="D12" s="125">
        <f>'Output - Jobs vs Yr (BAU)'!X18/'Output -Jobs vs Yr'!X14</f>
        <v>4.1762967784522521E-2</v>
      </c>
      <c r="E12" s="496">
        <f>(D12/D11)^(1/10)</f>
        <v>1.0055861203955172</v>
      </c>
      <c r="F12" s="109"/>
      <c r="G12" s="494">
        <f>(C12/C11)^(1/10)</f>
        <v>1.0183993761470242</v>
      </c>
      <c r="H12"/>
      <c r="I12"/>
      <c r="J12"/>
      <c r="K12"/>
      <c r="L12"/>
      <c r="M12" t="s">
        <v>0</v>
      </c>
      <c r="N12" t="s">
        <v>0</v>
      </c>
      <c r="O12" s="111" t="s">
        <v>0</v>
      </c>
      <c r="P12" s="31" t="s">
        <v>0</v>
      </c>
    </row>
    <row r="13" spans="1:20" ht="15" thickBot="1">
      <c r="B13" t="s">
        <v>578</v>
      </c>
      <c r="C13" s="209">
        <v>7.0000000000000007E-2</v>
      </c>
      <c r="D13" s="172">
        <f>'Output - Jobs vs Yr (BAU)'!AH18/'Output -Jobs vs Yr'!AH14</f>
        <v>4.7239587374127354E-2</v>
      </c>
      <c r="E13" s="496">
        <f>(D13/D12)^(1/10)</f>
        <v>1.0123984561969883</v>
      </c>
      <c r="F13" s="109"/>
      <c r="G13" s="495">
        <f>(C13/C12)^(1/10)</f>
        <v>1.0155344930023524</v>
      </c>
      <c r="H13"/>
      <c r="I13"/>
      <c r="J13"/>
      <c r="K13"/>
      <c r="L13"/>
      <c r="M13"/>
      <c r="O13" s="111"/>
      <c r="P13" s="31"/>
    </row>
    <row r="14" spans="1:20">
      <c r="B14" t="s">
        <v>579</v>
      </c>
      <c r="C14" s="245"/>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713</v>
      </c>
      <c r="O15" s="31" t="s">
        <v>713</v>
      </c>
      <c r="P15" s="31" t="s">
        <v>714</v>
      </c>
      <c r="Q15" t="s">
        <v>711</v>
      </c>
    </row>
    <row r="16" spans="1:20" ht="15" thickBot="1">
      <c r="B16" s="32" t="s">
        <v>363</v>
      </c>
      <c r="C16" s="106" t="s">
        <v>366</v>
      </c>
      <c r="D16" s="104" t="s">
        <v>535</v>
      </c>
      <c r="E16" s="104" t="s">
        <v>364</v>
      </c>
      <c r="F16" s="104" t="s">
        <v>359</v>
      </c>
      <c r="G16" s="104" t="s">
        <v>545</v>
      </c>
      <c r="H16" s="104" t="s">
        <v>364</v>
      </c>
      <c r="I16" s="104" t="s">
        <v>707</v>
      </c>
      <c r="J16" s="104" t="s">
        <v>706</v>
      </c>
      <c r="K16" s="104" t="s">
        <v>364</v>
      </c>
      <c r="L16" s="104"/>
      <c r="M16" s="44" t="s">
        <v>257</v>
      </c>
      <c r="N16" s="290">
        <v>2020</v>
      </c>
      <c r="O16" s="290">
        <v>2030</v>
      </c>
      <c r="P16" s="290">
        <v>2040</v>
      </c>
      <c r="Q16" s="197">
        <v>2031</v>
      </c>
    </row>
    <row r="17" spans="2:17" ht="15" thickBot="1">
      <c r="B17" t="s">
        <v>353</v>
      </c>
      <c r="C17" s="194">
        <f>D17*$C$11/$D$11</f>
        <v>1.234974668070403E-2</v>
      </c>
      <c r="D17" s="126">
        <f>'Output - Jobs vs Yr (BAU)'!N10/'Output -Jobs vs Yr'!$N$14</f>
        <v>9.756334784962583E-3</v>
      </c>
      <c r="E17" s="105">
        <f t="shared" ref="E17:E23" si="0">IF($C$24&lt;&gt;0,C17/$C$24,0)</f>
        <v>0.24699493361408054</v>
      </c>
      <c r="F17" s="172">
        <f>C17*$C$12/$C$11</f>
        <v>1.4819696016844835E-2</v>
      </c>
      <c r="G17" s="105">
        <f>'Output - Jobs vs Yr (BAU)'!X10/'Output - Jobs vs Yr (BAU)'!X24</f>
        <v>1.4145134032297691E-2</v>
      </c>
      <c r="H17" s="105">
        <f t="shared" ref="H17:H23" si="1">G17/$G$24</f>
        <v>0.33870137937010159</v>
      </c>
      <c r="I17" s="172">
        <f>F17*$C$13/$C$12</f>
        <v>1.7289645352985644E-2</v>
      </c>
      <c r="J17" s="105">
        <f>'Output - Jobs vs Yr (BAU)'!AH10/'Output - Jobs vs Yr (BAU)'!AH24</f>
        <v>1.5683251928939806E-2</v>
      </c>
      <c r="K17" s="105">
        <f>J17/$J$24</f>
        <v>0.3319941501004538</v>
      </c>
      <c r="L17" s="105"/>
      <c r="M17" s="45" t="s">
        <v>259</v>
      </c>
      <c r="N17" s="86">
        <f>HLOOKUP(N16,'Output -Jobs vs Yr'!$H$175:$AH$184,9)</f>
        <v>69.7592157236395</v>
      </c>
      <c r="O17" s="86">
        <f>HLOOKUP(O16,'Output -Jobs vs Yr'!$H$175:$AH$184,9)</f>
        <v>113.3468782420714</v>
      </c>
      <c r="P17" s="86">
        <f>HLOOKUP(P16,'Output -Jobs vs Yr'!$H$175:$AH$184,9)</f>
        <v>423.20622451692907</v>
      </c>
      <c r="Q17" s="86">
        <f>HLOOKUP(Q16,'Output -Jobs vs Yr'!$H$175:$AH$184,9)</f>
        <v>138.30586044972915</v>
      </c>
    </row>
    <row r="18" spans="2:17" ht="15" thickBot="1">
      <c r="B18" s="4" t="s">
        <v>354</v>
      </c>
      <c r="C18" s="194">
        <f>D18*$C$11/$D$11</f>
        <v>1.3157498261767233E-7</v>
      </c>
      <c r="D18" s="126">
        <f>'Output - Jobs vs Yr (BAU)'!N15/'Output -Jobs vs Yr'!$N$14</f>
        <v>1.0394460817154702E-7</v>
      </c>
      <c r="E18" s="105">
        <f t="shared" si="0"/>
        <v>2.6314996523534462E-6</v>
      </c>
      <c r="F18" s="172">
        <f t="shared" ref="F18:F23" si="2">C18*$C$12/$C$11</f>
        <v>1.5788997914120677E-7</v>
      </c>
      <c r="G18" s="105">
        <f>'Output - Jobs vs Yr (BAU)'!X15/'Output - Jobs vs Yr (BAU)'!X24</f>
        <v>9.6058455252322269E-8</v>
      </c>
      <c r="H18" s="105">
        <f t="shared" si="1"/>
        <v>2.3000935317993468E-6</v>
      </c>
      <c r="I18" s="172">
        <f t="shared" ref="I18:I24" si="3">F18*$C$13/$C$12</f>
        <v>1.8420497566474126E-7</v>
      </c>
      <c r="J18" s="105">
        <f>'Output - Jobs vs Yr (BAU)'!AH15/'Output - Jobs vs Yr (BAU)'!AH24</f>
        <v>9.3937252067272498E-8</v>
      </c>
      <c r="K18" s="105">
        <f t="shared" ref="K18:K24" si="4">J18/$J$24</f>
        <v>1.988530076807512E-6</v>
      </c>
      <c r="L18" s="105"/>
      <c r="M18" s="46" t="s">
        <v>260</v>
      </c>
      <c r="N18" s="87">
        <f>HLOOKUP(N16,'Output -Jobs vs Yr'!$H$175:$AH$184,10)</f>
        <v>62.782952380348434</v>
      </c>
      <c r="O18" s="87">
        <f>HLOOKUP(O16,'Output -Jobs vs Yr'!$H$175:$AH$184,10)</f>
        <v>102.01174662380981</v>
      </c>
      <c r="P18" s="87">
        <f>HLOOKUP(P16,'Output -Jobs vs Yr'!$H$175:$AH$184,10)</f>
        <v>380.88507261291124</v>
      </c>
      <c r="Q18" s="87">
        <f>HLOOKUP(Q16,'Output -Jobs vs Yr'!$H$175:$AH$184,10)</f>
        <v>124.47482215102536</v>
      </c>
    </row>
    <row r="19" spans="2:17" ht="15" thickBot="1">
      <c r="B19" s="4" t="s">
        <v>355</v>
      </c>
      <c r="C19" s="194">
        <f>D19*$C$11/$D$11</f>
        <v>1.3157498261767236E-12</v>
      </c>
      <c r="D19" s="126">
        <f>'Output - Jobs vs Yr (BAU)'!N11/'Output -Jobs vs Yr'!$N$14</f>
        <v>1.0394460817154704E-12</v>
      </c>
      <c r="E19" s="105">
        <f t="shared" si="0"/>
        <v>2.6314996523534467E-11</v>
      </c>
      <c r="F19" s="172">
        <f t="shared" si="2"/>
        <v>1.5788997914120681E-12</v>
      </c>
      <c r="G19" s="105">
        <f>'Output - Jobs vs Yr (BAU)'!X11/'Output - Jobs vs Yr (BAU)'!X24</f>
        <v>9.6058455252322271E-13</v>
      </c>
      <c r="H19" s="105">
        <f t="shared" si="1"/>
        <v>2.3000935317993471E-11</v>
      </c>
      <c r="I19" s="172">
        <f t="shared" si="3"/>
        <v>1.8420497566474129E-12</v>
      </c>
      <c r="J19" s="105">
        <f>'Output - Jobs vs Yr (BAU)'!AH11/'Output - Jobs vs Yr (BAU)'!AH24</f>
        <v>9.393725206727251E-13</v>
      </c>
      <c r="K19" s="105">
        <f t="shared" si="4"/>
        <v>1.9885300768075123E-11</v>
      </c>
      <c r="L19" s="105"/>
      <c r="M19" s="46" t="s">
        <v>261</v>
      </c>
      <c r="N19" s="87">
        <f>HLOOKUP(N16,'Output -Jobs vs Yr'!$H$175:$AH$184,8)</f>
        <v>132.54216810398793</v>
      </c>
      <c r="O19" s="87">
        <f>HLOOKUP(O16,'Output -Jobs vs Yr'!$H$175:$AH$184,8)</f>
        <v>215.35862486587939</v>
      </c>
      <c r="P19" s="87">
        <f>HLOOKUP(P16,'Output -Jobs vs Yr'!$H$175:$AH$184,8)</f>
        <v>804.09129712983849</v>
      </c>
      <c r="Q19" s="87">
        <f>HLOOKUP(Q16,'Output -Jobs vs Yr'!$H$175:$AH$184,8)</f>
        <v>262.78068260075088</v>
      </c>
    </row>
    <row r="20" spans="2:17" ht="15" thickBot="1">
      <c r="B20" s="4" t="s">
        <v>51</v>
      </c>
      <c r="C20" s="194">
        <f>D20*$C$11/$D$11</f>
        <v>1.5089907600758208E-4</v>
      </c>
      <c r="D20" s="126">
        <f>'Output - Jobs vs Yr (BAU)'!N12/'Output -Jobs vs Yr'!$N$14</f>
        <v>1.1921069657013872E-4</v>
      </c>
      <c r="E20" s="105">
        <f t="shared" si="0"/>
        <v>3.0179815201516413E-3</v>
      </c>
      <c r="F20" s="172">
        <f t="shared" si="2"/>
        <v>1.8107889120909848E-4</v>
      </c>
      <c r="G20" s="105">
        <f>'Output - Jobs vs Yr (BAU)'!X12/'Output - Jobs vs Yr (BAU)'!X24</f>
        <v>1.1016632380952492E-4</v>
      </c>
      <c r="H20" s="105">
        <f t="shared" si="1"/>
        <v>2.6379025995244155E-3</v>
      </c>
      <c r="I20" s="172">
        <f t="shared" si="3"/>
        <v>2.1125870641061493E-4</v>
      </c>
      <c r="J20" s="105">
        <f>'Output - Jobs vs Yr (BAU)'!AH12/'Output - Jobs vs Yr (BAU)'!AH24</f>
        <v>1.0773358474104671E-4</v>
      </c>
      <c r="K20" s="105">
        <f t="shared" si="4"/>
        <v>2.2805805878422106E-3</v>
      </c>
      <c r="L20" s="105"/>
      <c r="M20" s="47" t="s">
        <v>459</v>
      </c>
      <c r="N20" s="88">
        <f>HLOOKUP(N16,'Output -Jobs vs Yr'!$H$175:$AH$188,11)-HLOOKUP(N16,'Output -Jobs vs Yr'!$H$175:$AH$188,14)</f>
        <v>331.0471860406542</v>
      </c>
      <c r="O20" s="88">
        <f>HLOOKUP(O16,'Output -Jobs vs Yr'!$H$175:$AH$188,11)-HLOOKUP(O16,'Output -Jobs vs Yr'!$H$175:$AH$188,14)</f>
        <v>2147.404454498781</v>
      </c>
      <c r="P20" s="88">
        <f>HLOOKUP(P16,'Output -Jobs vs Yr'!$H$175:$AH$188,11)-HLOOKUP(P16,'Output -Jobs vs Yr'!$H$175:$AH$188,14)</f>
        <v>7447.0881954508368</v>
      </c>
      <c r="Q20" s="88">
        <f>HLOOKUP(Q16,'Output -Jobs vs Yr'!$H$175:$AH$188,11)-HLOOKUP(Q16,'Output -Jobs vs Yr'!$H$175:$AH$188,14)</f>
        <v>2410.1851370995319</v>
      </c>
    </row>
    <row r="21" spans="2:17" ht="15" thickBot="1">
      <c r="B21" t="s">
        <v>356</v>
      </c>
      <c r="C21" s="194">
        <f t="shared" ref="C21:C23" si="5">D21*$C$11/$D$11</f>
        <v>2.6314996523534467E-6</v>
      </c>
      <c r="D21" s="126">
        <f>'Output - Jobs vs Yr (BAU)'!N13/'Output -Jobs vs Yr'!$N$14</f>
        <v>2.0788921634309405E-6</v>
      </c>
      <c r="E21" s="105">
        <f t="shared" si="0"/>
        <v>5.262999304706892E-5</v>
      </c>
      <c r="F21" s="172">
        <f t="shared" si="2"/>
        <v>3.1577995828241356E-6</v>
      </c>
      <c r="G21" s="105">
        <f>'Output - Jobs vs Yr (BAU)'!X13/'Output - Jobs vs Yr (BAU)'!X24</f>
        <v>1.9211691050464453E-6</v>
      </c>
      <c r="H21" s="105">
        <f t="shared" si="1"/>
        <v>4.6001870635986939E-5</v>
      </c>
      <c r="I21" s="172">
        <f t="shared" si="3"/>
        <v>3.6840995132948253E-6</v>
      </c>
      <c r="J21" s="105">
        <f>'Output - Jobs vs Yr (BAU)'!AH13/'Output - Jobs vs Yr (BAU)'!AH24</f>
        <v>0</v>
      </c>
      <c r="K21" s="105">
        <f t="shared" si="4"/>
        <v>0</v>
      </c>
      <c r="L21" s="105"/>
      <c r="N21" s="160"/>
    </row>
    <row r="22" spans="2:17" ht="15" thickBot="1">
      <c r="B22" s="4" t="s">
        <v>357</v>
      </c>
      <c r="C22" s="194">
        <f t="shared" si="5"/>
        <v>1.3157498261767233E-6</v>
      </c>
      <c r="D22" s="126">
        <f>'Output - Jobs vs Yr (BAU)'!N14/'Output -Jobs vs Yr'!$N$14</f>
        <v>1.0394460817154702E-6</v>
      </c>
      <c r="E22" s="105">
        <f t="shared" si="0"/>
        <v>2.631499652353446E-5</v>
      </c>
      <c r="F22" s="172">
        <f t="shared" si="2"/>
        <v>1.5788997914120678E-6</v>
      </c>
      <c r="G22" s="105">
        <f>'Output - Jobs vs Yr (BAU)'!X14/'Output - Jobs vs Yr (BAU)'!X24</f>
        <v>9.6058455252322267E-7</v>
      </c>
      <c r="H22" s="105">
        <f t="shared" si="1"/>
        <v>2.3000935317993469E-5</v>
      </c>
      <c r="I22" s="172">
        <f t="shared" si="3"/>
        <v>1.8420497566474127E-6</v>
      </c>
      <c r="J22" s="105">
        <f>'Output - Jobs vs Yr (BAU)'!AH14/'Output - Jobs vs Yr (BAU)'!AH24</f>
        <v>9.3937252067272501E-7</v>
      </c>
      <c r="K22" s="105">
        <f t="shared" si="4"/>
        <v>1.9885300768075119E-5</v>
      </c>
      <c r="L22" s="105"/>
      <c r="O22" t="s">
        <v>0</v>
      </c>
    </row>
    <row r="23" spans="2:17" ht="15" thickBot="1">
      <c r="B23" t="s">
        <v>358</v>
      </c>
      <c r="C23" s="194">
        <f t="shared" si="5"/>
        <v>3.7495275417511499E-2</v>
      </c>
      <c r="D23" s="126">
        <f>'Output - Jobs vs Yr (BAU)'!N16/'Output -Jobs vs Yr'!$N$14</f>
        <v>2.9621373562195654E-2</v>
      </c>
      <c r="E23" s="105">
        <f t="shared" si="0"/>
        <v>0.74990550835022984</v>
      </c>
      <c r="F23" s="172">
        <f t="shared" si="2"/>
        <v>4.4994330501013792E-2</v>
      </c>
      <c r="G23" s="105">
        <f>'Output - Jobs vs Yr (BAU)'!X16/'Output - Jobs vs Yr (BAU)'!X24</f>
        <v>2.7504569264756737E-2</v>
      </c>
      <c r="H23" s="105">
        <f t="shared" si="1"/>
        <v>0.65858941510788738</v>
      </c>
      <c r="I23" s="172">
        <f t="shared" si="3"/>
        <v>5.2493385584516099E-2</v>
      </c>
      <c r="J23" s="105">
        <f>'Output - Jobs vs Yr (BAU)'!AH16/'Output - Jobs vs Yr (BAU)'!AH24</f>
        <v>3.1447524174164125E-2</v>
      </c>
      <c r="K23" s="105">
        <f t="shared" si="4"/>
        <v>0.66570339546097368</v>
      </c>
      <c r="L23" s="105"/>
      <c r="M23" s="44"/>
      <c r="N23" s="196"/>
      <c r="O23" t="s">
        <v>0</v>
      </c>
    </row>
    <row r="24" spans="2:17">
      <c r="B24" s="108" t="s">
        <v>370</v>
      </c>
      <c r="C24" s="137">
        <f t="shared" ref="C24:H24" si="6">SUM(C17:C23)</f>
        <v>5.000000000000001E-2</v>
      </c>
      <c r="D24" s="204">
        <f t="shared" si="6"/>
        <v>3.9500141327621141E-2</v>
      </c>
      <c r="E24" s="199">
        <f t="shared" si="6"/>
        <v>1</v>
      </c>
      <c r="F24" s="199">
        <f t="shared" si="6"/>
        <v>6.0000000000000005E-2</v>
      </c>
      <c r="G24" s="199">
        <f t="shared" si="6"/>
        <v>4.1762847433937357E-2</v>
      </c>
      <c r="H24" s="105">
        <f t="shared" si="6"/>
        <v>1</v>
      </c>
      <c r="I24" s="172">
        <f t="shared" si="3"/>
        <v>7.0000000000000007E-2</v>
      </c>
      <c r="J24" s="105">
        <f>SUM(J17:J23)</f>
        <v>4.7239542998557094E-2</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5%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199" t="s">
        <v>342</v>
      </c>
      <c r="E27" s="107"/>
      <c r="F27" s="98"/>
      <c r="G27" s="134" t="s">
        <v>0</v>
      </c>
      <c r="H27" s="135" t="s">
        <v>0</v>
      </c>
      <c r="I27" s="135"/>
      <c r="J27" s="135"/>
      <c r="K27" s="135"/>
      <c r="L27" s="135"/>
      <c r="M27"/>
    </row>
    <row r="28" spans="2:17" ht="15" thickBot="1">
      <c r="B28" t="s">
        <v>371</v>
      </c>
      <c r="C28" s="207">
        <f>D28</f>
        <v>0.13092488436809427</v>
      </c>
      <c r="D28" s="105">
        <f>('Output - Jobs vs Yr (BAU)'!N8+'Output - Jobs vs Yr (BAU)'!N7)/'Output -Jobs vs Yr'!N14</f>
        <v>0.13092488436809427</v>
      </c>
      <c r="E28" s="136" t="s">
        <v>0</v>
      </c>
      <c r="F28" s="98"/>
      <c r="G28" s="98" t="s">
        <v>0</v>
      </c>
      <c r="H28" s="135" t="s">
        <v>0</v>
      </c>
      <c r="I28" s="135"/>
      <c r="J28" s="135"/>
      <c r="K28" s="135"/>
      <c r="L28" s="135"/>
      <c r="M28"/>
    </row>
    <row r="29" spans="2:17" ht="15" thickBot="1">
      <c r="B29" t="s">
        <v>372</v>
      </c>
      <c r="C29" s="277">
        <f>D29</f>
        <v>0.12275964325655775</v>
      </c>
      <c r="D29" s="105">
        <f>('Output - Jobs vs Yr (BAU)'!X8+'Output - Jobs vs Yr (BAU)'!X7)/'Output -Jobs vs Yr'!X14</f>
        <v>0.12275964325655775</v>
      </c>
      <c r="E29" s="107"/>
      <c r="F29" s="98"/>
      <c r="G29" s="96"/>
      <c r="H29"/>
      <c r="I29"/>
      <c r="J29"/>
      <c r="K29"/>
      <c r="L29"/>
    </row>
    <row r="30" spans="2:17" ht="15" thickBot="1">
      <c r="B30" t="s">
        <v>580</v>
      </c>
      <c r="C30" s="209">
        <v>0.2</v>
      </c>
      <c r="D30" s="105">
        <f>('Output - Jobs vs Yr (BAU)'!AH8+'Output - Jobs vs Yr (BAU)'!AH7)/'Output -Jobs vs Yr'!AH14</f>
        <v>0.12004858003394171</v>
      </c>
      <c r="E30" s="107"/>
      <c r="F30" s="98"/>
      <c r="G30" s="96"/>
      <c r="H30"/>
      <c r="I30"/>
      <c r="J30"/>
      <c r="K30"/>
      <c r="L30"/>
    </row>
    <row r="31" spans="2:17">
      <c r="B31" t="s">
        <v>581</v>
      </c>
      <c r="C31" s="245"/>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199" t="s">
        <v>342</v>
      </c>
      <c r="E33" s="199" t="s">
        <v>537</v>
      </c>
      <c r="F33" s="200" t="s">
        <v>359</v>
      </c>
      <c r="G33" s="201" t="s">
        <v>342</v>
      </c>
      <c r="H33" s="200" t="s">
        <v>707</v>
      </c>
      <c r="I33" s="201" t="s">
        <v>342</v>
      </c>
      <c r="J33" s="163"/>
      <c r="K33" s="163"/>
      <c r="L33" s="163"/>
      <c r="M33" s="7" t="s">
        <v>0</v>
      </c>
    </row>
    <row r="34" spans="1:18" ht="15" thickBot="1">
      <c r="B34" s="4" t="s">
        <v>367</v>
      </c>
      <c r="C34" s="208">
        <f>D34</f>
        <v>0</v>
      </c>
      <c r="D34" s="105">
        <v>0</v>
      </c>
      <c r="E34" s="202">
        <f>'Output -Jobs vs Yr'!N30/'Output -Jobs vs Yr'!N49</f>
        <v>0</v>
      </c>
      <c r="F34" s="199">
        <f>C34*$C$29/$C$28</f>
        <v>0</v>
      </c>
      <c r="G34" s="203">
        <v>0</v>
      </c>
      <c r="H34" s="199">
        <f>F34*$C$30/$C$29</f>
        <v>0</v>
      </c>
      <c r="I34" s="203">
        <v>0</v>
      </c>
      <c r="J34" s="138"/>
      <c r="K34" s="138"/>
      <c r="L34" s="138"/>
    </row>
    <row r="35" spans="1:18" ht="15" thickBot="1">
      <c r="B35" s="4" t="s">
        <v>49</v>
      </c>
      <c r="C35" s="208">
        <f>D35</f>
        <v>3.0787738609103787E-2</v>
      </c>
      <c r="D35" s="105">
        <f>'Output - Jobs vs Yr (BAU)'!N7/'Output -Jobs vs Yr'!N14</f>
        <v>3.0787738609103787E-2</v>
      </c>
      <c r="E35" s="202">
        <f>C35</f>
        <v>3.0787738609103787E-2</v>
      </c>
      <c r="F35" s="199">
        <f>C35*$C$29/$C$28</f>
        <v>2.8867635259495202E-2</v>
      </c>
      <c r="G35" s="203">
        <f>'Output - Jobs vs Yr (BAU)'!X7/'Output - Jobs vs Yr (BAU)'!X24</f>
        <v>3.0219429041001909E-2</v>
      </c>
      <c r="H35" s="199">
        <f>F35*$C$30/$C$29</f>
        <v>4.7031148826596342E-2</v>
      </c>
      <c r="I35" s="203">
        <f>'Output - Jobs vs Yr (BAU)'!AH7/'Output - Jobs vs Yr (BAU)'!AH24</f>
        <v>2.9552110906811854E-2</v>
      </c>
      <c r="J35"/>
      <c r="K35"/>
      <c r="L35"/>
    </row>
    <row r="36" spans="1:18" ht="15" thickBot="1">
      <c r="B36" s="4" t="s">
        <v>365</v>
      </c>
      <c r="C36" s="208">
        <f>D36</f>
        <v>0.10013714575899048</v>
      </c>
      <c r="D36" s="105">
        <f>'Output - Jobs vs Yr (BAU)'!N8/'Output -Jobs vs Yr'!N14</f>
        <v>0.10013714575899048</v>
      </c>
      <c r="E36" s="202">
        <f>C36</f>
        <v>0.10013714575899048</v>
      </c>
      <c r="F36" s="199">
        <f>C36*$C$29/$C$28</f>
        <v>9.3892007997062543E-2</v>
      </c>
      <c r="G36" s="203">
        <f>'Output - Jobs vs Yr (BAU)'!X8/'Output - Jobs vs Yr (BAU)'!X24</f>
        <v>9.2539860452504882E-2</v>
      </c>
      <c r="H36" s="199">
        <f>F36*$C$30/$C$29</f>
        <v>0.15296885117340367</v>
      </c>
      <c r="I36" s="203">
        <f>'Output - Jobs vs Yr (BAU)'!AH8/'Output - Jobs vs Yr (BAU)'!AH24</f>
        <v>9.0496356356792609E-2</v>
      </c>
      <c r="J36"/>
      <c r="K36"/>
      <c r="L36"/>
    </row>
    <row r="37" spans="1:18">
      <c r="B37" s="4" t="s">
        <v>369</v>
      </c>
      <c r="C37" s="138">
        <f>SUM(C35:C36)+'Output -Jobs vs Yr'!N30/'Output -Jobs vs Yr'!N49</f>
        <v>0.13092488436809427</v>
      </c>
      <c r="D37" s="105">
        <f>SUM(D34:D36)</f>
        <v>0.13092488436809427</v>
      </c>
      <c r="E37" s="202">
        <f>SUM(E34:E36)</f>
        <v>0.13092488436809427</v>
      </c>
      <c r="F37" s="202">
        <f>SUM(F34:F36)</f>
        <v>0.12275964325655775</v>
      </c>
      <c r="G37" s="202">
        <f>SUM(G34:G36)</f>
        <v>0.12275928949350678</v>
      </c>
      <c r="H37" s="199">
        <f>C37*$C$30/$C$28</f>
        <v>0.2</v>
      </c>
      <c r="I37" s="202">
        <f>SUM(I34:I36)</f>
        <v>0.12004846726360446</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13,1%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5.000000000000001E-2</v>
      </c>
      <c r="D40" s="105" t="s">
        <v>0</v>
      </c>
      <c r="E40" s="105" t="s">
        <v>0</v>
      </c>
      <c r="F40" s="105" t="s">
        <v>0</v>
      </c>
      <c r="G40" s="103" t="s">
        <v>0</v>
      </c>
      <c r="H40"/>
      <c r="I40"/>
      <c r="J40"/>
      <c r="K40"/>
      <c r="L40"/>
    </row>
    <row r="41" spans="1:18">
      <c r="B41" s="4" t="s">
        <v>375</v>
      </c>
      <c r="C41" s="105">
        <f>C24+C37</f>
        <v>0.18092488436809429</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76"/>
      <c r="J44" s="276"/>
      <c r="K44" s="276"/>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76"/>
      <c r="J45" s="276"/>
      <c r="K45" s="276"/>
      <c r="L45"/>
      <c r="M45" s="12" t="e">
        <f t="shared" si="7"/>
        <v>#REF!</v>
      </c>
      <c r="N45" s="28" t="s">
        <v>523</v>
      </c>
    </row>
    <row r="46" spans="1:18" s="1" customFormat="1" ht="15" thickBot="1">
      <c r="A46"/>
      <c r="B46" s="4" t="s">
        <v>121</v>
      </c>
      <c r="C46" s="84">
        <v>0.21</v>
      </c>
      <c r="D46" s="4" t="s">
        <v>0</v>
      </c>
      <c r="E46" s="28" t="s">
        <v>524</v>
      </c>
      <c r="F46" s="28"/>
      <c r="H46" s="49">
        <v>0.9</v>
      </c>
      <c r="I46" s="276"/>
      <c r="J46" s="276"/>
      <c r="K46" s="276"/>
      <c r="L46"/>
      <c r="M46" s="12">
        <f t="shared" si="7"/>
        <v>0.39900000000000002</v>
      </c>
      <c r="N46" s="28" t="s">
        <v>524</v>
      </c>
      <c r="O46"/>
      <c r="P46"/>
      <c r="Q46"/>
      <c r="R46"/>
    </row>
    <row r="47" spans="1:18" s="1" customFormat="1" ht="15" thickBot="1">
      <c r="A47"/>
      <c r="B47" s="4" t="s">
        <v>118</v>
      </c>
      <c r="C47" s="42">
        <v>0.18</v>
      </c>
      <c r="D47" s="4"/>
      <c r="E47" s="28" t="s">
        <v>524</v>
      </c>
      <c r="F47" s="28"/>
      <c r="H47" s="49">
        <v>0.9</v>
      </c>
      <c r="I47" s="276"/>
      <c r="J47" s="276"/>
      <c r="K47" s="276"/>
      <c r="L47"/>
      <c r="M47" s="12">
        <f t="shared" si="7"/>
        <v>0.34199999999999997</v>
      </c>
      <c r="N47" s="28" t="s">
        <v>524</v>
      </c>
      <c r="O47"/>
      <c r="P47"/>
      <c r="Q47"/>
    </row>
    <row r="48" spans="1:18" ht="15" thickBot="1">
      <c r="B48" s="4" t="s">
        <v>49</v>
      </c>
      <c r="C48" s="42">
        <v>0.15</v>
      </c>
      <c r="D48" s="4"/>
      <c r="E48" s="28" t="s">
        <v>524</v>
      </c>
      <c r="F48" s="28"/>
      <c r="G48" s="1"/>
      <c r="H48" s="49">
        <v>0.9</v>
      </c>
      <c r="I48" s="276"/>
      <c r="J48" s="276"/>
      <c r="K48" s="276"/>
      <c r="L48"/>
      <c r="M48" s="12">
        <f t="shared" si="7"/>
        <v>0.28500000000000003</v>
      </c>
      <c r="N48" s="28" t="s">
        <v>524</v>
      </c>
    </row>
    <row r="49" spans="1:17" s="1" customFormat="1" ht="15" thickBot="1">
      <c r="A49"/>
      <c r="B49" s="4" t="s">
        <v>50</v>
      </c>
      <c r="C49" s="42">
        <v>0.25</v>
      </c>
      <c r="D49" s="4" t="s">
        <v>0</v>
      </c>
      <c r="E49" s="28" t="s">
        <v>524</v>
      </c>
      <c r="F49" s="28"/>
      <c r="H49" s="49">
        <v>0.9</v>
      </c>
      <c r="I49" s="276"/>
      <c r="J49" s="276"/>
      <c r="K49" s="276"/>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76"/>
      <c r="J50" s="276"/>
      <c r="K50" s="276"/>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76"/>
      <c r="J51" s="276"/>
      <c r="K51" s="276"/>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76"/>
      <c r="J52" s="276"/>
      <c r="K52" s="276"/>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76"/>
      <c r="J53" s="276"/>
      <c r="K53" s="276"/>
      <c r="L53"/>
      <c r="M53" s="161">
        <f t="shared" si="7"/>
        <v>0.26600000000000001</v>
      </c>
      <c r="N53" s="28" t="s">
        <v>524</v>
      </c>
    </row>
    <row r="54" spans="1:17" ht="15" thickBot="1">
      <c r="B54" s="4" t="s">
        <v>347</v>
      </c>
      <c r="C54" s="84">
        <v>0.79</v>
      </c>
      <c r="D54" s="4" t="s">
        <v>0</v>
      </c>
      <c r="E54" s="28" t="s">
        <v>524</v>
      </c>
      <c r="F54" s="28"/>
      <c r="G54" s="110"/>
      <c r="H54" s="49">
        <v>0.9</v>
      </c>
      <c r="I54" s="276"/>
      <c r="J54" s="276"/>
      <c r="K54" s="276"/>
      <c r="L54"/>
      <c r="M54" s="12">
        <f t="shared" si="7"/>
        <v>1.5010000000000001</v>
      </c>
      <c r="N54" s="28" t="s">
        <v>524</v>
      </c>
    </row>
    <row r="55" spans="1:17" ht="15" thickBot="1">
      <c r="B55" s="4" t="s">
        <v>348</v>
      </c>
      <c r="C55" s="84">
        <v>0.23</v>
      </c>
      <c r="D55" s="4"/>
      <c r="E55" s="28" t="s">
        <v>524</v>
      </c>
      <c r="F55" s="28"/>
      <c r="G55" s="110"/>
      <c r="H55" s="49">
        <v>0.9</v>
      </c>
      <c r="I55" s="276"/>
      <c r="J55" s="276"/>
      <c r="K55" s="276"/>
      <c r="L55"/>
      <c r="M55" s="12">
        <f t="shared" si="7"/>
        <v>0.43700000000000006</v>
      </c>
      <c r="N55" s="28" t="s">
        <v>524</v>
      </c>
    </row>
    <row r="56" spans="1:17" ht="15.75" hidden="1" customHeight="1" thickBot="1">
      <c r="B56" s="4" t="s">
        <v>120</v>
      </c>
      <c r="C56" s="42">
        <v>0.11</v>
      </c>
      <c r="D56" s="4"/>
      <c r="E56" s="28" t="s">
        <v>524</v>
      </c>
      <c r="F56" s="28"/>
      <c r="G56" s="110"/>
      <c r="H56" s="49">
        <v>0.8</v>
      </c>
      <c r="I56" s="276"/>
      <c r="J56" s="276"/>
      <c r="K56" s="276"/>
      <c r="L56"/>
      <c r="M56" s="12">
        <f t="shared" si="7"/>
        <v>0.19800000000000001</v>
      </c>
      <c r="N56" s="28"/>
    </row>
    <row r="57" spans="1:17" ht="15" thickBot="1">
      <c r="B57" s="4" t="s">
        <v>53</v>
      </c>
      <c r="C57" s="84">
        <v>0.17</v>
      </c>
      <c r="D57" s="4" t="s">
        <v>0</v>
      </c>
      <c r="E57" s="28" t="s">
        <v>524</v>
      </c>
      <c r="F57" s="28"/>
      <c r="G57" s="110"/>
      <c r="H57" s="49">
        <v>0.9</v>
      </c>
      <c r="I57" s="276"/>
      <c r="J57" s="276"/>
      <c r="K57" s="276"/>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76"/>
      <c r="J58" s="276"/>
      <c r="K58" s="276"/>
      <c r="L58"/>
      <c r="M58" s="12" t="e">
        <f t="shared" si="7"/>
        <v>#REF!</v>
      </c>
      <c r="N58" s="28" t="s">
        <v>524</v>
      </c>
    </row>
    <row r="59" spans="1:17" ht="15.75" hidden="1" customHeight="1" thickBot="1">
      <c r="B59" s="4" t="s">
        <v>246</v>
      </c>
      <c r="C59" s="49" t="e">
        <f xml:space="preserve"> (1/6) *#REF!</f>
        <v>#REF!</v>
      </c>
      <c r="D59" s="4"/>
      <c r="E59" s="28" t="s">
        <v>247</v>
      </c>
      <c r="F59" s="28"/>
      <c r="G59" s="110"/>
      <c r="H59" s="49">
        <v>0.8</v>
      </c>
      <c r="I59" s="276"/>
      <c r="J59" s="276"/>
      <c r="K59" s="276"/>
      <c r="L59"/>
      <c r="M59" s="12" t="e">
        <f t="shared" si="7"/>
        <v>#REF!</v>
      </c>
      <c r="N59" s="28" t="s">
        <v>206</v>
      </c>
    </row>
    <row r="60" spans="1:17" ht="15" thickBot="1">
      <c r="B60" s="4" t="s">
        <v>68</v>
      </c>
      <c r="C60" s="42">
        <v>0.11</v>
      </c>
      <c r="D60" s="4"/>
      <c r="E60" s="28" t="s">
        <v>524</v>
      </c>
      <c r="F60" s="28"/>
      <c r="G60" s="110"/>
      <c r="H60" s="49">
        <v>0.9</v>
      </c>
      <c r="I60" s="276"/>
      <c r="J60" s="276"/>
      <c r="K60" s="276"/>
      <c r="L60"/>
      <c r="M60" s="161">
        <f t="shared" si="7"/>
        <v>0.20900000000000002</v>
      </c>
      <c r="N60" s="28" t="s">
        <v>524</v>
      </c>
    </row>
    <row r="61" spans="1:17" ht="15" thickBot="1">
      <c r="B61" s="4" t="s">
        <v>76</v>
      </c>
      <c r="C61" s="42">
        <v>0.11</v>
      </c>
      <c r="D61" s="4"/>
      <c r="E61" s="28" t="s">
        <v>524</v>
      </c>
      <c r="F61" s="28"/>
      <c r="G61" s="110"/>
      <c r="H61" s="49">
        <v>0.9</v>
      </c>
      <c r="I61" s="276"/>
      <c r="J61" s="276"/>
      <c r="K61" s="276"/>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3"/>
    <col min="6" max="6" width="12.5" style="344"/>
    <col min="7" max="37" width="12.5" style="298"/>
    <col min="38" max="16384" width="12.5" style="5"/>
  </cols>
  <sheetData>
    <row r="1" spans="1:37">
      <c r="A1" s="271" t="s">
        <v>705</v>
      </c>
    </row>
    <row r="2" spans="1:37">
      <c r="A2" s="271" t="s">
        <v>657</v>
      </c>
    </row>
    <row r="3" spans="1:37">
      <c r="A3" s="271" t="s">
        <v>658</v>
      </c>
    </row>
    <row r="5" spans="1:37">
      <c r="A5" s="6" t="s">
        <v>185</v>
      </c>
    </row>
    <row r="6" spans="1:37">
      <c r="A6" s="6" t="s">
        <v>184</v>
      </c>
    </row>
    <row r="9" spans="1:37">
      <c r="AK9" s="299" t="s">
        <v>715</v>
      </c>
    </row>
    <row r="10" spans="1:37">
      <c r="B10" s="345" t="s">
        <v>7</v>
      </c>
      <c r="C10" s="345" t="s">
        <v>8</v>
      </c>
      <c r="D10" s="345" t="s">
        <v>9</v>
      </c>
      <c r="E10" s="345" t="s">
        <v>10</v>
      </c>
      <c r="F10" s="346" t="s">
        <v>11</v>
      </c>
      <c r="G10" s="299" t="s">
        <v>12</v>
      </c>
      <c r="H10" s="299" t="s">
        <v>13</v>
      </c>
      <c r="I10" s="299" t="s">
        <v>14</v>
      </c>
      <c r="J10" s="299" t="s">
        <v>15</v>
      </c>
      <c r="K10" s="299" t="s">
        <v>16</v>
      </c>
      <c r="L10" s="299" t="s">
        <v>17</v>
      </c>
      <c r="M10" s="299" t="s">
        <v>18</v>
      </c>
      <c r="N10" s="299" t="s">
        <v>19</v>
      </c>
      <c r="O10" s="299" t="s">
        <v>20</v>
      </c>
      <c r="P10" s="299" t="s">
        <v>21</v>
      </c>
      <c r="Q10" s="299" t="s">
        <v>22</v>
      </c>
      <c r="R10" s="299" t="s">
        <v>23</v>
      </c>
      <c r="S10" s="299" t="s">
        <v>24</v>
      </c>
      <c r="T10" s="299" t="s">
        <v>25</v>
      </c>
      <c r="U10" s="299" t="s">
        <v>26</v>
      </c>
      <c r="V10" s="299" t="s">
        <v>27</v>
      </c>
      <c r="W10" s="299" t="s">
        <v>28</v>
      </c>
      <c r="X10" s="299" t="s">
        <v>29</v>
      </c>
      <c r="Y10" s="299" t="s">
        <v>30</v>
      </c>
      <c r="Z10" s="299" t="s">
        <v>31</v>
      </c>
      <c r="AA10" s="299" t="s">
        <v>582</v>
      </c>
      <c r="AB10" s="299" t="s">
        <v>583</v>
      </c>
      <c r="AC10" s="299" t="s">
        <v>584</v>
      </c>
      <c r="AD10" s="299" t="s">
        <v>585</v>
      </c>
      <c r="AE10" s="299" t="s">
        <v>586</v>
      </c>
      <c r="AF10" s="299" t="s">
        <v>587</v>
      </c>
      <c r="AG10" s="299" t="s">
        <v>588</v>
      </c>
      <c r="AH10" s="299" t="s">
        <v>589</v>
      </c>
      <c r="AI10" s="299" t="s">
        <v>590</v>
      </c>
      <c r="AJ10" s="299" t="s">
        <v>591</v>
      </c>
      <c r="AK10" s="299">
        <v>2040</v>
      </c>
    </row>
    <row r="13" spans="1:37">
      <c r="A13" s="6" t="s">
        <v>183</v>
      </c>
    </row>
    <row r="14" spans="1:37">
      <c r="A14" s="6" t="s">
        <v>182</v>
      </c>
      <c r="B14" s="347">
        <v>5.1020002365112296</v>
      </c>
      <c r="C14" s="347">
        <v>5.0669999122619602</v>
      </c>
      <c r="D14" s="347">
        <v>4.9539995193481401</v>
      </c>
      <c r="E14" s="347">
        <v>5.3799490928649902</v>
      </c>
      <c r="F14" s="348">
        <v>5.6095256805419904</v>
      </c>
      <c r="G14" s="292">
        <v>5.6580000000000004</v>
      </c>
      <c r="H14" s="292">
        <v>6.4939989999999996</v>
      </c>
      <c r="I14" s="292">
        <v>7.7220000000000004</v>
      </c>
      <c r="J14" s="292">
        <v>8.5288000000000004</v>
      </c>
      <c r="K14" s="292">
        <v>9.0378019999999992</v>
      </c>
      <c r="L14" s="292">
        <v>9.5417810000000003</v>
      </c>
      <c r="M14" s="292">
        <v>9.5568039999999996</v>
      </c>
      <c r="N14" s="292">
        <v>9.5754859999999997</v>
      </c>
      <c r="O14" s="292">
        <v>9.6082459999999994</v>
      </c>
      <c r="P14" s="292">
        <v>9.5525409999999997</v>
      </c>
      <c r="Q14" s="292">
        <v>9.4165030000000005</v>
      </c>
      <c r="R14" s="292">
        <v>9.2888249999999992</v>
      </c>
      <c r="S14" s="292">
        <v>9.1907350000000001</v>
      </c>
      <c r="T14" s="292">
        <v>9.0728480000000005</v>
      </c>
      <c r="U14" s="292">
        <v>9.0041829999999994</v>
      </c>
      <c r="V14" s="292">
        <v>8.8329439999999995</v>
      </c>
      <c r="W14" s="292">
        <v>8.6696600000000004</v>
      </c>
      <c r="X14" s="292">
        <v>8.5159219999999998</v>
      </c>
      <c r="Y14" s="292">
        <v>8.3804160000000003</v>
      </c>
      <c r="Z14" s="292">
        <v>8.3047140000000006</v>
      </c>
      <c r="AA14" s="292">
        <v>8.1595440000000004</v>
      </c>
      <c r="AB14" s="292">
        <v>8.0727349999999998</v>
      </c>
      <c r="AC14" s="292">
        <v>8.0446790000000004</v>
      </c>
      <c r="AD14" s="292">
        <v>7.984591</v>
      </c>
      <c r="AE14" s="292">
        <v>7.8722690000000002</v>
      </c>
      <c r="AF14" s="292">
        <v>7.7546290000000004</v>
      </c>
      <c r="AG14" s="292">
        <v>7.6994870000000004</v>
      </c>
      <c r="AH14" s="292">
        <v>7.5588430000000004</v>
      </c>
      <c r="AI14" s="292">
        <v>7.5302829999999998</v>
      </c>
      <c r="AJ14" s="292">
        <v>7.4801669999999998</v>
      </c>
      <c r="AK14" s="293">
        <v>5.0000000000000001E-3</v>
      </c>
    </row>
    <row r="15" spans="1:37">
      <c r="A15" s="6" t="s">
        <v>181</v>
      </c>
      <c r="B15" s="347">
        <v>0.74099999666214</v>
      </c>
      <c r="C15" s="347">
        <v>0.71899998188018799</v>
      </c>
      <c r="D15" s="347">
        <v>0.68000000715255704</v>
      </c>
      <c r="E15" s="347">
        <v>0.73478877544403098</v>
      </c>
      <c r="F15" s="348">
        <v>0.68565064668655396</v>
      </c>
      <c r="G15" s="292">
        <v>0.57199999999999995</v>
      </c>
      <c r="H15" s="292">
        <v>0.53</v>
      </c>
      <c r="I15" s="292">
        <v>0.51</v>
      </c>
      <c r="J15" s="292">
        <v>0.4738</v>
      </c>
      <c r="K15" s="292">
        <v>0.462835</v>
      </c>
      <c r="L15" s="292">
        <v>0.46215800000000001</v>
      </c>
      <c r="M15" s="292">
        <v>0.46993800000000002</v>
      </c>
      <c r="N15" s="292">
        <v>0.47195500000000001</v>
      </c>
      <c r="O15" s="292">
        <v>0.45399899999999999</v>
      </c>
      <c r="P15" s="292">
        <v>0.43714199999999998</v>
      </c>
      <c r="Q15" s="292">
        <v>0.41283700000000001</v>
      </c>
      <c r="R15" s="292">
        <v>0.388714</v>
      </c>
      <c r="S15" s="292">
        <v>0.36631000000000002</v>
      </c>
      <c r="T15" s="292">
        <v>0.34568500000000002</v>
      </c>
      <c r="U15" s="292">
        <v>0.32666899999999999</v>
      </c>
      <c r="V15" s="292">
        <v>0.30766500000000002</v>
      </c>
      <c r="W15" s="292">
        <v>0.28877399999999998</v>
      </c>
      <c r="X15" s="292">
        <v>0.27134900000000001</v>
      </c>
      <c r="Y15" s="292">
        <v>0.25525500000000001</v>
      </c>
      <c r="Z15" s="292">
        <v>0.240371</v>
      </c>
      <c r="AA15" s="292">
        <v>0.22658700000000001</v>
      </c>
      <c r="AB15" s="292">
        <v>0.273065</v>
      </c>
      <c r="AC15" s="292">
        <v>0.34021099999999999</v>
      </c>
      <c r="AD15" s="292">
        <v>0.38843800000000001</v>
      </c>
      <c r="AE15" s="292">
        <v>0.378168</v>
      </c>
      <c r="AF15" s="292">
        <v>0.36859700000000001</v>
      </c>
      <c r="AG15" s="292">
        <v>0.35966500000000001</v>
      </c>
      <c r="AH15" s="292">
        <v>0.321691</v>
      </c>
      <c r="AI15" s="292">
        <v>0.28870200000000001</v>
      </c>
      <c r="AJ15" s="292">
        <v>0.25998700000000002</v>
      </c>
      <c r="AK15" s="293">
        <v>-2.5000000000000001E-2</v>
      </c>
    </row>
    <row r="16" spans="1:37">
      <c r="A16" s="6" t="s">
        <v>180</v>
      </c>
      <c r="B16" s="347">
        <v>4.3610000610351598</v>
      </c>
      <c r="C16" s="347">
        <v>4.34800004959106</v>
      </c>
      <c r="D16" s="347">
        <v>4.2739996910095197</v>
      </c>
      <c r="E16" s="347">
        <v>4.6451601982116699</v>
      </c>
      <c r="F16" s="348">
        <v>4.9238753318786603</v>
      </c>
      <c r="G16" s="292">
        <v>5.0860000000000003</v>
      </c>
      <c r="H16" s="292">
        <v>5.9640000000000004</v>
      </c>
      <c r="I16" s="292">
        <v>7.2119999999999997</v>
      </c>
      <c r="J16" s="292">
        <v>8.0549999999999997</v>
      </c>
      <c r="K16" s="292">
        <v>8.5749659999999999</v>
      </c>
      <c r="L16" s="292">
        <v>9.0796240000000008</v>
      </c>
      <c r="M16" s="292">
        <v>9.0868660000000006</v>
      </c>
      <c r="N16" s="292">
        <v>9.1035310000000003</v>
      </c>
      <c r="O16" s="292">
        <v>9.1542469999999998</v>
      </c>
      <c r="P16" s="292">
        <v>9.1153980000000008</v>
      </c>
      <c r="Q16" s="292">
        <v>9.0036670000000001</v>
      </c>
      <c r="R16" s="292">
        <v>8.9001110000000008</v>
      </c>
      <c r="S16" s="292">
        <v>8.8244249999999997</v>
      </c>
      <c r="T16" s="292">
        <v>8.7271629999999991</v>
      </c>
      <c r="U16" s="292">
        <v>8.6775140000000004</v>
      </c>
      <c r="V16" s="292">
        <v>8.5252789999999994</v>
      </c>
      <c r="W16" s="292">
        <v>8.3808860000000003</v>
      </c>
      <c r="X16" s="292">
        <v>8.2445730000000008</v>
      </c>
      <c r="Y16" s="292">
        <v>8.1251610000000003</v>
      </c>
      <c r="Z16" s="292">
        <v>8.0643429999999992</v>
      </c>
      <c r="AA16" s="292">
        <v>7.932957</v>
      </c>
      <c r="AB16" s="292">
        <v>7.7996699999999999</v>
      </c>
      <c r="AC16" s="292">
        <v>7.7044680000000003</v>
      </c>
      <c r="AD16" s="292">
        <v>7.5961540000000003</v>
      </c>
      <c r="AE16" s="292">
        <v>7.4941009999999997</v>
      </c>
      <c r="AF16" s="292">
        <v>7.3860330000000003</v>
      </c>
      <c r="AG16" s="292">
        <v>7.3398209999999997</v>
      </c>
      <c r="AH16" s="292">
        <v>7.2371509999999999</v>
      </c>
      <c r="AI16" s="292">
        <v>7.241581</v>
      </c>
      <c r="AJ16" s="292">
        <v>7.2201810000000002</v>
      </c>
      <c r="AK16" s="293">
        <v>7.0000000000000001E-3</v>
      </c>
    </row>
    <row r="17" spans="1:38">
      <c r="A17" s="6" t="s">
        <v>179</v>
      </c>
      <c r="B17" s="347">
        <v>10.093000411987299</v>
      </c>
      <c r="C17" s="347">
        <v>10.003999710083001</v>
      </c>
      <c r="D17" s="347">
        <v>9.7010002136230504</v>
      </c>
      <c r="E17" s="347">
        <v>8.9919996261596697</v>
      </c>
      <c r="F17" s="348">
        <v>8.3191394805908203</v>
      </c>
      <c r="G17" s="292">
        <v>8.8879999999999999</v>
      </c>
      <c r="H17" s="292">
        <v>8.4319989999999994</v>
      </c>
      <c r="I17" s="292">
        <v>7.3609999999999998</v>
      </c>
      <c r="J17" s="292">
        <v>6.452</v>
      </c>
      <c r="K17" s="292">
        <v>6.1656769999999996</v>
      </c>
      <c r="L17" s="292">
        <v>5.7677230000000002</v>
      </c>
      <c r="M17" s="292">
        <v>5.8143669999999998</v>
      </c>
      <c r="N17" s="292">
        <v>5.8087150000000003</v>
      </c>
      <c r="O17" s="292">
        <v>5.7589199999999998</v>
      </c>
      <c r="P17" s="292">
        <v>5.7870730000000004</v>
      </c>
      <c r="Q17" s="292">
        <v>5.8889449999999997</v>
      </c>
      <c r="R17" s="292">
        <v>5.9421790000000003</v>
      </c>
      <c r="S17" s="292">
        <v>5.9748789999999996</v>
      </c>
      <c r="T17" s="292">
        <v>6.0359290000000003</v>
      </c>
      <c r="U17" s="292">
        <v>6.0526869999999997</v>
      </c>
      <c r="V17" s="292">
        <v>6.1879960000000001</v>
      </c>
      <c r="W17" s="292">
        <v>6.3329610000000001</v>
      </c>
      <c r="X17" s="292">
        <v>6.455387</v>
      </c>
      <c r="Y17" s="292">
        <v>6.5668860000000002</v>
      </c>
      <c r="Z17" s="292">
        <v>6.635491</v>
      </c>
      <c r="AA17" s="292">
        <v>6.7795449999999997</v>
      </c>
      <c r="AB17" s="292">
        <v>6.8623289999999999</v>
      </c>
      <c r="AC17" s="292">
        <v>6.8977040000000001</v>
      </c>
      <c r="AD17" s="292">
        <v>6.9983430000000002</v>
      </c>
      <c r="AE17" s="292">
        <v>7.1493440000000001</v>
      </c>
      <c r="AF17" s="292">
        <v>7.303795</v>
      </c>
      <c r="AG17" s="292">
        <v>7.4063970000000001</v>
      </c>
      <c r="AH17" s="292">
        <v>7.6181229999999998</v>
      </c>
      <c r="AI17" s="292">
        <v>7.6624980000000003</v>
      </c>
      <c r="AJ17" s="292">
        <v>7.742801</v>
      </c>
      <c r="AK17" s="293">
        <v>-3.0000000000000001E-3</v>
      </c>
    </row>
    <row r="18" spans="1:38">
      <c r="A18" s="6" t="s">
        <v>178</v>
      </c>
      <c r="B18" s="347">
        <v>10.118000030517599</v>
      </c>
      <c r="C18" s="347">
        <v>10.0310001373291</v>
      </c>
      <c r="D18" s="347">
        <v>9.7280006408691406</v>
      </c>
      <c r="E18" s="347">
        <v>9.0190000534057599</v>
      </c>
      <c r="F18" s="348">
        <v>8.3490304946899396</v>
      </c>
      <c r="G18" s="292">
        <v>8.9350000000000005</v>
      </c>
      <c r="H18" s="292">
        <v>8.4920000000000009</v>
      </c>
      <c r="I18" s="292">
        <v>7.4809999999999999</v>
      </c>
      <c r="J18" s="292">
        <v>6.585</v>
      </c>
      <c r="K18" s="292">
        <v>6.3116139999999996</v>
      </c>
      <c r="L18" s="292">
        <v>5.9214209999999996</v>
      </c>
      <c r="M18" s="292">
        <v>5.9680070000000001</v>
      </c>
      <c r="N18" s="292">
        <v>5.9630130000000001</v>
      </c>
      <c r="O18" s="292">
        <v>5.9123679999999998</v>
      </c>
      <c r="P18" s="292">
        <v>5.9393659999999997</v>
      </c>
      <c r="Q18" s="292">
        <v>6.0361729999999998</v>
      </c>
      <c r="R18" s="292">
        <v>6.0801559999999997</v>
      </c>
      <c r="S18" s="292">
        <v>6.1090929999999997</v>
      </c>
      <c r="T18" s="292">
        <v>6.1684799999999997</v>
      </c>
      <c r="U18" s="292">
        <v>6.1836919999999997</v>
      </c>
      <c r="V18" s="292">
        <v>6.31792</v>
      </c>
      <c r="W18" s="292">
        <v>6.4623739999999996</v>
      </c>
      <c r="X18" s="292">
        <v>6.5838710000000003</v>
      </c>
      <c r="Y18" s="292">
        <v>6.6953279999999999</v>
      </c>
      <c r="Z18" s="292">
        <v>6.7654339999999999</v>
      </c>
      <c r="AA18" s="292">
        <v>6.9090009999999999</v>
      </c>
      <c r="AB18" s="292">
        <v>6.9898129999999998</v>
      </c>
      <c r="AC18" s="292">
        <v>7.0234620000000003</v>
      </c>
      <c r="AD18" s="292">
        <v>7.1230440000000002</v>
      </c>
      <c r="AE18" s="292">
        <v>7.2727890000000004</v>
      </c>
      <c r="AF18" s="292">
        <v>7.4277439999999997</v>
      </c>
      <c r="AG18" s="292">
        <v>7.5305350000000004</v>
      </c>
      <c r="AH18" s="292">
        <v>7.7422449999999996</v>
      </c>
      <c r="AI18" s="292">
        <v>7.7863189999999998</v>
      </c>
      <c r="AJ18" s="292">
        <v>7.866511</v>
      </c>
      <c r="AK18" s="293">
        <v>-3.0000000000000001E-3</v>
      </c>
    </row>
    <row r="19" spans="1:38">
      <c r="A19" s="6" t="s">
        <v>169</v>
      </c>
      <c r="B19" s="347">
        <v>2.5000000372528999E-2</v>
      </c>
      <c r="C19" s="347">
        <v>2.70000007003546E-2</v>
      </c>
      <c r="D19" s="347">
        <v>2.70000007003546E-2</v>
      </c>
      <c r="E19" s="347">
        <v>2.70000007003546E-2</v>
      </c>
      <c r="F19" s="348">
        <v>2.9890902340412102E-2</v>
      </c>
      <c r="G19" s="292">
        <v>4.7E-2</v>
      </c>
      <c r="H19" s="292">
        <v>0.06</v>
      </c>
      <c r="I19" s="292">
        <v>0.12</v>
      </c>
      <c r="J19" s="292">
        <v>0.13300000000000001</v>
      </c>
      <c r="K19" s="292">
        <v>0.14593700000000001</v>
      </c>
      <c r="L19" s="292">
        <v>0.153697</v>
      </c>
      <c r="M19" s="292">
        <v>0.15364</v>
      </c>
      <c r="N19" s="292">
        <v>0.15429799999999999</v>
      </c>
      <c r="O19" s="292">
        <v>0.153447</v>
      </c>
      <c r="P19" s="292">
        <v>0.15229300000000001</v>
      </c>
      <c r="Q19" s="292">
        <v>0.147228</v>
      </c>
      <c r="R19" s="292">
        <v>0.13797699999999999</v>
      </c>
      <c r="S19" s="292">
        <v>0.134215</v>
      </c>
      <c r="T19" s="292">
        <v>0.132551</v>
      </c>
      <c r="U19" s="292">
        <v>0.13100500000000001</v>
      </c>
      <c r="V19" s="292">
        <v>0.12992400000000001</v>
      </c>
      <c r="W19" s="292">
        <v>0.129414</v>
      </c>
      <c r="X19" s="292">
        <v>0.12848499999999999</v>
      </c>
      <c r="Y19" s="292">
        <v>0.128441</v>
      </c>
      <c r="Z19" s="292">
        <v>0.129943</v>
      </c>
      <c r="AA19" s="292">
        <v>0.12945599999999999</v>
      </c>
      <c r="AB19" s="292">
        <v>0.12748399999999999</v>
      </c>
      <c r="AC19" s="292">
        <v>0.12575900000000001</v>
      </c>
      <c r="AD19" s="292">
        <v>0.12470100000000001</v>
      </c>
      <c r="AE19" s="292">
        <v>0.123445</v>
      </c>
      <c r="AF19" s="292">
        <v>0.123949</v>
      </c>
      <c r="AG19" s="292">
        <v>0.124137</v>
      </c>
      <c r="AH19" s="292">
        <v>0.124122</v>
      </c>
      <c r="AI19" s="292">
        <v>0.123821</v>
      </c>
      <c r="AJ19" s="292">
        <v>0.12371</v>
      </c>
      <c r="AK19" s="293">
        <v>2.5999999999999999E-2</v>
      </c>
    </row>
    <row r="20" spans="1:38">
      <c r="A20" s="6" t="s">
        <v>177</v>
      </c>
      <c r="B20" s="347">
        <v>4.80000004172325E-2</v>
      </c>
      <c r="C20" s="347">
        <v>8.79999995231628E-2</v>
      </c>
      <c r="D20" s="347">
        <v>-2.9999997466802601E-2</v>
      </c>
      <c r="E20" s="347">
        <v>1.9999999552965199E-2</v>
      </c>
      <c r="F20" s="348">
        <v>0</v>
      </c>
      <c r="G20" s="292">
        <v>0.26600000000000001</v>
      </c>
      <c r="H20" s="292">
        <v>8.6999999999999994E-2</v>
      </c>
      <c r="I20" s="292">
        <v>0.23400000000000001</v>
      </c>
      <c r="J20" s="292">
        <v>0.161</v>
      </c>
      <c r="K20" s="292">
        <v>0</v>
      </c>
      <c r="L20" s="292">
        <v>0</v>
      </c>
      <c r="M20" s="292">
        <v>0</v>
      </c>
      <c r="N20" s="292">
        <v>0</v>
      </c>
      <c r="O20" s="292">
        <v>0</v>
      </c>
      <c r="P20" s="292">
        <v>0</v>
      </c>
      <c r="Q20" s="292">
        <v>0</v>
      </c>
      <c r="R20" s="292">
        <v>0</v>
      </c>
      <c r="S20" s="292">
        <v>0</v>
      </c>
      <c r="T20" s="292">
        <v>0</v>
      </c>
      <c r="U20" s="292">
        <v>0</v>
      </c>
      <c r="V20" s="292">
        <v>0</v>
      </c>
      <c r="W20" s="292">
        <v>0</v>
      </c>
      <c r="X20" s="292">
        <v>0</v>
      </c>
      <c r="Y20" s="292">
        <v>0</v>
      </c>
      <c r="Z20" s="292">
        <v>0</v>
      </c>
      <c r="AA20" s="292">
        <v>0</v>
      </c>
      <c r="AB20" s="292">
        <v>0</v>
      </c>
      <c r="AC20" s="292">
        <v>0</v>
      </c>
      <c r="AD20" s="292">
        <v>0</v>
      </c>
      <c r="AE20" s="292">
        <v>0</v>
      </c>
      <c r="AF20" s="292">
        <v>0</v>
      </c>
      <c r="AG20" s="292">
        <v>0</v>
      </c>
      <c r="AH20" s="292">
        <v>0</v>
      </c>
      <c r="AI20" s="292">
        <v>0</v>
      </c>
      <c r="AJ20" s="292">
        <v>0</v>
      </c>
      <c r="AK20" s="292" t="s">
        <v>41</v>
      </c>
    </row>
    <row r="21" spans="1:38">
      <c r="A21" s="6" t="s">
        <v>176</v>
      </c>
      <c r="B21" s="347">
        <v>15.2430009841919</v>
      </c>
      <c r="C21" s="347">
        <v>15.158999443054199</v>
      </c>
      <c r="D21" s="347">
        <v>14.625</v>
      </c>
      <c r="E21" s="347">
        <v>14.3919486999512</v>
      </c>
      <c r="F21" s="348">
        <v>13.9286651611328</v>
      </c>
      <c r="G21" s="247">
        <v>14.811999999999999</v>
      </c>
      <c r="H21" s="247">
        <v>15.012999000000001</v>
      </c>
      <c r="I21" s="247">
        <v>15.317</v>
      </c>
      <c r="J21" s="247">
        <v>15.141800999999999</v>
      </c>
      <c r="K21" s="247">
        <v>15.203478</v>
      </c>
      <c r="L21" s="247">
        <v>15.309505</v>
      </c>
      <c r="M21" s="247">
        <v>15.371171</v>
      </c>
      <c r="N21" s="247">
        <v>15.384200999999999</v>
      </c>
      <c r="O21" s="247">
        <v>15.367167</v>
      </c>
      <c r="P21" s="247">
        <v>15.339613999999999</v>
      </c>
      <c r="Q21" s="247">
        <v>15.305448999999999</v>
      </c>
      <c r="R21" s="247">
        <v>15.231005</v>
      </c>
      <c r="S21" s="247">
        <v>15.165613</v>
      </c>
      <c r="T21" s="247">
        <v>15.108777</v>
      </c>
      <c r="U21" s="247">
        <v>15.05687</v>
      </c>
      <c r="V21" s="247">
        <v>15.020941000000001</v>
      </c>
      <c r="W21" s="247">
        <v>15.002621</v>
      </c>
      <c r="X21" s="247">
        <v>14.971308000000001</v>
      </c>
      <c r="Y21" s="247">
        <v>14.947302000000001</v>
      </c>
      <c r="Z21" s="247">
        <v>14.940206</v>
      </c>
      <c r="AA21" s="247">
        <v>14.939088999999999</v>
      </c>
      <c r="AB21" s="247">
        <v>14.935063</v>
      </c>
      <c r="AC21" s="247">
        <v>14.942383</v>
      </c>
      <c r="AD21" s="247">
        <v>14.982934999999999</v>
      </c>
      <c r="AE21" s="247">
        <v>15.021611999999999</v>
      </c>
      <c r="AF21" s="247">
        <v>15.058424</v>
      </c>
      <c r="AG21" s="247">
        <v>15.105885000000001</v>
      </c>
      <c r="AH21" s="247">
        <v>15.176966</v>
      </c>
      <c r="AI21" s="247">
        <v>15.192781</v>
      </c>
      <c r="AJ21" s="247">
        <v>15.222968</v>
      </c>
      <c r="AK21" s="248">
        <v>0</v>
      </c>
    </row>
    <row r="23" spans="1:38">
      <c r="A23" s="6" t="s">
        <v>175</v>
      </c>
    </row>
    <row r="24" spans="1:38" s="250" customFormat="1">
      <c r="A24" s="249" t="s">
        <v>174</v>
      </c>
      <c r="B24" s="347">
        <v>1.7380001544952399</v>
      </c>
      <c r="C24" s="347">
        <v>1.7829999923706099</v>
      </c>
      <c r="D24" s="347">
        <v>1.82499992847443</v>
      </c>
      <c r="E24" s="347">
        <v>1.81299996376038</v>
      </c>
      <c r="F24" s="348">
        <v>1.86609554290771</v>
      </c>
      <c r="G24" s="294">
        <v>2.2160000000000002</v>
      </c>
      <c r="H24" s="294">
        <v>2.4</v>
      </c>
      <c r="I24" s="294">
        <v>2.4900000000000002</v>
      </c>
      <c r="J24" s="294">
        <v>2.5089999999999999</v>
      </c>
      <c r="K24" s="294">
        <v>2.5561180000000001</v>
      </c>
      <c r="L24" s="294">
        <v>2.6337290000000002</v>
      </c>
      <c r="M24" s="294">
        <v>2.6633930000000001</v>
      </c>
      <c r="N24" s="294">
        <v>2.6705079999999999</v>
      </c>
      <c r="O24" s="294">
        <v>2.669905</v>
      </c>
      <c r="P24" s="294">
        <v>2.6458759999999999</v>
      </c>
      <c r="Q24" s="294">
        <v>2.60798</v>
      </c>
      <c r="R24" s="294">
        <v>2.7045080000000001</v>
      </c>
      <c r="S24" s="294">
        <v>2.7930269999999999</v>
      </c>
      <c r="T24" s="294">
        <v>2.8390249999999999</v>
      </c>
      <c r="U24" s="294">
        <v>2.8728980000000002</v>
      </c>
      <c r="V24" s="294">
        <v>2.9033150000000001</v>
      </c>
      <c r="W24" s="294">
        <v>2.9228930000000002</v>
      </c>
      <c r="X24" s="294">
        <v>2.9406509999999999</v>
      </c>
      <c r="Y24" s="294">
        <v>2.9505080000000001</v>
      </c>
      <c r="Z24" s="294">
        <v>2.978853</v>
      </c>
      <c r="AA24" s="294">
        <v>3.0103460000000002</v>
      </c>
      <c r="AB24" s="294">
        <v>3.0288490000000001</v>
      </c>
      <c r="AC24" s="294">
        <v>3.0383969999999998</v>
      </c>
      <c r="AD24" s="294">
        <v>3.0546120000000001</v>
      </c>
      <c r="AE24" s="294">
        <v>3.0492400000000002</v>
      </c>
      <c r="AF24" s="294">
        <v>3.0289980000000001</v>
      </c>
      <c r="AG24" s="294">
        <v>3.058621</v>
      </c>
      <c r="AH24" s="294">
        <v>3.037477</v>
      </c>
      <c r="AI24" s="294">
        <v>3.013617</v>
      </c>
      <c r="AJ24" s="294">
        <v>2.983552</v>
      </c>
      <c r="AK24" s="295">
        <v>8.0000000000000002E-3</v>
      </c>
    </row>
    <row r="25" spans="1:38">
      <c r="A25" s="6" t="s">
        <v>173</v>
      </c>
      <c r="B25" s="347">
        <v>2.3140001296997101</v>
      </c>
      <c r="C25" s="347">
        <v>2.0869998931884801</v>
      </c>
      <c r="D25" s="347">
        <v>1.29999995231628</v>
      </c>
      <c r="E25" s="347">
        <v>1.3280000686645499</v>
      </c>
      <c r="F25" s="348">
        <v>1.6039888858795199</v>
      </c>
      <c r="G25" s="292">
        <v>-0.252</v>
      </c>
      <c r="H25" s="292">
        <v>-0.91600000000000004</v>
      </c>
      <c r="I25" s="292">
        <v>-0.98799999999999999</v>
      </c>
      <c r="J25" s="292">
        <v>-1.0289999999999999</v>
      </c>
      <c r="K25" s="292">
        <v>-0.96462499999999995</v>
      </c>
      <c r="L25" s="292">
        <v>-0.94448699999999997</v>
      </c>
      <c r="M25" s="292">
        <v>-0.93183700000000003</v>
      </c>
      <c r="N25" s="292">
        <v>-0.91123600000000005</v>
      </c>
      <c r="O25" s="292">
        <v>-0.88706300000000005</v>
      </c>
      <c r="P25" s="292">
        <v>-0.85573100000000002</v>
      </c>
      <c r="Q25" s="292">
        <v>-0.83163799999999999</v>
      </c>
      <c r="R25" s="292">
        <v>-0.89107099999999995</v>
      </c>
      <c r="S25" s="292">
        <v>-0.94251600000000002</v>
      </c>
      <c r="T25" s="292">
        <v>-0.97565599999999997</v>
      </c>
      <c r="U25" s="292">
        <v>-1.0068220000000001</v>
      </c>
      <c r="V25" s="292">
        <v>-1.068271</v>
      </c>
      <c r="W25" s="292">
        <v>-1.122708</v>
      </c>
      <c r="X25" s="292">
        <v>-1.1588719999999999</v>
      </c>
      <c r="Y25" s="292">
        <v>-1.2142729999999999</v>
      </c>
      <c r="Z25" s="292">
        <v>-1.293569</v>
      </c>
      <c r="AA25" s="292">
        <v>-1.3683129999999999</v>
      </c>
      <c r="AB25" s="292">
        <v>-1.4270320000000001</v>
      </c>
      <c r="AC25" s="292">
        <v>-1.482378</v>
      </c>
      <c r="AD25" s="292">
        <v>-1.563064</v>
      </c>
      <c r="AE25" s="292">
        <v>-1.613156</v>
      </c>
      <c r="AF25" s="292">
        <v>-1.650264</v>
      </c>
      <c r="AG25" s="292">
        <v>-1.716191</v>
      </c>
      <c r="AH25" s="292">
        <v>-1.7615620000000001</v>
      </c>
      <c r="AI25" s="292">
        <v>-1.7771790000000001</v>
      </c>
      <c r="AJ25" s="292">
        <v>-1.816797</v>
      </c>
      <c r="AK25" s="293">
        <v>2.5000000000000001E-2</v>
      </c>
    </row>
    <row r="26" spans="1:38">
      <c r="A26" s="6" t="s">
        <v>172</v>
      </c>
      <c r="B26" s="347">
        <v>2.1710000038146999</v>
      </c>
      <c r="C26" s="347">
        <v>1.93800008296967</v>
      </c>
      <c r="D26" s="347">
        <v>1.0240000486373899</v>
      </c>
      <c r="E26" s="347">
        <v>1.06200003623962</v>
      </c>
      <c r="F26" s="348">
        <v>1.54514491558075</v>
      </c>
      <c r="G26" s="292">
        <v>1.151</v>
      </c>
      <c r="H26" s="292">
        <v>0.84799999999999998</v>
      </c>
      <c r="I26" s="292">
        <v>0.70899999999999996</v>
      </c>
      <c r="J26" s="292">
        <v>0.72</v>
      </c>
      <c r="K26" s="292">
        <v>0.81863200000000003</v>
      </c>
      <c r="L26" s="292">
        <v>0.88173000000000001</v>
      </c>
      <c r="M26" s="292">
        <v>0.906914</v>
      </c>
      <c r="N26" s="292">
        <v>0.93180099999999999</v>
      </c>
      <c r="O26" s="292">
        <v>0.95816500000000004</v>
      </c>
      <c r="P26" s="292">
        <v>0.97589599999999999</v>
      </c>
      <c r="Q26" s="292">
        <v>0.98990599999999995</v>
      </c>
      <c r="R26" s="292">
        <v>1.006778</v>
      </c>
      <c r="S26" s="292">
        <v>1.0199199999999999</v>
      </c>
      <c r="T26" s="292">
        <v>1.03091</v>
      </c>
      <c r="U26" s="292">
        <v>1.05515</v>
      </c>
      <c r="V26" s="292">
        <v>1.0587679999999999</v>
      </c>
      <c r="W26" s="292">
        <v>1.0657570000000001</v>
      </c>
      <c r="X26" s="292">
        <v>1.0659179999999999</v>
      </c>
      <c r="Y26" s="292">
        <v>1.061431</v>
      </c>
      <c r="Z26" s="292">
        <v>1.0560160000000001</v>
      </c>
      <c r="AA26" s="292">
        <v>1.05697</v>
      </c>
      <c r="AB26" s="292">
        <v>1.0702149999999999</v>
      </c>
      <c r="AC26" s="292">
        <v>1.072165</v>
      </c>
      <c r="AD26" s="292">
        <v>1.0766100000000001</v>
      </c>
      <c r="AE26" s="292">
        <v>1.0822270000000001</v>
      </c>
      <c r="AF26" s="292">
        <v>1.093154</v>
      </c>
      <c r="AG26" s="292">
        <v>1.095712</v>
      </c>
      <c r="AH26" s="292">
        <v>1.0972550000000001</v>
      </c>
      <c r="AI26" s="292">
        <v>1.1087450000000001</v>
      </c>
      <c r="AJ26" s="292">
        <v>1.0974060000000001</v>
      </c>
      <c r="AK26" s="293">
        <v>8.9999999999999993E-3</v>
      </c>
    </row>
    <row r="27" spans="1:38">
      <c r="A27" s="6" t="s">
        <v>171</v>
      </c>
      <c r="B27" s="347">
        <v>0.68900001049041704</v>
      </c>
      <c r="C27" s="347">
        <v>0.71700000762939498</v>
      </c>
      <c r="D27" s="347">
        <v>0.60663330554962203</v>
      </c>
      <c r="E27" s="347">
        <v>0.60996818542480502</v>
      </c>
      <c r="F27" s="348">
        <v>0.60277581214904796</v>
      </c>
      <c r="G27" s="292">
        <v>0.68700000000000006</v>
      </c>
      <c r="H27" s="292">
        <v>0.60299999999999998</v>
      </c>
      <c r="I27" s="292">
        <v>0.58599999999999997</v>
      </c>
      <c r="J27" s="292">
        <v>0.54400000000000004</v>
      </c>
      <c r="K27" s="292">
        <v>0.540385</v>
      </c>
      <c r="L27" s="292">
        <v>0.53676900000000005</v>
      </c>
      <c r="M27" s="292">
        <v>0.53315299999999999</v>
      </c>
      <c r="N27" s="292">
        <v>0.52953899999999998</v>
      </c>
      <c r="O27" s="292">
        <v>0.52592300000000003</v>
      </c>
      <c r="P27" s="292">
        <v>0.52230699999999997</v>
      </c>
      <c r="Q27" s="292">
        <v>0.51869299999999996</v>
      </c>
      <c r="R27" s="292">
        <v>0.51507700000000001</v>
      </c>
      <c r="S27" s="292">
        <v>0.51146100000000005</v>
      </c>
      <c r="T27" s="292">
        <v>0.50784600000000002</v>
      </c>
      <c r="U27" s="292">
        <v>0.50423099999999998</v>
      </c>
      <c r="V27" s="292">
        <v>0.50061500000000003</v>
      </c>
      <c r="W27" s="292">
        <v>0.497</v>
      </c>
      <c r="X27" s="292">
        <v>0.49338500000000002</v>
      </c>
      <c r="Y27" s="292">
        <v>0.48976900000000001</v>
      </c>
      <c r="Z27" s="292">
        <v>0.48615399999999998</v>
      </c>
      <c r="AA27" s="292">
        <v>0.48253800000000002</v>
      </c>
      <c r="AB27" s="292">
        <v>0.47892299999999999</v>
      </c>
      <c r="AC27" s="292">
        <v>0.47530800000000001</v>
      </c>
      <c r="AD27" s="292">
        <v>0.471692</v>
      </c>
      <c r="AE27" s="292">
        <v>0.46807700000000002</v>
      </c>
      <c r="AF27" s="292">
        <v>0.46446199999999999</v>
      </c>
      <c r="AG27" s="292">
        <v>0.46084599999999998</v>
      </c>
      <c r="AH27" s="292">
        <v>0.45723000000000003</v>
      </c>
      <c r="AI27" s="292">
        <v>0.45361600000000002</v>
      </c>
      <c r="AJ27" s="292">
        <v>0.45</v>
      </c>
      <c r="AK27" s="293">
        <v>-0.01</v>
      </c>
    </row>
    <row r="28" spans="1:38">
      <c r="A28" s="6" t="s">
        <v>170</v>
      </c>
      <c r="B28" s="347">
        <v>0.67700004577636697</v>
      </c>
      <c r="C28" s="347">
        <v>0.75300002098083496</v>
      </c>
      <c r="D28" s="347">
        <v>0.73199999332428001</v>
      </c>
      <c r="E28" s="347">
        <v>0.71799999475479104</v>
      </c>
      <c r="F28" s="348">
        <v>0.62520116567611705</v>
      </c>
      <c r="G28" s="292">
        <v>0.71799999999999997</v>
      </c>
      <c r="H28" s="292">
        <v>0.61599999999999999</v>
      </c>
      <c r="I28" s="292">
        <v>0.61</v>
      </c>
      <c r="J28" s="292">
        <v>0.6</v>
      </c>
      <c r="K28" s="292">
        <v>0.67105999999999999</v>
      </c>
      <c r="L28" s="292">
        <v>0.66229499999999997</v>
      </c>
      <c r="M28" s="292">
        <v>0.65169100000000002</v>
      </c>
      <c r="N28" s="292">
        <v>0.64020900000000003</v>
      </c>
      <c r="O28" s="292">
        <v>0.62541100000000005</v>
      </c>
      <c r="P28" s="292">
        <v>0.61513700000000004</v>
      </c>
      <c r="Q28" s="292">
        <v>0.606742</v>
      </c>
      <c r="R28" s="292">
        <v>0.595522</v>
      </c>
      <c r="S28" s="292">
        <v>0.58620099999999997</v>
      </c>
      <c r="T28" s="292">
        <v>0.57591400000000004</v>
      </c>
      <c r="U28" s="292">
        <v>0.55055799999999999</v>
      </c>
      <c r="V28" s="292">
        <v>0.53803599999999996</v>
      </c>
      <c r="W28" s="292">
        <v>0.524864</v>
      </c>
      <c r="X28" s="292">
        <v>0.51505000000000001</v>
      </c>
      <c r="Y28" s="292">
        <v>0.50508799999999998</v>
      </c>
      <c r="Z28" s="292">
        <v>0.49612200000000001</v>
      </c>
      <c r="AA28" s="292">
        <v>0.48664200000000002</v>
      </c>
      <c r="AB28" s="292">
        <v>0.47747699999999998</v>
      </c>
      <c r="AC28" s="292">
        <v>0.46830300000000002</v>
      </c>
      <c r="AD28" s="292">
        <v>0.45679599999999998</v>
      </c>
      <c r="AE28" s="292">
        <v>0.44836500000000001</v>
      </c>
      <c r="AF28" s="292">
        <v>0.43787900000000002</v>
      </c>
      <c r="AG28" s="292">
        <v>0.42837799999999998</v>
      </c>
      <c r="AH28" s="292">
        <v>0.41841600000000001</v>
      </c>
      <c r="AI28" s="292">
        <v>0.40845399999999998</v>
      </c>
      <c r="AJ28" s="292">
        <v>0.39849099999999998</v>
      </c>
      <c r="AK28" s="293">
        <v>-1.4999999999999999E-2</v>
      </c>
    </row>
    <row r="29" spans="1:38">
      <c r="A29" s="6" t="s">
        <v>169</v>
      </c>
      <c r="B29" s="347">
        <v>1.2150000333786</v>
      </c>
      <c r="C29" s="347">
        <v>1.32100009918213</v>
      </c>
      <c r="D29" s="347">
        <v>1.2150000333786</v>
      </c>
      <c r="E29" s="347">
        <v>1.2150000333786</v>
      </c>
      <c r="F29" s="348">
        <v>1.16913342475891</v>
      </c>
      <c r="G29" s="292">
        <v>2.8079999999999998</v>
      </c>
      <c r="H29" s="292">
        <v>2.9830000000000001</v>
      </c>
      <c r="I29" s="292">
        <v>2.8929999999999998</v>
      </c>
      <c r="J29" s="292">
        <v>2.8929999999999998</v>
      </c>
      <c r="K29" s="292">
        <v>2.9947010000000001</v>
      </c>
      <c r="L29" s="292">
        <v>3.0252810000000001</v>
      </c>
      <c r="M29" s="292">
        <v>3.023596</v>
      </c>
      <c r="N29" s="292">
        <v>3.0127839999999999</v>
      </c>
      <c r="O29" s="292">
        <v>2.9965619999999999</v>
      </c>
      <c r="P29" s="292">
        <v>2.9690720000000002</v>
      </c>
      <c r="Q29" s="292">
        <v>2.9469789999999998</v>
      </c>
      <c r="R29" s="292">
        <v>3.0084490000000002</v>
      </c>
      <c r="S29" s="292">
        <v>3.0600990000000001</v>
      </c>
      <c r="T29" s="292">
        <v>3.090325</v>
      </c>
      <c r="U29" s="292">
        <v>3.1167609999999999</v>
      </c>
      <c r="V29" s="292">
        <v>3.1656900000000001</v>
      </c>
      <c r="W29" s="292">
        <v>3.2103290000000002</v>
      </c>
      <c r="X29" s="292">
        <v>3.2332260000000002</v>
      </c>
      <c r="Y29" s="292">
        <v>3.2705609999999998</v>
      </c>
      <c r="Z29" s="292">
        <v>3.331861</v>
      </c>
      <c r="AA29" s="292">
        <v>3.3944640000000001</v>
      </c>
      <c r="AB29" s="292">
        <v>3.4536470000000001</v>
      </c>
      <c r="AC29" s="292">
        <v>3.498154</v>
      </c>
      <c r="AD29" s="292">
        <v>3.5681620000000001</v>
      </c>
      <c r="AE29" s="292">
        <v>3.6118250000000001</v>
      </c>
      <c r="AF29" s="292">
        <v>3.6457579999999998</v>
      </c>
      <c r="AG29" s="292">
        <v>3.7011270000000001</v>
      </c>
      <c r="AH29" s="292">
        <v>3.7344629999999999</v>
      </c>
      <c r="AI29" s="292">
        <v>3.7479930000000001</v>
      </c>
      <c r="AJ29" s="292">
        <v>3.7626949999999999</v>
      </c>
      <c r="AK29" s="293">
        <v>8.0000000000000002E-3</v>
      </c>
    </row>
    <row r="30" spans="1:38">
      <c r="A30" s="6" t="s">
        <v>168</v>
      </c>
      <c r="B30" s="347">
        <v>0.99400001764297496</v>
      </c>
      <c r="C30" s="347">
        <v>0.99599999189376798</v>
      </c>
      <c r="D30" s="347">
        <v>0.99699997901916504</v>
      </c>
      <c r="E30" s="347">
        <v>0.97899997234344505</v>
      </c>
      <c r="F30" s="348">
        <v>0.97222220897674605</v>
      </c>
      <c r="G30" s="292">
        <v>1.0760000000000001</v>
      </c>
      <c r="H30" s="292">
        <v>1.077</v>
      </c>
      <c r="I30" s="292">
        <v>1.0620000000000001</v>
      </c>
      <c r="J30" s="292">
        <v>1.0549999999999999</v>
      </c>
      <c r="K30" s="292">
        <v>1.1173770000000001</v>
      </c>
      <c r="L30" s="292">
        <v>1.107977</v>
      </c>
      <c r="M30" s="292">
        <v>1.1068800000000001</v>
      </c>
      <c r="N30" s="292">
        <v>1.1013949999999999</v>
      </c>
      <c r="O30" s="292">
        <v>1.0899559999999999</v>
      </c>
      <c r="P30" s="292">
        <v>1.0810919999999999</v>
      </c>
      <c r="Q30" s="292">
        <v>1.070587</v>
      </c>
      <c r="R30" s="292">
        <v>1.0513539999999999</v>
      </c>
      <c r="S30" s="292">
        <v>1.032008</v>
      </c>
      <c r="T30" s="292">
        <v>1.0139609999999999</v>
      </c>
      <c r="U30" s="292">
        <v>0.99733000000000005</v>
      </c>
      <c r="V30" s="292">
        <v>0.98163100000000003</v>
      </c>
      <c r="W30" s="292">
        <v>0.97328499999999996</v>
      </c>
      <c r="X30" s="292">
        <v>0.96382100000000004</v>
      </c>
      <c r="Y30" s="292">
        <v>0.95674199999999998</v>
      </c>
      <c r="Z30" s="292">
        <v>0.95704199999999995</v>
      </c>
      <c r="AA30" s="292">
        <v>0.95328999999999997</v>
      </c>
      <c r="AB30" s="292">
        <v>0.95369499999999996</v>
      </c>
      <c r="AC30" s="292">
        <v>0.949291</v>
      </c>
      <c r="AD30" s="292">
        <v>0.94474999999999998</v>
      </c>
      <c r="AE30" s="292">
        <v>0.94433999999999996</v>
      </c>
      <c r="AF30" s="292">
        <v>0.94618999999999998</v>
      </c>
      <c r="AG30" s="292">
        <v>0.94669300000000001</v>
      </c>
      <c r="AH30" s="292">
        <v>0.95018899999999995</v>
      </c>
      <c r="AI30" s="292">
        <v>0.95436399999999999</v>
      </c>
      <c r="AJ30" s="292">
        <v>0.95464199999999999</v>
      </c>
      <c r="AK30" s="293">
        <v>-4.0000000000000001E-3</v>
      </c>
    </row>
    <row r="31" spans="1:38">
      <c r="A31" s="6" t="s">
        <v>691</v>
      </c>
      <c r="B31" s="347">
        <v>0.40835106372833302</v>
      </c>
      <c r="C31" s="347">
        <v>0.74303030967712402</v>
      </c>
      <c r="D31" s="347">
        <v>0.90019965171813998</v>
      </c>
      <c r="E31" s="347">
        <v>0.90936332941055298</v>
      </c>
      <c r="F31" s="348">
        <v>1.2169610261917101</v>
      </c>
      <c r="G31" s="292">
        <v>0.87458199999999997</v>
      </c>
      <c r="H31" s="292">
        <v>0.88629000000000002</v>
      </c>
      <c r="I31" s="292">
        <v>0.91131799999999996</v>
      </c>
      <c r="J31" s="292">
        <v>0.94543999999999995</v>
      </c>
      <c r="K31" s="292">
        <v>0.95931299999999997</v>
      </c>
      <c r="L31" s="292">
        <v>0.96406000000000003</v>
      </c>
      <c r="M31" s="292">
        <v>0.97751200000000005</v>
      </c>
      <c r="N31" s="292">
        <v>0.98974300000000004</v>
      </c>
      <c r="O31" s="292">
        <v>1.0016430000000001</v>
      </c>
      <c r="P31" s="292">
        <v>1.014486</v>
      </c>
      <c r="Q31" s="292">
        <v>1.026421</v>
      </c>
      <c r="R31" s="292">
        <v>1.04257</v>
      </c>
      <c r="S31" s="292">
        <v>1.0409060000000001</v>
      </c>
      <c r="T31" s="292">
        <v>1.042815</v>
      </c>
      <c r="U31" s="292">
        <v>1.0410189999999999</v>
      </c>
      <c r="V31" s="292">
        <v>1.0405869999999999</v>
      </c>
      <c r="W31" s="292">
        <v>1.0406690000000001</v>
      </c>
      <c r="X31" s="292">
        <v>1.0407820000000001</v>
      </c>
      <c r="Y31" s="292">
        <v>1.0402199999999999</v>
      </c>
      <c r="Z31" s="292">
        <v>1.0406690000000001</v>
      </c>
      <c r="AA31" s="292">
        <v>1.0418559999999999</v>
      </c>
      <c r="AB31" s="292">
        <v>1.0410980000000001</v>
      </c>
      <c r="AC31" s="292">
        <v>1.041115</v>
      </c>
      <c r="AD31" s="292">
        <v>1.0421020000000001</v>
      </c>
      <c r="AE31" s="292">
        <v>1.0415099999999999</v>
      </c>
      <c r="AF31" s="292">
        <v>1.039404</v>
      </c>
      <c r="AG31" s="292">
        <v>1.038624</v>
      </c>
      <c r="AH31" s="292">
        <v>1.041671</v>
      </c>
      <c r="AI31" s="292">
        <v>1.0532999999999999</v>
      </c>
      <c r="AJ31" s="292">
        <v>1.0676890000000001</v>
      </c>
      <c r="AK31" s="293">
        <v>7.0000000000000001E-3</v>
      </c>
    </row>
    <row r="32" spans="1:38" s="18" customFormat="1">
      <c r="A32" s="17" t="s">
        <v>167</v>
      </c>
      <c r="B32" s="349">
        <v>0.31900000572204601</v>
      </c>
      <c r="C32" s="349">
        <v>0.42500001192092901</v>
      </c>
      <c r="D32" s="349">
        <v>0.60299998521804798</v>
      </c>
      <c r="E32" s="349">
        <v>0.68500006198883101</v>
      </c>
      <c r="F32" s="350">
        <v>0.84147453308105502</v>
      </c>
      <c r="G32" s="292">
        <v>0.81834200000000001</v>
      </c>
      <c r="H32" s="292">
        <v>0.82725800000000005</v>
      </c>
      <c r="I32" s="292">
        <v>0.825187</v>
      </c>
      <c r="J32" s="292">
        <v>0.85004199999999996</v>
      </c>
      <c r="K32" s="292">
        <v>0.865282</v>
      </c>
      <c r="L32" s="292">
        <v>0.869251</v>
      </c>
      <c r="M32" s="292">
        <v>0.88145200000000001</v>
      </c>
      <c r="N32" s="292">
        <v>0.88586200000000004</v>
      </c>
      <c r="O32" s="292">
        <v>0.88890000000000002</v>
      </c>
      <c r="P32" s="292">
        <v>0.89585899999999996</v>
      </c>
      <c r="Q32" s="292">
        <v>0.89987200000000001</v>
      </c>
      <c r="R32" s="292">
        <v>0.91550900000000002</v>
      </c>
      <c r="S32" s="292">
        <v>0.91492399999999996</v>
      </c>
      <c r="T32" s="292">
        <v>0.91555299999999995</v>
      </c>
      <c r="U32" s="292">
        <v>0.91523600000000005</v>
      </c>
      <c r="V32" s="292">
        <v>0.91508800000000001</v>
      </c>
      <c r="W32" s="292">
        <v>0.91518600000000006</v>
      </c>
      <c r="X32" s="292">
        <v>0.91533399999999998</v>
      </c>
      <c r="Y32" s="292">
        <v>0.91476000000000002</v>
      </c>
      <c r="Z32" s="292">
        <v>0.91483099999999995</v>
      </c>
      <c r="AA32" s="292">
        <v>0.91463499999999998</v>
      </c>
      <c r="AB32" s="292">
        <v>0.91389500000000001</v>
      </c>
      <c r="AC32" s="292">
        <v>0.91388999999999998</v>
      </c>
      <c r="AD32" s="292">
        <v>0.91484699999999997</v>
      </c>
      <c r="AE32" s="292">
        <v>0.91425800000000002</v>
      </c>
      <c r="AF32" s="292">
        <v>0.91217999999999999</v>
      </c>
      <c r="AG32" s="292">
        <v>0.91165499999999999</v>
      </c>
      <c r="AH32" s="292">
        <v>0.91445399999999999</v>
      </c>
      <c r="AI32" s="292">
        <v>0.92887299999999995</v>
      </c>
      <c r="AJ32" s="292">
        <v>0.94600499999999998</v>
      </c>
      <c r="AK32" s="293">
        <v>5.0000000000000001E-3</v>
      </c>
      <c r="AL32" s="51">
        <f>C32*(1+AK32)^23</f>
        <v>0.4766596202229666</v>
      </c>
    </row>
    <row r="33" spans="1:38" s="18" customFormat="1">
      <c r="A33" s="17" t="s">
        <v>165</v>
      </c>
      <c r="B33" s="349">
        <v>0.273288995027542</v>
      </c>
      <c r="C33" s="349">
        <v>0.40336400270461997</v>
      </c>
      <c r="D33" s="349">
        <v>0.58252400159835804</v>
      </c>
      <c r="E33" s="349">
        <v>0.68972003459930398</v>
      </c>
      <c r="F33" s="350">
        <v>0.84179353713989302</v>
      </c>
      <c r="G33" s="292">
        <v>0.88597599999999999</v>
      </c>
      <c r="H33" s="292">
        <v>0.84365599999999996</v>
      </c>
      <c r="I33" s="292">
        <v>0.83595299999999995</v>
      </c>
      <c r="J33" s="292">
        <v>0.86998399999999998</v>
      </c>
      <c r="K33" s="292">
        <v>0.82013999999999998</v>
      </c>
      <c r="L33" s="292">
        <v>0.82233599999999996</v>
      </c>
      <c r="M33" s="292">
        <v>0.83316999999999997</v>
      </c>
      <c r="N33" s="292">
        <v>0.834866</v>
      </c>
      <c r="O33" s="292">
        <v>0.83494199999999996</v>
      </c>
      <c r="P33" s="292">
        <v>0.84040599999999999</v>
      </c>
      <c r="Q33" s="292">
        <v>0.83868500000000001</v>
      </c>
      <c r="R33" s="292">
        <v>0.84875</v>
      </c>
      <c r="S33" s="292">
        <v>0.85439200000000004</v>
      </c>
      <c r="T33" s="292">
        <v>0.85437700000000005</v>
      </c>
      <c r="U33" s="292">
        <v>0.85438800000000004</v>
      </c>
      <c r="V33" s="292">
        <v>0.85439200000000004</v>
      </c>
      <c r="W33" s="292">
        <v>0.85523000000000005</v>
      </c>
      <c r="X33" s="292">
        <v>0.85584700000000002</v>
      </c>
      <c r="Y33" s="292">
        <v>0.85583500000000001</v>
      </c>
      <c r="Z33" s="292">
        <v>0.85584700000000002</v>
      </c>
      <c r="AA33" s="292">
        <v>0.85584700000000002</v>
      </c>
      <c r="AB33" s="292">
        <v>0.85583500000000001</v>
      </c>
      <c r="AC33" s="292">
        <v>0.85583500000000001</v>
      </c>
      <c r="AD33" s="292">
        <v>0.85583500000000001</v>
      </c>
      <c r="AE33" s="292">
        <v>0.85358400000000001</v>
      </c>
      <c r="AF33" s="292">
        <v>0.84983299999999995</v>
      </c>
      <c r="AG33" s="292">
        <v>0.84757499999999997</v>
      </c>
      <c r="AH33" s="292">
        <v>0.84855400000000003</v>
      </c>
      <c r="AI33" s="292">
        <v>0.85902400000000001</v>
      </c>
      <c r="AJ33" s="292">
        <v>0.86278500000000002</v>
      </c>
      <c r="AK33" s="293">
        <v>1E-3</v>
      </c>
      <c r="AL33" s="51" t="s">
        <v>0</v>
      </c>
    </row>
    <row r="34" spans="1:38">
      <c r="A34" s="6" t="s">
        <v>164</v>
      </c>
      <c r="B34" s="347">
        <v>4.5710995793342597E-2</v>
      </c>
      <c r="C34" s="347">
        <v>2.1635998040437698E-2</v>
      </c>
      <c r="D34" s="347">
        <v>2.0475998520851101E-2</v>
      </c>
      <c r="E34" s="347">
        <v>-4.7199996188283001E-3</v>
      </c>
      <c r="F34" s="348">
        <v>-3.1897879671305402E-4</v>
      </c>
      <c r="G34" s="292">
        <v>-6.6753999999999994E-2</v>
      </c>
      <c r="H34" s="292">
        <v>-1.6397999999999999E-2</v>
      </c>
      <c r="I34" s="292">
        <v>-1.0766E-2</v>
      </c>
      <c r="J34" s="292">
        <v>-1.9942000000000001E-2</v>
      </c>
      <c r="K34" s="292">
        <v>4.5142000000000002E-2</v>
      </c>
      <c r="L34" s="292">
        <v>4.6915999999999999E-2</v>
      </c>
      <c r="M34" s="292">
        <v>4.8281999999999999E-2</v>
      </c>
      <c r="N34" s="292">
        <v>5.0996E-2</v>
      </c>
      <c r="O34" s="292">
        <v>5.3957999999999999E-2</v>
      </c>
      <c r="P34" s="292">
        <v>5.5452000000000001E-2</v>
      </c>
      <c r="Q34" s="292">
        <v>6.1186999999999998E-2</v>
      </c>
      <c r="R34" s="292">
        <v>6.6758999999999999E-2</v>
      </c>
      <c r="S34" s="292">
        <v>6.0532000000000002E-2</v>
      </c>
      <c r="T34" s="292">
        <v>6.1176000000000001E-2</v>
      </c>
      <c r="U34" s="292">
        <v>6.0847999999999999E-2</v>
      </c>
      <c r="V34" s="292">
        <v>6.0696E-2</v>
      </c>
      <c r="W34" s="292">
        <v>5.9957000000000003E-2</v>
      </c>
      <c r="X34" s="292">
        <v>5.9486999999999998E-2</v>
      </c>
      <c r="Y34" s="292">
        <v>5.8924999999999998E-2</v>
      </c>
      <c r="Z34" s="292">
        <v>5.8984000000000002E-2</v>
      </c>
      <c r="AA34" s="292">
        <v>5.8788E-2</v>
      </c>
      <c r="AB34" s="292">
        <v>5.806E-2</v>
      </c>
      <c r="AC34" s="292">
        <v>5.8056000000000003E-2</v>
      </c>
      <c r="AD34" s="292">
        <v>5.9012000000000002E-2</v>
      </c>
      <c r="AE34" s="292">
        <v>6.0673999999999999E-2</v>
      </c>
      <c r="AF34" s="292">
        <v>6.2348000000000001E-2</v>
      </c>
      <c r="AG34" s="292">
        <v>6.4079999999999998E-2</v>
      </c>
      <c r="AH34" s="292">
        <v>6.59E-2</v>
      </c>
      <c r="AI34" s="292">
        <v>6.9848999999999994E-2</v>
      </c>
      <c r="AJ34" s="292">
        <v>8.3220000000000002E-2</v>
      </c>
      <c r="AK34" s="292" t="s">
        <v>41</v>
      </c>
    </row>
    <row r="35" spans="1:38" s="18" customFormat="1">
      <c r="A35" s="17" t="s">
        <v>166</v>
      </c>
      <c r="B35" s="349">
        <v>1.6338998451829002E-2</v>
      </c>
      <c r="C35" s="349">
        <v>3.2029997557401699E-2</v>
      </c>
      <c r="D35" s="349">
        <v>5.1199223846197101E-2</v>
      </c>
      <c r="E35" s="349">
        <v>6.0358572751283597E-2</v>
      </c>
      <c r="F35" s="350">
        <v>6.3932694494724301E-2</v>
      </c>
      <c r="G35" s="292">
        <v>5.6239999999999998E-2</v>
      </c>
      <c r="H35" s="292">
        <v>5.9032000000000001E-2</v>
      </c>
      <c r="I35" s="292">
        <v>8.6099999999999996E-2</v>
      </c>
      <c r="J35" s="292">
        <v>9.0199000000000001E-2</v>
      </c>
      <c r="K35" s="292">
        <v>9.0070999999999998E-2</v>
      </c>
      <c r="L35" s="292">
        <v>8.6830000000000004E-2</v>
      </c>
      <c r="M35" s="292">
        <v>8.6858000000000005E-2</v>
      </c>
      <c r="N35" s="292">
        <v>8.5750999999999994E-2</v>
      </c>
      <c r="O35" s="292">
        <v>8.7317000000000006E-2</v>
      </c>
      <c r="P35" s="292">
        <v>8.8449E-2</v>
      </c>
      <c r="Q35" s="292">
        <v>8.8486999999999996E-2</v>
      </c>
      <c r="R35" s="292">
        <v>8.8999999999999996E-2</v>
      </c>
      <c r="S35" s="292">
        <v>8.8025000000000006E-2</v>
      </c>
      <c r="T35" s="292">
        <v>8.9304999999999995E-2</v>
      </c>
      <c r="U35" s="292">
        <v>8.7721999999999994E-2</v>
      </c>
      <c r="V35" s="292">
        <v>8.7541999999999995E-2</v>
      </c>
      <c r="W35" s="292">
        <v>8.7525000000000006E-2</v>
      </c>
      <c r="X35" s="292">
        <v>8.7489999999999998E-2</v>
      </c>
      <c r="Y35" s="292">
        <v>8.7501999999999996E-2</v>
      </c>
      <c r="Z35" s="292">
        <v>8.788E-2</v>
      </c>
      <c r="AA35" s="292">
        <v>8.9262999999999995E-2</v>
      </c>
      <c r="AB35" s="292">
        <v>8.9245000000000005E-2</v>
      </c>
      <c r="AC35" s="292">
        <v>8.9370000000000005E-2</v>
      </c>
      <c r="AD35" s="292">
        <v>8.9401999999999995E-2</v>
      </c>
      <c r="AE35" s="292">
        <v>8.9397000000000004E-2</v>
      </c>
      <c r="AF35" s="292">
        <v>8.9370000000000005E-2</v>
      </c>
      <c r="AG35" s="292">
        <v>8.9115E-2</v>
      </c>
      <c r="AH35" s="292">
        <v>8.9362999999999998E-2</v>
      </c>
      <c r="AI35" s="292">
        <v>8.9108000000000007E-2</v>
      </c>
      <c r="AJ35" s="292">
        <v>8.9448E-2</v>
      </c>
      <c r="AK35" s="292" t="s">
        <v>41</v>
      </c>
    </row>
    <row r="36" spans="1:38" s="18" customFormat="1">
      <c r="A36" s="17" t="s">
        <v>165</v>
      </c>
      <c r="B36" s="349">
        <v>1.6338998451829002E-2</v>
      </c>
      <c r="C36" s="349">
        <v>3.2029997557401699E-2</v>
      </c>
      <c r="D36" s="349">
        <v>5.1199223846197101E-2</v>
      </c>
      <c r="E36" s="349">
        <v>6.0358572751283597E-2</v>
      </c>
      <c r="F36" s="350">
        <v>6.3932694494724301E-2</v>
      </c>
      <c r="G36" s="292">
        <v>6.3100000000000003E-2</v>
      </c>
      <c r="H36" s="292">
        <v>6.3100000000000003E-2</v>
      </c>
      <c r="I36" s="292">
        <v>8.1100000000000005E-2</v>
      </c>
      <c r="J36" s="292">
        <v>8.7099999999999997E-2</v>
      </c>
      <c r="K36" s="292">
        <v>7.9580999999999999E-2</v>
      </c>
      <c r="L36" s="292">
        <v>7.6044E-2</v>
      </c>
      <c r="M36" s="292">
        <v>7.5939000000000006E-2</v>
      </c>
      <c r="N36" s="292">
        <v>7.4647000000000005E-2</v>
      </c>
      <c r="O36" s="292">
        <v>7.6071E-2</v>
      </c>
      <c r="P36" s="292">
        <v>7.6998999999999998E-2</v>
      </c>
      <c r="Q36" s="292">
        <v>7.6729000000000006E-2</v>
      </c>
      <c r="R36" s="292">
        <v>7.7030000000000001E-2</v>
      </c>
      <c r="S36" s="292">
        <v>7.5851000000000002E-2</v>
      </c>
      <c r="T36" s="292">
        <v>7.7146000000000006E-2</v>
      </c>
      <c r="U36" s="292">
        <v>7.5544E-2</v>
      </c>
      <c r="V36" s="292">
        <v>7.5385999999999995E-2</v>
      </c>
      <c r="W36" s="292">
        <v>7.5385999999999995E-2</v>
      </c>
      <c r="X36" s="292">
        <v>7.5385999999999995E-2</v>
      </c>
      <c r="Y36" s="292">
        <v>7.5385999999999995E-2</v>
      </c>
      <c r="Z36" s="292">
        <v>7.5749999999999998E-2</v>
      </c>
      <c r="AA36" s="292">
        <v>7.7146000000000006E-2</v>
      </c>
      <c r="AB36" s="292">
        <v>7.7146000000000006E-2</v>
      </c>
      <c r="AC36" s="292">
        <v>7.7260999999999996E-2</v>
      </c>
      <c r="AD36" s="292">
        <v>7.7260999999999996E-2</v>
      </c>
      <c r="AE36" s="292">
        <v>7.7260999999999996E-2</v>
      </c>
      <c r="AF36" s="292">
        <v>7.7260999999999996E-2</v>
      </c>
      <c r="AG36" s="292">
        <v>7.7010999999999996E-2</v>
      </c>
      <c r="AH36" s="292">
        <v>7.7260999999999996E-2</v>
      </c>
      <c r="AI36" s="292">
        <v>7.7010999999999996E-2</v>
      </c>
      <c r="AJ36" s="292">
        <v>7.7376E-2</v>
      </c>
      <c r="AK36" s="293">
        <v>7.0000000000000001E-3</v>
      </c>
    </row>
    <row r="37" spans="1:38">
      <c r="A37" s="6" t="s">
        <v>164</v>
      </c>
      <c r="B37" s="347">
        <v>0</v>
      </c>
      <c r="C37" s="347">
        <v>0</v>
      </c>
      <c r="D37" s="347">
        <v>0</v>
      </c>
      <c r="E37" s="347">
        <v>0</v>
      </c>
      <c r="F37" s="348">
        <v>0</v>
      </c>
      <c r="G37" s="292">
        <v>-3.4629999999999999E-3</v>
      </c>
      <c r="H37" s="292">
        <v>-4.0679999999999996E-3</v>
      </c>
      <c r="I37" s="292">
        <v>5.0000000000000001E-3</v>
      </c>
      <c r="J37" s="292">
        <v>3.0990000000000002E-3</v>
      </c>
      <c r="K37" s="292">
        <v>1.0489999999999999E-2</v>
      </c>
      <c r="L37" s="292">
        <v>1.0786E-2</v>
      </c>
      <c r="M37" s="292">
        <v>1.0919E-2</v>
      </c>
      <c r="N37" s="292">
        <v>1.1103999999999999E-2</v>
      </c>
      <c r="O37" s="292">
        <v>1.1247E-2</v>
      </c>
      <c r="P37" s="292">
        <v>1.145E-2</v>
      </c>
      <c r="Q37" s="292">
        <v>1.1757999999999999E-2</v>
      </c>
      <c r="R37" s="292">
        <v>1.197E-2</v>
      </c>
      <c r="S37" s="292">
        <v>1.2174000000000001E-2</v>
      </c>
      <c r="T37" s="292">
        <v>1.2159E-2</v>
      </c>
      <c r="U37" s="292">
        <v>1.2178E-2</v>
      </c>
      <c r="V37" s="292">
        <v>1.2154999999999999E-2</v>
      </c>
      <c r="W37" s="292">
        <v>1.2139E-2</v>
      </c>
      <c r="X37" s="292">
        <v>1.2104E-2</v>
      </c>
      <c r="Y37" s="292">
        <v>1.2116E-2</v>
      </c>
      <c r="Z37" s="292">
        <v>1.2130999999999999E-2</v>
      </c>
      <c r="AA37" s="292">
        <v>1.2118E-2</v>
      </c>
      <c r="AB37" s="292">
        <v>1.21E-2</v>
      </c>
      <c r="AC37" s="292">
        <v>1.2109999999999999E-2</v>
      </c>
      <c r="AD37" s="292">
        <v>1.2141000000000001E-2</v>
      </c>
      <c r="AE37" s="292">
        <v>1.2137E-2</v>
      </c>
      <c r="AF37" s="292">
        <v>1.2109E-2</v>
      </c>
      <c r="AG37" s="292">
        <v>1.2102999999999999E-2</v>
      </c>
      <c r="AH37" s="292">
        <v>1.2102E-2</v>
      </c>
      <c r="AI37" s="292">
        <v>1.2096000000000001E-2</v>
      </c>
      <c r="AJ37" s="292">
        <v>1.2071999999999999E-2</v>
      </c>
      <c r="AK37" s="292" t="s">
        <v>41</v>
      </c>
    </row>
    <row r="38" spans="1:38">
      <c r="A38" s="6" t="s">
        <v>163</v>
      </c>
      <c r="B38" s="347">
        <v>0</v>
      </c>
      <c r="C38" s="347">
        <v>0</v>
      </c>
      <c r="D38" s="347">
        <v>0</v>
      </c>
      <c r="E38" s="347">
        <v>0</v>
      </c>
      <c r="F38" s="348">
        <v>0</v>
      </c>
      <c r="G38" s="292">
        <v>2.2160000000000002</v>
      </c>
      <c r="H38" s="292">
        <v>2.4</v>
      </c>
      <c r="I38" s="292">
        <v>2.4900000000000002</v>
      </c>
      <c r="J38" s="292">
        <v>2.5089999999999999</v>
      </c>
      <c r="K38" s="292">
        <v>2.5561180000000001</v>
      </c>
      <c r="L38" s="292">
        <v>2.6337290000000002</v>
      </c>
      <c r="M38" s="292">
        <v>2.6633930000000001</v>
      </c>
      <c r="N38" s="292">
        <v>2.6705079999999999</v>
      </c>
      <c r="O38" s="292">
        <v>2.669905</v>
      </c>
      <c r="P38" s="292">
        <v>2.6458759999999999</v>
      </c>
      <c r="Q38" s="292">
        <v>2.60798</v>
      </c>
      <c r="R38" s="292">
        <v>2.7045080000000001</v>
      </c>
      <c r="S38" s="292">
        <v>2.7930269999999999</v>
      </c>
      <c r="T38" s="292">
        <v>2.8390249999999999</v>
      </c>
      <c r="U38" s="292">
        <v>2.8728980000000002</v>
      </c>
      <c r="V38" s="292">
        <v>2.9033150000000001</v>
      </c>
      <c r="W38" s="292">
        <v>2.9228930000000002</v>
      </c>
      <c r="X38" s="292">
        <v>2.9406509999999999</v>
      </c>
      <c r="Y38" s="292">
        <v>2.9505080000000001</v>
      </c>
      <c r="Z38" s="292">
        <v>2.978853</v>
      </c>
      <c r="AA38" s="292">
        <v>3.0103460000000002</v>
      </c>
      <c r="AB38" s="292">
        <v>3.0288490000000001</v>
      </c>
      <c r="AC38" s="292">
        <v>3.0383969999999998</v>
      </c>
      <c r="AD38" s="292">
        <v>3.0546120000000001</v>
      </c>
      <c r="AE38" s="292">
        <v>3.0492400000000002</v>
      </c>
      <c r="AF38" s="292">
        <v>3.0289980000000001</v>
      </c>
      <c r="AG38" s="292">
        <v>3.058621</v>
      </c>
      <c r="AH38" s="292">
        <v>3.037477</v>
      </c>
      <c r="AI38" s="292">
        <v>3.013617</v>
      </c>
      <c r="AJ38" s="292">
        <v>2.983552</v>
      </c>
      <c r="AK38" s="293">
        <v>8.0000000000000002E-3</v>
      </c>
    </row>
    <row r="39" spans="1:38">
      <c r="A39" s="6" t="s">
        <v>162</v>
      </c>
      <c r="B39" s="347">
        <v>0</v>
      </c>
      <c r="C39" s="347">
        <v>0</v>
      </c>
      <c r="D39" s="347">
        <v>0</v>
      </c>
      <c r="E39" s="347">
        <v>0</v>
      </c>
      <c r="F39" s="348">
        <v>0</v>
      </c>
      <c r="G39" s="292">
        <v>0</v>
      </c>
      <c r="H39" s="292">
        <v>0</v>
      </c>
      <c r="I39" s="292">
        <v>0</v>
      </c>
      <c r="J39" s="292">
        <v>0</v>
      </c>
      <c r="K39" s="292">
        <v>0</v>
      </c>
      <c r="L39" s="292">
        <v>0</v>
      </c>
      <c r="M39" s="292">
        <v>0</v>
      </c>
      <c r="N39" s="292">
        <v>0</v>
      </c>
      <c r="O39" s="292">
        <v>0</v>
      </c>
      <c r="P39" s="292">
        <v>0</v>
      </c>
      <c r="Q39" s="292">
        <v>0</v>
      </c>
      <c r="R39" s="292">
        <v>0</v>
      </c>
      <c r="S39" s="292">
        <v>0</v>
      </c>
      <c r="T39" s="292">
        <v>0</v>
      </c>
      <c r="U39" s="292">
        <v>0</v>
      </c>
      <c r="V39" s="292">
        <v>0</v>
      </c>
      <c r="W39" s="292">
        <v>0</v>
      </c>
      <c r="X39" s="292">
        <v>0</v>
      </c>
      <c r="Y39" s="292">
        <v>0</v>
      </c>
      <c r="Z39" s="292">
        <v>0</v>
      </c>
      <c r="AA39" s="292">
        <v>0</v>
      </c>
      <c r="AB39" s="292">
        <v>0</v>
      </c>
      <c r="AC39" s="292">
        <v>0</v>
      </c>
      <c r="AD39" s="292">
        <v>0</v>
      </c>
      <c r="AE39" s="292">
        <v>0</v>
      </c>
      <c r="AF39" s="292">
        <v>0</v>
      </c>
      <c r="AG39" s="292">
        <v>0</v>
      </c>
      <c r="AH39" s="292">
        <v>0</v>
      </c>
      <c r="AI39" s="292">
        <v>0</v>
      </c>
      <c r="AJ39" s="292">
        <v>0</v>
      </c>
      <c r="AK39" s="292" t="s">
        <v>41</v>
      </c>
    </row>
    <row r="40" spans="1:38" s="269" customFormat="1">
      <c r="A40" s="268" t="s">
        <v>161</v>
      </c>
      <c r="B40" s="349">
        <v>0</v>
      </c>
      <c r="C40" s="349">
        <v>0</v>
      </c>
      <c r="D40" s="349">
        <v>0</v>
      </c>
      <c r="E40" s="349">
        <v>0</v>
      </c>
      <c r="F40" s="350">
        <v>0</v>
      </c>
      <c r="G40" s="300">
        <v>0</v>
      </c>
      <c r="H40" s="300">
        <v>3.4809526987373799E-3</v>
      </c>
      <c r="I40" s="300">
        <v>5.2319555543363103E-3</v>
      </c>
      <c r="J40" s="300">
        <v>7.8436248004436493E-3</v>
      </c>
      <c r="K40" s="300">
        <v>1.17142805829644E-2</v>
      </c>
      <c r="L40" s="300">
        <v>1.7396988347172699E-2</v>
      </c>
      <c r="M40" s="300">
        <v>2.5625614449381801E-2</v>
      </c>
      <c r="N40" s="300">
        <v>3.7305567413568497E-2</v>
      </c>
      <c r="O40" s="300">
        <v>5.34236840903759E-2</v>
      </c>
      <c r="P40" s="300">
        <v>7.4822284281253801E-2</v>
      </c>
      <c r="Q40" s="300">
        <v>0.10181753337383299</v>
      </c>
      <c r="R40" s="300">
        <v>0.133762747049332</v>
      </c>
      <c r="S40" s="300">
        <v>0.16882437467575101</v>
      </c>
      <c r="T40" s="300">
        <v>0.204265296459198</v>
      </c>
      <c r="U40" s="300">
        <v>0.237230360507965</v>
      </c>
      <c r="V40" s="300">
        <v>0.26560345292091397</v>
      </c>
      <c r="W40" s="300">
        <v>0.28843852877616899</v>
      </c>
      <c r="X40" s="300">
        <v>0.30584391951561002</v>
      </c>
      <c r="Y40" s="300">
        <v>0.31856861710548401</v>
      </c>
      <c r="Z40" s="300">
        <v>0.32759037613868702</v>
      </c>
      <c r="AA40" s="300"/>
      <c r="AB40" s="300"/>
      <c r="AC40" s="300"/>
      <c r="AD40" s="300"/>
      <c r="AE40" s="300"/>
      <c r="AF40" s="300"/>
      <c r="AG40" s="300"/>
      <c r="AH40" s="300"/>
      <c r="AI40" s="300"/>
      <c r="AJ40" s="300"/>
      <c r="AK40" s="301" t="s">
        <v>41</v>
      </c>
    </row>
    <row r="41" spans="1:38">
      <c r="A41" s="6" t="s">
        <v>692</v>
      </c>
      <c r="B41" s="347">
        <v>7.3012053966522203E-2</v>
      </c>
      <c r="C41" s="347">
        <v>0.28600034117698703</v>
      </c>
      <c r="D41" s="347">
        <v>0.24600045382976499</v>
      </c>
      <c r="E41" s="347">
        <v>0.16400466859340701</v>
      </c>
      <c r="F41" s="348">
        <v>0.31155380606651301</v>
      </c>
      <c r="G41" s="292">
        <v>0.182</v>
      </c>
      <c r="H41" s="292">
        <v>0.191</v>
      </c>
      <c r="I41" s="292">
        <v>0.193</v>
      </c>
      <c r="J41" s="292">
        <v>0.193</v>
      </c>
      <c r="K41" s="292">
        <v>0.28578500000000001</v>
      </c>
      <c r="L41" s="292">
        <v>0.28816599999999998</v>
      </c>
      <c r="M41" s="292">
        <v>0.290412</v>
      </c>
      <c r="N41" s="292">
        <v>0.29299799999999998</v>
      </c>
      <c r="O41" s="292">
        <v>0.293852</v>
      </c>
      <c r="P41" s="292">
        <v>0.29503000000000001</v>
      </c>
      <c r="Q41" s="292">
        <v>0.298292</v>
      </c>
      <c r="R41" s="292">
        <v>0.29944399999999999</v>
      </c>
      <c r="S41" s="292">
        <v>0.29972700000000002</v>
      </c>
      <c r="T41" s="292">
        <v>0.301095</v>
      </c>
      <c r="U41" s="292">
        <v>0.30102299999999999</v>
      </c>
      <c r="V41" s="292">
        <v>0.30064000000000002</v>
      </c>
      <c r="W41" s="292">
        <v>0.30251600000000001</v>
      </c>
      <c r="X41" s="292">
        <v>0.30219699999999999</v>
      </c>
      <c r="Y41" s="292">
        <v>0.30013899999999999</v>
      </c>
      <c r="Z41" s="292">
        <v>0.30297200000000002</v>
      </c>
      <c r="AA41" s="292">
        <v>0.30451</v>
      </c>
      <c r="AB41" s="292">
        <v>0.306419</v>
      </c>
      <c r="AC41" s="292">
        <v>0.30664000000000002</v>
      </c>
      <c r="AD41" s="292">
        <v>0.30698399999999998</v>
      </c>
      <c r="AE41" s="292">
        <v>0.308342</v>
      </c>
      <c r="AF41" s="292">
        <v>0.30915900000000002</v>
      </c>
      <c r="AG41" s="292">
        <v>0.30972699999999997</v>
      </c>
      <c r="AH41" s="292">
        <v>0.31073899999999999</v>
      </c>
      <c r="AI41" s="292">
        <v>0.31163999999999997</v>
      </c>
      <c r="AJ41" s="292">
        <v>0.31290899999999999</v>
      </c>
      <c r="AK41" s="293">
        <v>1.7999999999999999E-2</v>
      </c>
    </row>
    <row r="42" spans="1:38">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row>
    <row r="43" spans="1:38" s="18" customFormat="1">
      <c r="A43" s="17" t="s">
        <v>693</v>
      </c>
      <c r="B43" s="349">
        <v>20.697353363037099</v>
      </c>
      <c r="C43" s="349">
        <v>20.768030166626001</v>
      </c>
      <c r="D43" s="349">
        <v>19.647199630737301</v>
      </c>
      <c r="E43" s="349">
        <v>19.421310424804702</v>
      </c>
      <c r="F43" s="350">
        <v>19.587932586669901</v>
      </c>
      <c r="G43" s="247">
        <v>18.938583000000001</v>
      </c>
      <c r="H43" s="247">
        <v>18.592289000000001</v>
      </c>
      <c r="I43" s="247">
        <v>18.985319</v>
      </c>
      <c r="J43" s="247">
        <v>18.815241</v>
      </c>
      <c r="K43" s="247">
        <v>19.157446</v>
      </c>
      <c r="L43" s="247">
        <v>19.35895</v>
      </c>
      <c r="M43" s="247">
        <v>19.477530000000002</v>
      </c>
      <c r="N43" s="247">
        <v>19.527609000000002</v>
      </c>
      <c r="O43" s="247">
        <v>19.535461000000002</v>
      </c>
      <c r="P43" s="247">
        <v>19.520367</v>
      </c>
      <c r="Q43" s="247">
        <v>19.477088999999999</v>
      </c>
      <c r="R43" s="247">
        <v>19.437809000000001</v>
      </c>
      <c r="S43" s="247">
        <v>19.388767000000001</v>
      </c>
      <c r="T43" s="247">
        <v>19.330017000000002</v>
      </c>
      <c r="U43" s="247">
        <v>19.262318</v>
      </c>
      <c r="V43" s="247">
        <v>19.178843000000001</v>
      </c>
      <c r="W43" s="247">
        <v>19.119274000000001</v>
      </c>
      <c r="X43" s="247">
        <v>19.059887</v>
      </c>
      <c r="Y43" s="247">
        <v>18.980637000000002</v>
      </c>
      <c r="Z43" s="247">
        <v>18.926172000000001</v>
      </c>
      <c r="AA43" s="247">
        <v>18.880776999999998</v>
      </c>
      <c r="AB43" s="247">
        <v>18.838093000000001</v>
      </c>
      <c r="AC43" s="247">
        <v>18.795445999999998</v>
      </c>
      <c r="AD43" s="247">
        <v>18.768318000000001</v>
      </c>
      <c r="AE43" s="247">
        <v>18.751888000000001</v>
      </c>
      <c r="AF43" s="247">
        <v>18.731911</v>
      </c>
      <c r="AG43" s="247">
        <v>18.743359000000002</v>
      </c>
      <c r="AH43" s="247">
        <v>18.755479999999999</v>
      </c>
      <c r="AI43" s="247">
        <v>18.748524</v>
      </c>
      <c r="AJ43" s="247">
        <v>18.724962000000001</v>
      </c>
      <c r="AK43" s="248">
        <v>0</v>
      </c>
    </row>
    <row r="44" spans="1:38" s="258" customFormat="1">
      <c r="A44" s="257" t="s">
        <v>196</v>
      </c>
      <c r="B44" s="351">
        <f t="shared" ref="B44:H44" si="0">B43*365</f>
        <v>7554.5339775085413</v>
      </c>
      <c r="C44" s="351">
        <f t="shared" si="0"/>
        <v>7580.3310108184905</v>
      </c>
      <c r="D44" s="351">
        <f t="shared" si="0"/>
        <v>7171.2278652191153</v>
      </c>
      <c r="E44" s="351">
        <f t="shared" si="0"/>
        <v>7088.7783050537164</v>
      </c>
      <c r="F44" s="352">
        <f t="shared" si="0"/>
        <v>7149.5953941345133</v>
      </c>
      <c r="G44" s="302">
        <f t="shared" si="0"/>
        <v>6912.5827950000003</v>
      </c>
      <c r="H44" s="302">
        <f t="shared" si="0"/>
        <v>6786.185485</v>
      </c>
      <c r="I44" s="302">
        <f t="shared" ref="I44:AJ44" si="1">I43*365</f>
        <v>6929.6414350000005</v>
      </c>
      <c r="J44" s="302">
        <f t="shared" si="1"/>
        <v>6867.5629650000001</v>
      </c>
      <c r="K44" s="302">
        <f t="shared" si="1"/>
        <v>6992.4677899999997</v>
      </c>
      <c r="L44" s="302">
        <f t="shared" si="1"/>
        <v>7066.0167499999998</v>
      </c>
      <c r="M44" s="302">
        <f t="shared" si="1"/>
        <v>7109.2984500000002</v>
      </c>
      <c r="N44" s="302">
        <f t="shared" si="1"/>
        <v>7127.5772850000003</v>
      </c>
      <c r="O44" s="302">
        <f t="shared" si="1"/>
        <v>7130.4432650000008</v>
      </c>
      <c r="P44" s="302">
        <f t="shared" si="1"/>
        <v>7124.9339550000004</v>
      </c>
      <c r="Q44" s="302">
        <f t="shared" si="1"/>
        <v>7109.1374850000002</v>
      </c>
      <c r="R44" s="302">
        <f t="shared" si="1"/>
        <v>7094.8002850000003</v>
      </c>
      <c r="S44" s="302">
        <f t="shared" si="1"/>
        <v>7076.8999550000008</v>
      </c>
      <c r="T44" s="302">
        <f t="shared" si="1"/>
        <v>7055.4562050000004</v>
      </c>
      <c r="U44" s="302">
        <f t="shared" si="1"/>
        <v>7030.7460700000001</v>
      </c>
      <c r="V44" s="302">
        <f t="shared" si="1"/>
        <v>7000.2776949999998</v>
      </c>
      <c r="W44" s="302">
        <f t="shared" si="1"/>
        <v>6978.5350100000005</v>
      </c>
      <c r="X44" s="302">
        <f t="shared" si="1"/>
        <v>6956.8587550000002</v>
      </c>
      <c r="Y44" s="302">
        <f t="shared" si="1"/>
        <v>6927.9325050000007</v>
      </c>
      <c r="Z44" s="302">
        <f t="shared" si="1"/>
        <v>6908.05278</v>
      </c>
      <c r="AA44" s="302">
        <f t="shared" si="1"/>
        <v>6891.4836049999994</v>
      </c>
      <c r="AB44" s="302">
        <f t="shared" si="1"/>
        <v>6875.903945</v>
      </c>
      <c r="AC44" s="302">
        <f t="shared" si="1"/>
        <v>6860.3377899999996</v>
      </c>
      <c r="AD44" s="302">
        <f t="shared" si="1"/>
        <v>6850.4360700000007</v>
      </c>
      <c r="AE44" s="302">
        <f t="shared" si="1"/>
        <v>6844.43912</v>
      </c>
      <c r="AF44" s="302">
        <f t="shared" si="1"/>
        <v>6837.1475149999997</v>
      </c>
      <c r="AG44" s="302">
        <f t="shared" si="1"/>
        <v>6841.326035000001</v>
      </c>
      <c r="AH44" s="302">
        <f t="shared" si="1"/>
        <v>6845.7501999999995</v>
      </c>
      <c r="AI44" s="302">
        <f t="shared" si="1"/>
        <v>6843.21126</v>
      </c>
      <c r="AJ44" s="302">
        <f t="shared" si="1"/>
        <v>6834.6111300000002</v>
      </c>
      <c r="AK44" s="303"/>
    </row>
    <row r="45" spans="1:38" s="262" customFormat="1">
      <c r="A45" s="261" t="s">
        <v>187</v>
      </c>
      <c r="B45" s="353">
        <f>SUM(B33,B36,B40)</f>
        <v>0.28962799347937102</v>
      </c>
      <c r="C45" s="353">
        <f t="shared" ref="C45:AJ45" si="2">SUM(C33,C36,C40)</f>
        <v>0.43539400026202169</v>
      </c>
      <c r="D45" s="353">
        <f t="shared" si="2"/>
        <v>0.63372322544455517</v>
      </c>
      <c r="E45" s="353">
        <f t="shared" si="2"/>
        <v>0.75007860735058762</v>
      </c>
      <c r="F45" s="354">
        <f t="shared" si="2"/>
        <v>0.9057262316346173</v>
      </c>
      <c r="G45" s="304">
        <f t="shared" si="2"/>
        <v>0.94907600000000003</v>
      </c>
      <c r="H45" s="304">
        <f t="shared" si="2"/>
        <v>0.91023695269873739</v>
      </c>
      <c r="I45" s="304">
        <f t="shared" si="2"/>
        <v>0.92228495555433621</v>
      </c>
      <c r="J45" s="304">
        <f t="shared" si="2"/>
        <v>0.96492762480044358</v>
      </c>
      <c r="K45" s="304">
        <f t="shared" si="2"/>
        <v>0.91143528058296441</v>
      </c>
      <c r="L45" s="304">
        <f t="shared" si="2"/>
        <v>0.91577698834717269</v>
      </c>
      <c r="M45" s="304">
        <f t="shared" si="2"/>
        <v>0.93473461444938177</v>
      </c>
      <c r="N45" s="304">
        <f t="shared" si="2"/>
        <v>0.94681856741356851</v>
      </c>
      <c r="O45" s="304">
        <f t="shared" si="2"/>
        <v>0.96443668409037586</v>
      </c>
      <c r="P45" s="304">
        <f t="shared" si="2"/>
        <v>0.99222728428125384</v>
      </c>
      <c r="Q45" s="304">
        <f t="shared" si="2"/>
        <v>1.0172315333738331</v>
      </c>
      <c r="R45" s="304">
        <f t="shared" si="2"/>
        <v>1.0595427470493322</v>
      </c>
      <c r="S45" s="304">
        <f t="shared" si="2"/>
        <v>1.0990673746757511</v>
      </c>
      <c r="T45" s="304">
        <f t="shared" si="2"/>
        <v>1.1357882964591981</v>
      </c>
      <c r="U45" s="304">
        <f t="shared" si="2"/>
        <v>1.1671623605079651</v>
      </c>
      <c r="V45" s="304">
        <f t="shared" si="2"/>
        <v>1.1953814529209139</v>
      </c>
      <c r="W45" s="304">
        <f t="shared" si="2"/>
        <v>1.2190545287761689</v>
      </c>
      <c r="X45" s="304">
        <f t="shared" si="2"/>
        <v>1.2370769195156099</v>
      </c>
      <c r="Y45" s="304">
        <f t="shared" si="2"/>
        <v>1.2497896171054839</v>
      </c>
      <c r="Z45" s="304">
        <f t="shared" si="2"/>
        <v>1.2591873761386871</v>
      </c>
      <c r="AA45" s="304">
        <f t="shared" si="2"/>
        <v>0.93299300000000007</v>
      </c>
      <c r="AB45" s="304">
        <f t="shared" si="2"/>
        <v>0.93298100000000006</v>
      </c>
      <c r="AC45" s="304">
        <f t="shared" si="2"/>
        <v>0.93309600000000004</v>
      </c>
      <c r="AD45" s="304">
        <f t="shared" si="2"/>
        <v>0.93309600000000004</v>
      </c>
      <c r="AE45" s="304">
        <f t="shared" si="2"/>
        <v>0.93084500000000003</v>
      </c>
      <c r="AF45" s="304">
        <f t="shared" si="2"/>
        <v>0.92709399999999997</v>
      </c>
      <c r="AG45" s="304">
        <f t="shared" si="2"/>
        <v>0.92458599999999991</v>
      </c>
      <c r="AH45" s="304">
        <f t="shared" si="2"/>
        <v>0.92581500000000005</v>
      </c>
      <c r="AI45" s="304">
        <f t="shared" si="2"/>
        <v>0.93603499999999995</v>
      </c>
      <c r="AJ45" s="304">
        <f t="shared" si="2"/>
        <v>0.94016100000000002</v>
      </c>
      <c r="AK45" s="305"/>
    </row>
    <row r="46" spans="1:38" s="258" customFormat="1">
      <c r="A46" s="263" t="s">
        <v>193</v>
      </c>
      <c r="B46" s="349">
        <f>B45*365</f>
        <v>105.71421761997043</v>
      </c>
      <c r="C46" s="349">
        <f t="shared" ref="C46:AJ46" si="3">C45*365</f>
        <v>158.91881009563792</v>
      </c>
      <c r="D46" s="349">
        <f t="shared" si="3"/>
        <v>231.30897728726265</v>
      </c>
      <c r="E46" s="349">
        <f t="shared" si="3"/>
        <v>273.77869168296451</v>
      </c>
      <c r="F46" s="350">
        <f t="shared" si="3"/>
        <v>330.59007454663532</v>
      </c>
      <c r="G46" s="306">
        <f t="shared" si="3"/>
        <v>346.41273999999999</v>
      </c>
      <c r="H46" s="306">
        <f t="shared" si="3"/>
        <v>332.23648773503913</v>
      </c>
      <c r="I46" s="306">
        <f t="shared" si="3"/>
        <v>336.63400877733272</v>
      </c>
      <c r="J46" s="306">
        <f t="shared" si="3"/>
        <v>352.19858305216189</v>
      </c>
      <c r="K46" s="306">
        <f t="shared" si="3"/>
        <v>332.67387741278202</v>
      </c>
      <c r="L46" s="306">
        <f t="shared" si="3"/>
        <v>334.25860074671806</v>
      </c>
      <c r="M46" s="306">
        <f t="shared" si="3"/>
        <v>341.17813427402433</v>
      </c>
      <c r="N46" s="306">
        <f t="shared" si="3"/>
        <v>345.58877710595249</v>
      </c>
      <c r="O46" s="306">
        <f t="shared" si="3"/>
        <v>352.0193896929872</v>
      </c>
      <c r="P46" s="306">
        <f t="shared" si="3"/>
        <v>362.16295876265764</v>
      </c>
      <c r="Q46" s="306">
        <f t="shared" si="3"/>
        <v>371.28950968144909</v>
      </c>
      <c r="R46" s="306">
        <f t="shared" si="3"/>
        <v>386.73310267300621</v>
      </c>
      <c r="S46" s="306">
        <f t="shared" si="3"/>
        <v>401.15959175664915</v>
      </c>
      <c r="T46" s="306">
        <f t="shared" si="3"/>
        <v>414.56272820760728</v>
      </c>
      <c r="U46" s="306">
        <f t="shared" si="3"/>
        <v>426.01426158540727</v>
      </c>
      <c r="V46" s="306">
        <f t="shared" si="3"/>
        <v>436.3142303161336</v>
      </c>
      <c r="W46" s="306">
        <f t="shared" si="3"/>
        <v>444.95490300330164</v>
      </c>
      <c r="X46" s="306">
        <f t="shared" si="3"/>
        <v>451.53307562319765</v>
      </c>
      <c r="Y46" s="306">
        <f t="shared" si="3"/>
        <v>456.17321024350161</v>
      </c>
      <c r="Z46" s="306">
        <f t="shared" si="3"/>
        <v>459.60339229062083</v>
      </c>
      <c r="AA46" s="306">
        <f t="shared" si="3"/>
        <v>340.54244500000004</v>
      </c>
      <c r="AB46" s="306">
        <f t="shared" si="3"/>
        <v>340.53806500000002</v>
      </c>
      <c r="AC46" s="306">
        <f t="shared" si="3"/>
        <v>340.58004</v>
      </c>
      <c r="AD46" s="306">
        <f t="shared" si="3"/>
        <v>340.58004</v>
      </c>
      <c r="AE46" s="306">
        <f t="shared" si="3"/>
        <v>339.75842499999999</v>
      </c>
      <c r="AF46" s="306">
        <f t="shared" si="3"/>
        <v>338.38930999999997</v>
      </c>
      <c r="AG46" s="306">
        <f t="shared" si="3"/>
        <v>337.47388999999998</v>
      </c>
      <c r="AH46" s="306">
        <f t="shared" si="3"/>
        <v>337.92247500000002</v>
      </c>
      <c r="AI46" s="306">
        <f t="shared" si="3"/>
        <v>341.65277499999996</v>
      </c>
      <c r="AJ46" s="306">
        <f t="shared" si="3"/>
        <v>343.15876500000002</v>
      </c>
      <c r="AK46" s="303"/>
    </row>
    <row r="47" spans="1:38" s="258" customFormat="1">
      <c r="A47" s="263" t="s">
        <v>192</v>
      </c>
      <c r="B47" s="349"/>
      <c r="C47" s="355">
        <f>C46/B46-1</f>
        <v>0.50328700976562524</v>
      </c>
      <c r="D47" s="355">
        <f t="shared" ref="D47:Z47" si="4">D46/C46-1</f>
        <v>0.45551667010381003</v>
      </c>
      <c r="E47" s="355">
        <f t="shared" si="4"/>
        <v>0.1836059927019551</v>
      </c>
      <c r="F47" s="356">
        <f t="shared" si="4"/>
        <v>0.20750841679621423</v>
      </c>
      <c r="G47" s="307"/>
      <c r="H47" s="307">
        <f t="shared" si="4"/>
        <v>-4.0923010698050155E-2</v>
      </c>
      <c r="I47" s="307">
        <f t="shared" si="4"/>
        <v>1.32361170570785E-2</v>
      </c>
      <c r="J47" s="307">
        <f t="shared" si="4"/>
        <v>4.6235893786727766E-2</v>
      </c>
      <c r="K47" s="307">
        <f t="shared" si="4"/>
        <v>-5.5436638813757488E-2</v>
      </c>
      <c r="L47" s="307">
        <f t="shared" si="4"/>
        <v>4.7635941428900708E-3</v>
      </c>
      <c r="M47" s="307">
        <f t="shared" si="4"/>
        <v>2.0701138315807999E-2</v>
      </c>
      <c r="N47" s="307">
        <f t="shared" si="4"/>
        <v>1.2927683191988004E-2</v>
      </c>
      <c r="O47" s="307">
        <f t="shared" si="4"/>
        <v>1.8607700866001275E-2</v>
      </c>
      <c r="P47" s="307">
        <f t="shared" si="4"/>
        <v>2.8815370308201249E-2</v>
      </c>
      <c r="Q47" s="307">
        <f t="shared" si="4"/>
        <v>2.5200122480699472E-2</v>
      </c>
      <c r="R47" s="307">
        <f t="shared" si="4"/>
        <v>4.1594477055942436E-2</v>
      </c>
      <c r="S47" s="307">
        <f t="shared" si="4"/>
        <v>3.730347618016272E-2</v>
      </c>
      <c r="T47" s="307">
        <f t="shared" si="4"/>
        <v>3.3410983375137038E-2</v>
      </c>
      <c r="U47" s="307">
        <f t="shared" si="4"/>
        <v>2.762316194538661E-2</v>
      </c>
      <c r="V47" s="307">
        <f t="shared" si="4"/>
        <v>2.4177520941188968E-2</v>
      </c>
      <c r="W47" s="307">
        <f t="shared" si="4"/>
        <v>1.9803783802575969E-2</v>
      </c>
      <c r="X47" s="307">
        <f t="shared" si="4"/>
        <v>1.4783908606232909E-2</v>
      </c>
      <c r="Y47" s="307">
        <f t="shared" si="4"/>
        <v>1.0276400270123665E-2</v>
      </c>
      <c r="Z47" s="307">
        <f t="shared" si="4"/>
        <v>7.5194728013252554E-3</v>
      </c>
      <c r="AA47" s="307">
        <f t="shared" ref="AA47:AJ47" si="5">AA46/Z46-1</f>
        <v>-0.25905149806930716</v>
      </c>
      <c r="AB47" s="307">
        <f t="shared" si="5"/>
        <v>-1.2861832832666842E-5</v>
      </c>
      <c r="AC47" s="307">
        <f t="shared" si="5"/>
        <v>1.2326081667257682E-4</v>
      </c>
      <c r="AD47" s="307">
        <f t="shared" si="5"/>
        <v>0</v>
      </c>
      <c r="AE47" s="307">
        <f t="shared" si="5"/>
        <v>-2.412399152927458E-3</v>
      </c>
      <c r="AF47" s="307">
        <f t="shared" si="5"/>
        <v>-4.0296719647202606E-3</v>
      </c>
      <c r="AG47" s="307">
        <f t="shared" si="5"/>
        <v>-2.7052273016543449E-3</v>
      </c>
      <c r="AH47" s="307">
        <f t="shared" si="5"/>
        <v>1.3292435749623355E-3</v>
      </c>
      <c r="AI47" s="307">
        <f t="shared" si="5"/>
        <v>1.1038922462910827E-2</v>
      </c>
      <c r="AJ47" s="307">
        <f t="shared" si="5"/>
        <v>4.4079548307489613E-3</v>
      </c>
      <c r="AK47" s="303"/>
    </row>
    <row r="48" spans="1:38" s="264" customFormat="1">
      <c r="A48" s="261" t="s">
        <v>195</v>
      </c>
      <c r="B48" s="357">
        <f>SUM(B33,B36,B40)/B43</f>
        <v>1.3993479668594277E-2</v>
      </c>
      <c r="C48" s="357">
        <f t="shared" ref="C48:AJ48" si="6">SUM(C33,C36,C40)/C43</f>
        <v>2.0964626725248844E-2</v>
      </c>
      <c r="D48" s="357">
        <f t="shared" si="6"/>
        <v>3.2255142582921545E-2</v>
      </c>
      <c r="E48" s="357">
        <f t="shared" si="6"/>
        <v>3.8621421054708789E-2</v>
      </c>
      <c r="F48" s="358">
        <f t="shared" si="6"/>
        <v>4.6238990645239793E-2</v>
      </c>
      <c r="G48" s="308">
        <f t="shared" si="6"/>
        <v>5.0113358533740354E-2</v>
      </c>
      <c r="H48" s="308">
        <f t="shared" si="6"/>
        <v>4.8957766991398283E-2</v>
      </c>
      <c r="I48" s="308">
        <f t="shared" si="6"/>
        <v>4.8578849560248959E-2</v>
      </c>
      <c r="J48" s="308">
        <f t="shared" si="6"/>
        <v>5.1284361693822764E-2</v>
      </c>
      <c r="K48" s="308">
        <f t="shared" si="6"/>
        <v>4.7576032869045506E-2</v>
      </c>
      <c r="L48" s="308">
        <f t="shared" si="6"/>
        <v>4.7305096007127075E-2</v>
      </c>
      <c r="M48" s="308">
        <f t="shared" si="6"/>
        <v>4.7990408149769591E-2</v>
      </c>
      <c r="N48" s="308">
        <f t="shared" si="6"/>
        <v>4.8486149400757073E-2</v>
      </c>
      <c r="O48" s="308">
        <f t="shared" si="6"/>
        <v>4.9368514215783074E-2</v>
      </c>
      <c r="P48" s="308">
        <f t="shared" si="6"/>
        <v>5.0830360119830421E-2</v>
      </c>
      <c r="Q48" s="308">
        <f t="shared" si="6"/>
        <v>5.2227082464624625E-2</v>
      </c>
      <c r="R48" s="309">
        <f t="shared" si="6"/>
        <v>5.4509371249060634E-2</v>
      </c>
      <c r="S48" s="308">
        <f t="shared" si="6"/>
        <v>5.6685779692733994E-2</v>
      </c>
      <c r="T48" s="308">
        <f t="shared" si="6"/>
        <v>5.8757749486676503E-2</v>
      </c>
      <c r="U48" s="308">
        <f t="shared" si="6"/>
        <v>6.059303768673973E-2</v>
      </c>
      <c r="V48" s="308">
        <f t="shared" si="6"/>
        <v>6.2328131729370427E-2</v>
      </c>
      <c r="W48" s="308">
        <f t="shared" si="6"/>
        <v>6.3760503080617439E-2</v>
      </c>
      <c r="X48" s="308">
        <f t="shared" si="6"/>
        <v>6.4904735244002754E-2</v>
      </c>
      <c r="Y48" s="308">
        <f t="shared" si="6"/>
        <v>6.5845504400378327E-2</v>
      </c>
      <c r="Z48" s="309">
        <f t="shared" si="6"/>
        <v>6.6531540352623181E-2</v>
      </c>
      <c r="AA48" s="309">
        <f t="shared" si="6"/>
        <v>4.9414968462367842E-2</v>
      </c>
      <c r="AB48" s="309">
        <f t="shared" si="6"/>
        <v>4.9526297592861444E-2</v>
      </c>
      <c r="AC48" s="309">
        <f t="shared" si="6"/>
        <v>4.9644791616011673E-2</v>
      </c>
      <c r="AD48" s="309">
        <f t="shared" si="6"/>
        <v>4.9716548920366761E-2</v>
      </c>
      <c r="AE48" s="309">
        <f t="shared" si="6"/>
        <v>4.9640068242728409E-2</v>
      </c>
      <c r="AF48" s="309">
        <f t="shared" si="6"/>
        <v>4.9492761309831122E-2</v>
      </c>
      <c r="AG48" s="309">
        <f t="shared" si="6"/>
        <v>4.932872490998011E-2</v>
      </c>
      <c r="AH48" s="309">
        <f t="shared" si="6"/>
        <v>4.9362373023777592E-2</v>
      </c>
      <c r="AI48" s="309">
        <f t="shared" si="6"/>
        <v>4.9925796825392763E-2</v>
      </c>
      <c r="AJ48" s="309">
        <f t="shared" si="6"/>
        <v>5.0208967046234856E-2</v>
      </c>
      <c r="AK48" s="310"/>
    </row>
    <row r="49" spans="1:37" s="264" customFormat="1">
      <c r="A49" s="264" t="s">
        <v>186</v>
      </c>
      <c r="B49" s="359">
        <f>B33*365 * 42/1000</f>
        <v>4.1895202937722189</v>
      </c>
      <c r="C49" s="359">
        <f t="shared" ref="C49:AJ49" si="7">C33*365 * 42/1000</f>
        <v>6.1835701614618239</v>
      </c>
      <c r="D49" s="359">
        <f t="shared" si="7"/>
        <v>8.9300929445028281</v>
      </c>
      <c r="E49" s="359">
        <f t="shared" si="7"/>
        <v>10.57340813040733</v>
      </c>
      <c r="F49" s="360">
        <f t="shared" si="7"/>
        <v>12.90469492435456</v>
      </c>
      <c r="G49" s="311">
        <f t="shared" si="7"/>
        <v>13.58201208</v>
      </c>
      <c r="H49" s="311">
        <f t="shared" si="7"/>
        <v>12.933246479999999</v>
      </c>
      <c r="I49" s="311">
        <f t="shared" si="7"/>
        <v>12.815159489999999</v>
      </c>
      <c r="J49" s="311">
        <f t="shared" si="7"/>
        <v>13.33685472</v>
      </c>
      <c r="K49" s="311">
        <f t="shared" si="7"/>
        <v>12.572746199999999</v>
      </c>
      <c r="L49" s="311">
        <f t="shared" si="7"/>
        <v>12.606410879999997</v>
      </c>
      <c r="M49" s="311">
        <f t="shared" si="7"/>
        <v>12.7724961</v>
      </c>
      <c r="N49" s="311">
        <f t="shared" si="7"/>
        <v>12.79849578</v>
      </c>
      <c r="O49" s="311">
        <f t="shared" si="7"/>
        <v>12.799660859999999</v>
      </c>
      <c r="P49" s="311">
        <f t="shared" si="7"/>
        <v>12.883423980000002</v>
      </c>
      <c r="Q49" s="311">
        <f t="shared" si="7"/>
        <v>12.857041049999999</v>
      </c>
      <c r="R49" s="311">
        <f t="shared" si="7"/>
        <v>13.0113375</v>
      </c>
      <c r="S49" s="311">
        <f t="shared" si="7"/>
        <v>13.097829360000002</v>
      </c>
      <c r="T49" s="311">
        <f t="shared" si="7"/>
        <v>13.097599410000003</v>
      </c>
      <c r="U49" s="311">
        <f t="shared" si="7"/>
        <v>13.09776804</v>
      </c>
      <c r="V49" s="311">
        <f t="shared" si="7"/>
        <v>13.097829360000002</v>
      </c>
      <c r="W49" s="311">
        <f t="shared" si="7"/>
        <v>13.1106759</v>
      </c>
      <c r="X49" s="311">
        <f t="shared" si="7"/>
        <v>13.120134510000002</v>
      </c>
      <c r="Y49" s="311">
        <f t="shared" si="7"/>
        <v>13.11995055</v>
      </c>
      <c r="Z49" s="311">
        <f t="shared" si="7"/>
        <v>13.120134510000002</v>
      </c>
      <c r="AA49" s="311">
        <f t="shared" si="7"/>
        <v>13.120134510000002</v>
      </c>
      <c r="AB49" s="311">
        <f t="shared" si="7"/>
        <v>13.11995055</v>
      </c>
      <c r="AC49" s="311">
        <f t="shared" si="7"/>
        <v>13.11995055</v>
      </c>
      <c r="AD49" s="311">
        <f t="shared" si="7"/>
        <v>13.11995055</v>
      </c>
      <c r="AE49" s="311">
        <f t="shared" si="7"/>
        <v>13.08544272</v>
      </c>
      <c r="AF49" s="311">
        <f t="shared" si="7"/>
        <v>13.027939889999997</v>
      </c>
      <c r="AG49" s="311">
        <f t="shared" si="7"/>
        <v>12.993324749999999</v>
      </c>
      <c r="AH49" s="311">
        <f t="shared" si="7"/>
        <v>13.008332820000001</v>
      </c>
      <c r="AI49" s="311">
        <f t="shared" si="7"/>
        <v>13.168837920000001</v>
      </c>
      <c r="AJ49" s="311">
        <f t="shared" si="7"/>
        <v>13.226494050000001</v>
      </c>
      <c r="AK49" s="312"/>
    </row>
    <row r="50" spans="1:37">
      <c r="A50" s="6" t="s">
        <v>160</v>
      </c>
      <c r="R50" s="298" t="s">
        <v>0</v>
      </c>
    </row>
    <row r="51" spans="1:37">
      <c r="A51" s="6" t="s">
        <v>159</v>
      </c>
    </row>
    <row r="52" spans="1:37">
      <c r="A52" s="6" t="s">
        <v>695</v>
      </c>
      <c r="B52" s="347">
        <v>2.0520000457763699</v>
      </c>
      <c r="C52" s="347">
        <v>2.08500003814697</v>
      </c>
      <c r="D52" s="347">
        <v>2.02300000190735</v>
      </c>
      <c r="E52" s="347">
        <v>1.9900000095367401</v>
      </c>
      <c r="F52" s="348">
        <v>1.9984494447708101</v>
      </c>
      <c r="G52" s="292">
        <v>2.3039999999999998</v>
      </c>
      <c r="H52" s="292">
        <v>2.3239999999999998</v>
      </c>
      <c r="I52" s="292">
        <v>2.407</v>
      </c>
      <c r="J52" s="292">
        <v>2.4159999999999999</v>
      </c>
      <c r="K52" s="292">
        <v>2.4498690000000001</v>
      </c>
      <c r="L52" s="292">
        <v>2.5403880000000001</v>
      </c>
      <c r="M52" s="292">
        <v>2.599494</v>
      </c>
      <c r="N52" s="292">
        <v>2.6464240000000001</v>
      </c>
      <c r="O52" s="292">
        <v>2.693587</v>
      </c>
      <c r="P52" s="292">
        <v>2.7283230000000001</v>
      </c>
      <c r="Q52" s="292">
        <v>2.742324</v>
      </c>
      <c r="R52" s="292">
        <v>2.7799209999999999</v>
      </c>
      <c r="S52" s="292">
        <v>2.8150529999999998</v>
      </c>
      <c r="T52" s="292">
        <v>2.8347359999999999</v>
      </c>
      <c r="U52" s="292">
        <v>2.8433090000000001</v>
      </c>
      <c r="V52" s="292">
        <v>2.840814</v>
      </c>
      <c r="W52" s="292">
        <v>2.844868</v>
      </c>
      <c r="X52" s="292">
        <v>2.8578079999999999</v>
      </c>
      <c r="Y52" s="292">
        <v>2.8486820000000002</v>
      </c>
      <c r="Z52" s="292">
        <v>2.8402569999999998</v>
      </c>
      <c r="AA52" s="292">
        <v>2.8361179999999999</v>
      </c>
      <c r="AB52" s="292">
        <v>2.8308490000000002</v>
      </c>
      <c r="AC52" s="292">
        <v>2.8180170000000002</v>
      </c>
      <c r="AD52" s="292">
        <v>2.7924669999999998</v>
      </c>
      <c r="AE52" s="292">
        <v>2.7826710000000001</v>
      </c>
      <c r="AF52" s="292">
        <v>2.76675</v>
      </c>
      <c r="AG52" s="292">
        <v>2.7715809999999999</v>
      </c>
      <c r="AH52" s="292">
        <v>2.7629000000000001</v>
      </c>
      <c r="AI52" s="292">
        <v>2.7495129999999999</v>
      </c>
      <c r="AJ52" s="292">
        <v>2.7286790000000001</v>
      </c>
      <c r="AK52" s="293">
        <v>6.0000000000000001E-3</v>
      </c>
    </row>
    <row r="53" spans="1:37">
      <c r="A53" s="6" t="s">
        <v>694</v>
      </c>
      <c r="B53" s="347">
        <v>8.6600880604237296E-4</v>
      </c>
      <c r="C53" s="347">
        <v>1.0510511929169299E-3</v>
      </c>
      <c r="D53" s="347">
        <v>8.0768426414579196E-4</v>
      </c>
      <c r="E53" s="347">
        <v>4.3171385186724403E-4</v>
      </c>
      <c r="F53" s="348">
        <v>1.8219171324744801E-3</v>
      </c>
      <c r="G53" s="292">
        <v>1.882E-3</v>
      </c>
      <c r="H53" s="292">
        <v>9.8740000000000008E-3</v>
      </c>
      <c r="I53" s="292">
        <v>1.3136999999999999E-2</v>
      </c>
      <c r="J53" s="292">
        <v>1.4973999999999999E-2</v>
      </c>
      <c r="K53" s="292">
        <v>1.2047E-2</v>
      </c>
      <c r="L53" s="292">
        <v>2.5141E-2</v>
      </c>
      <c r="M53" s="292">
        <v>5.3563E-2</v>
      </c>
      <c r="N53" s="292">
        <v>8.0305000000000001E-2</v>
      </c>
      <c r="O53" s="292">
        <v>0.10901</v>
      </c>
      <c r="P53" s="292">
        <v>0.13106100000000001</v>
      </c>
      <c r="Q53" s="292">
        <v>0.162138</v>
      </c>
      <c r="R53" s="292">
        <v>0.20447299999999999</v>
      </c>
      <c r="S53" s="292">
        <v>0.22256600000000001</v>
      </c>
      <c r="T53" s="292">
        <v>0.242672</v>
      </c>
      <c r="U53" s="292">
        <v>0.26248500000000002</v>
      </c>
      <c r="V53" s="292">
        <v>0.279335</v>
      </c>
      <c r="W53" s="292">
        <v>0.29406700000000002</v>
      </c>
      <c r="X53" s="292">
        <v>0.30546400000000001</v>
      </c>
      <c r="Y53" s="292">
        <v>0.31323699999999999</v>
      </c>
      <c r="Z53" s="292">
        <v>0.31872699999999998</v>
      </c>
      <c r="AA53" s="292">
        <v>0.321052</v>
      </c>
      <c r="AB53" s="292">
        <v>0.31902700000000001</v>
      </c>
      <c r="AC53" s="292">
        <v>0.31467200000000001</v>
      </c>
      <c r="AD53" s="292">
        <v>0.30996699999999999</v>
      </c>
      <c r="AE53" s="292">
        <v>0.29748400000000003</v>
      </c>
      <c r="AF53" s="292">
        <v>0.28148600000000001</v>
      </c>
      <c r="AG53" s="292">
        <v>0.26450099999999999</v>
      </c>
      <c r="AH53" s="292">
        <v>0.245667</v>
      </c>
      <c r="AI53" s="292">
        <v>0.23741399999999999</v>
      </c>
      <c r="AJ53" s="292">
        <v>0.22813</v>
      </c>
      <c r="AK53" s="293">
        <v>0.11899999999999999</v>
      </c>
    </row>
    <row r="54" spans="1:37">
      <c r="A54" s="6" t="s">
        <v>696</v>
      </c>
      <c r="B54" s="347">
        <v>9.2527751922607404</v>
      </c>
      <c r="C54" s="347">
        <v>9.2857265472412092</v>
      </c>
      <c r="D54" s="347">
        <v>9.0097904205322301</v>
      </c>
      <c r="E54" s="347">
        <v>8.9638872146606392</v>
      </c>
      <c r="F54" s="348">
        <v>9.3608798980712908</v>
      </c>
      <c r="G54" s="292">
        <v>8.7543939999999996</v>
      </c>
      <c r="H54" s="292">
        <v>8.7103070000000002</v>
      </c>
      <c r="I54" s="292">
        <v>8.7047209999999993</v>
      </c>
      <c r="J54" s="292">
        <v>8.6720810000000004</v>
      </c>
      <c r="K54" s="292">
        <v>8.7711889999999997</v>
      </c>
      <c r="L54" s="292">
        <v>8.7249210000000001</v>
      </c>
      <c r="M54" s="292">
        <v>8.665521</v>
      </c>
      <c r="N54" s="292">
        <v>8.5782380000000007</v>
      </c>
      <c r="O54" s="292">
        <v>8.4654989999999994</v>
      </c>
      <c r="P54" s="292">
        <v>8.3493230000000001</v>
      </c>
      <c r="Q54" s="292">
        <v>8.2274130000000003</v>
      </c>
      <c r="R54" s="292">
        <v>8.1002519999999993</v>
      </c>
      <c r="S54" s="292">
        <v>7.9630890000000001</v>
      </c>
      <c r="T54" s="292">
        <v>7.8215009999999996</v>
      </c>
      <c r="U54" s="292">
        <v>7.6724129999999997</v>
      </c>
      <c r="V54" s="292">
        <v>7.5382249999999997</v>
      </c>
      <c r="W54" s="292">
        <v>7.4181600000000003</v>
      </c>
      <c r="X54" s="292">
        <v>7.3157300000000003</v>
      </c>
      <c r="Y54" s="292">
        <v>7.224996</v>
      </c>
      <c r="Z54" s="292">
        <v>7.1462729999999999</v>
      </c>
      <c r="AA54" s="292">
        <v>7.080946</v>
      </c>
      <c r="AB54" s="292">
        <v>7.0268600000000001</v>
      </c>
      <c r="AC54" s="292">
        <v>6.9825390000000001</v>
      </c>
      <c r="AD54" s="292">
        <v>6.943378</v>
      </c>
      <c r="AE54" s="292">
        <v>6.9093359999999997</v>
      </c>
      <c r="AF54" s="292">
        <v>6.8818789999999996</v>
      </c>
      <c r="AG54" s="292">
        <v>6.8622290000000001</v>
      </c>
      <c r="AH54" s="292">
        <v>6.8497510000000004</v>
      </c>
      <c r="AI54" s="292">
        <v>6.8444979999999997</v>
      </c>
      <c r="AJ54" s="292">
        <v>6.8408179999999996</v>
      </c>
      <c r="AK54" s="293">
        <v>-8.9999999999999993E-3</v>
      </c>
    </row>
    <row r="55" spans="1:37">
      <c r="A55" s="6" t="s">
        <v>697</v>
      </c>
      <c r="B55" s="347">
        <v>1.63300001621246</v>
      </c>
      <c r="C55" s="347">
        <v>1.6219999790191699</v>
      </c>
      <c r="D55" s="347">
        <v>1.5329999923706099</v>
      </c>
      <c r="E55" s="347">
        <v>1.47300004959106</v>
      </c>
      <c r="F55" s="348">
        <v>1.45558297634125</v>
      </c>
      <c r="G55" s="292">
        <v>1.425</v>
      </c>
      <c r="H55" s="292">
        <v>1.399</v>
      </c>
      <c r="I55" s="292">
        <v>1.4039999999999999</v>
      </c>
      <c r="J55" s="292">
        <v>1.4059999999999999</v>
      </c>
      <c r="K55" s="292">
        <v>1.459821</v>
      </c>
      <c r="L55" s="292">
        <v>1.466666</v>
      </c>
      <c r="M55" s="292">
        <v>1.4738910000000001</v>
      </c>
      <c r="N55" s="292">
        <v>1.4802960000000001</v>
      </c>
      <c r="O55" s="292">
        <v>1.4860789999999999</v>
      </c>
      <c r="P55" s="292">
        <v>1.491026</v>
      </c>
      <c r="Q55" s="292">
        <v>1.496483</v>
      </c>
      <c r="R55" s="292">
        <v>1.5023390000000001</v>
      </c>
      <c r="S55" s="292">
        <v>1.5080819999999999</v>
      </c>
      <c r="T55" s="292">
        <v>1.514818</v>
      </c>
      <c r="U55" s="292">
        <v>1.5222910000000001</v>
      </c>
      <c r="V55" s="292">
        <v>1.529134</v>
      </c>
      <c r="W55" s="292">
        <v>1.5350699999999999</v>
      </c>
      <c r="X55" s="292">
        <v>1.540705</v>
      </c>
      <c r="Y55" s="292">
        <v>1.5457909999999999</v>
      </c>
      <c r="Z55" s="292">
        <v>1.550583</v>
      </c>
      <c r="AA55" s="292">
        <v>1.555024</v>
      </c>
      <c r="AB55" s="292">
        <v>1.559142</v>
      </c>
      <c r="AC55" s="292">
        <v>1.562889</v>
      </c>
      <c r="AD55" s="292">
        <v>1.5661639999999999</v>
      </c>
      <c r="AE55" s="292">
        <v>1.5691090000000001</v>
      </c>
      <c r="AF55" s="292">
        <v>1.5733360000000001</v>
      </c>
      <c r="AG55" s="292">
        <v>1.577515</v>
      </c>
      <c r="AH55" s="292">
        <v>1.5816300000000001</v>
      </c>
      <c r="AI55" s="292">
        <v>1.585529</v>
      </c>
      <c r="AJ55" s="292">
        <v>1.5896079999999999</v>
      </c>
      <c r="AK55" s="293">
        <v>5.0000000000000001E-3</v>
      </c>
    </row>
    <row r="56" spans="1:37">
      <c r="A56" s="6" t="s">
        <v>698</v>
      </c>
      <c r="B56" s="347">
        <v>4.1690001487731898</v>
      </c>
      <c r="C56" s="347">
        <v>4.1960000991821298</v>
      </c>
      <c r="D56" s="347">
        <v>3.9430000782012899</v>
      </c>
      <c r="E56" s="347">
        <v>3.90199995040894</v>
      </c>
      <c r="F56" s="348">
        <v>4.0923304557800302</v>
      </c>
      <c r="G56" s="292">
        <v>3.899</v>
      </c>
      <c r="H56" s="292">
        <v>3.7429999999999999</v>
      </c>
      <c r="I56" s="292">
        <v>3.859</v>
      </c>
      <c r="J56" s="292">
        <v>3.9089999999999998</v>
      </c>
      <c r="K56" s="292">
        <v>4.0858679999999996</v>
      </c>
      <c r="L56" s="292">
        <v>4.177359</v>
      </c>
      <c r="M56" s="292">
        <v>4.228364</v>
      </c>
      <c r="N56" s="292">
        <v>4.2508220000000003</v>
      </c>
      <c r="O56" s="292">
        <v>4.2730649999999999</v>
      </c>
      <c r="P56" s="292">
        <v>4.295331</v>
      </c>
      <c r="Q56" s="292">
        <v>4.319947</v>
      </c>
      <c r="R56" s="292">
        <v>4.3484850000000002</v>
      </c>
      <c r="S56" s="292">
        <v>4.3784619999999999</v>
      </c>
      <c r="T56" s="292">
        <v>4.4044730000000003</v>
      </c>
      <c r="U56" s="292">
        <v>4.436998</v>
      </c>
      <c r="V56" s="292">
        <v>4.460839</v>
      </c>
      <c r="W56" s="292">
        <v>4.4796500000000004</v>
      </c>
      <c r="X56" s="292">
        <v>4.4870289999999997</v>
      </c>
      <c r="Y56" s="292">
        <v>4.4989540000000003</v>
      </c>
      <c r="Z56" s="292">
        <v>4.5163840000000004</v>
      </c>
      <c r="AA56" s="292">
        <v>4.5280180000000003</v>
      </c>
      <c r="AB56" s="292">
        <v>4.5344899999999999</v>
      </c>
      <c r="AC56" s="292">
        <v>4.5444589999999998</v>
      </c>
      <c r="AD56" s="292">
        <v>4.5662190000000002</v>
      </c>
      <c r="AE56" s="292">
        <v>4.5865479999999996</v>
      </c>
      <c r="AF56" s="292">
        <v>4.5978500000000002</v>
      </c>
      <c r="AG56" s="292">
        <v>4.6070399999999996</v>
      </c>
      <c r="AH56" s="292">
        <v>4.6156879999999996</v>
      </c>
      <c r="AI56" s="292">
        <v>4.6224400000000001</v>
      </c>
      <c r="AJ56" s="292">
        <v>4.6207630000000002</v>
      </c>
      <c r="AK56" s="293">
        <v>8.0000000000000002E-3</v>
      </c>
    </row>
    <row r="57" spans="1:37">
      <c r="A57" s="6" t="s">
        <v>158</v>
      </c>
      <c r="B57" s="347">
        <v>3.21000003814697</v>
      </c>
      <c r="C57" s="347">
        <v>3.4670000076293901</v>
      </c>
      <c r="D57" s="347">
        <v>3.46799993515015</v>
      </c>
      <c r="E57" s="347">
        <v>3.4189999103546098</v>
      </c>
      <c r="F57" s="348">
        <v>3.47832202911377</v>
      </c>
      <c r="G57" s="292">
        <v>3.5059999999999998</v>
      </c>
      <c r="H57" s="292">
        <v>3.448</v>
      </c>
      <c r="I57" s="292">
        <v>3.5550000000000002</v>
      </c>
      <c r="J57" s="292">
        <v>3.601</v>
      </c>
      <c r="K57" s="292">
        <v>3.6780590000000002</v>
      </c>
      <c r="L57" s="292">
        <v>3.788999</v>
      </c>
      <c r="M57" s="292">
        <v>3.841418</v>
      </c>
      <c r="N57" s="292">
        <v>3.888255</v>
      </c>
      <c r="O57" s="292">
        <v>3.9148960000000002</v>
      </c>
      <c r="P57" s="292">
        <v>3.942434</v>
      </c>
      <c r="Q57" s="292">
        <v>3.9721639999999998</v>
      </c>
      <c r="R57" s="292">
        <v>4.005528</v>
      </c>
      <c r="S57" s="292">
        <v>4.0400039999999997</v>
      </c>
      <c r="T57" s="292">
        <v>4.0698509999999999</v>
      </c>
      <c r="U57" s="292">
        <v>4.1063919999999996</v>
      </c>
      <c r="V57" s="292">
        <v>4.1354759999999997</v>
      </c>
      <c r="W57" s="292">
        <v>4.1591009999999997</v>
      </c>
      <c r="X57" s="292">
        <v>4.1709329999999998</v>
      </c>
      <c r="Y57" s="292">
        <v>4.1869290000000001</v>
      </c>
      <c r="Z57" s="292">
        <v>4.2079300000000002</v>
      </c>
      <c r="AA57" s="292">
        <v>4.2245819999999998</v>
      </c>
      <c r="AB57" s="292">
        <v>4.2349610000000002</v>
      </c>
      <c r="AC57" s="292">
        <v>4.2486269999999999</v>
      </c>
      <c r="AD57" s="292">
        <v>4.2736000000000001</v>
      </c>
      <c r="AE57" s="292">
        <v>4.2970110000000004</v>
      </c>
      <c r="AF57" s="292">
        <v>4.3111389999999998</v>
      </c>
      <c r="AG57" s="292">
        <v>4.3229870000000004</v>
      </c>
      <c r="AH57" s="292">
        <v>4.3342970000000003</v>
      </c>
      <c r="AI57" s="292">
        <v>4.3436260000000004</v>
      </c>
      <c r="AJ57" s="292">
        <v>4.344544</v>
      </c>
      <c r="AK57" s="293">
        <v>8.0000000000000002E-3</v>
      </c>
    </row>
    <row r="58" spans="1:37">
      <c r="A58" s="6" t="s">
        <v>157</v>
      </c>
      <c r="B58" s="347">
        <v>0.68900001049041704</v>
      </c>
      <c r="C58" s="347">
        <v>0.72299998998642001</v>
      </c>
      <c r="D58" s="347">
        <v>0.60799998044967696</v>
      </c>
      <c r="E58" s="347">
        <v>0.58099997043609597</v>
      </c>
      <c r="F58" s="348">
        <v>0.63298153877258301</v>
      </c>
      <c r="G58" s="292">
        <v>0.46100000000000002</v>
      </c>
      <c r="H58" s="292">
        <v>0.34499999999999997</v>
      </c>
      <c r="I58" s="292">
        <v>0.32200000000000001</v>
      </c>
      <c r="J58" s="292">
        <v>0.35</v>
      </c>
      <c r="K58" s="292">
        <v>0.38553500000000002</v>
      </c>
      <c r="L58" s="292">
        <v>0.39021600000000001</v>
      </c>
      <c r="M58" s="292">
        <v>0.38447300000000001</v>
      </c>
      <c r="N58" s="292">
        <v>0.390044</v>
      </c>
      <c r="O58" s="292">
        <v>0.38984200000000002</v>
      </c>
      <c r="P58" s="292">
        <v>0.38874799999999998</v>
      </c>
      <c r="Q58" s="292">
        <v>0.38986300000000002</v>
      </c>
      <c r="R58" s="292">
        <v>0.38962000000000002</v>
      </c>
      <c r="S58" s="292">
        <v>0.390509</v>
      </c>
      <c r="T58" s="292">
        <v>0.392071</v>
      </c>
      <c r="U58" s="292">
        <v>0.392706</v>
      </c>
      <c r="V58" s="292">
        <v>0.39272899999999999</v>
      </c>
      <c r="W58" s="292">
        <v>0.39312000000000002</v>
      </c>
      <c r="X58" s="292">
        <v>0.39413599999999999</v>
      </c>
      <c r="Y58" s="292">
        <v>0.39485900000000002</v>
      </c>
      <c r="Z58" s="292">
        <v>0.396202</v>
      </c>
      <c r="AA58" s="292">
        <v>0.39659499999999998</v>
      </c>
      <c r="AB58" s="292">
        <v>0.39696300000000001</v>
      </c>
      <c r="AC58" s="292">
        <v>0.398011</v>
      </c>
      <c r="AD58" s="292">
        <v>0.39871400000000001</v>
      </c>
      <c r="AE58" s="292">
        <v>0.39992499999999997</v>
      </c>
      <c r="AF58" s="292">
        <v>0.40121899999999999</v>
      </c>
      <c r="AG58" s="292">
        <v>0.40172999999999998</v>
      </c>
      <c r="AH58" s="292">
        <v>0.402443</v>
      </c>
      <c r="AI58" s="292">
        <v>0.40342099999999997</v>
      </c>
      <c r="AJ58" s="292">
        <v>0.40445900000000001</v>
      </c>
      <c r="AK58" s="293">
        <v>6.0000000000000001E-3</v>
      </c>
    </row>
    <row r="59" spans="1:37">
      <c r="A59" s="6" t="s">
        <v>699</v>
      </c>
      <c r="B59" s="347">
        <v>2.8580451011657702</v>
      </c>
      <c r="C59" s="347">
        <v>2.73703241348267</v>
      </c>
      <c r="D59" s="347">
        <v>2.4269983768463099</v>
      </c>
      <c r="E59" s="347">
        <v>2.3350048065185498</v>
      </c>
      <c r="F59" s="348">
        <v>2.2457344532012899</v>
      </c>
      <c r="G59" s="292">
        <v>2.0800260000000002</v>
      </c>
      <c r="H59" s="292">
        <v>1.965076</v>
      </c>
      <c r="I59" s="292">
        <v>1.942002</v>
      </c>
      <c r="J59" s="292">
        <v>1.9470000000000001</v>
      </c>
      <c r="K59" s="292">
        <v>2.0148790000000001</v>
      </c>
      <c r="L59" s="292">
        <v>2.0685479999999998</v>
      </c>
      <c r="M59" s="292">
        <v>2.1349170000000002</v>
      </c>
      <c r="N59" s="292">
        <v>2.1911809999999998</v>
      </c>
      <c r="O59" s="292">
        <v>2.2368299999999999</v>
      </c>
      <c r="P59" s="292">
        <v>2.276913</v>
      </c>
      <c r="Q59" s="292">
        <v>2.3108819999999999</v>
      </c>
      <c r="R59" s="292">
        <v>2.3269329999999999</v>
      </c>
      <c r="S59" s="292">
        <v>2.343264</v>
      </c>
      <c r="T59" s="292">
        <v>2.3722750000000001</v>
      </c>
      <c r="U59" s="292">
        <v>2.404312</v>
      </c>
      <c r="V59" s="292">
        <v>2.4265159999999999</v>
      </c>
      <c r="W59" s="292">
        <v>2.458132</v>
      </c>
      <c r="X59" s="292">
        <v>2.474024</v>
      </c>
      <c r="Y59" s="292">
        <v>2.4762659999999999</v>
      </c>
      <c r="Z59" s="292">
        <v>2.4857459999999998</v>
      </c>
      <c r="AA59" s="292">
        <v>2.4935139999999998</v>
      </c>
      <c r="AB59" s="292">
        <v>2.4994040000000002</v>
      </c>
      <c r="AC59" s="292">
        <v>2.4986790000000001</v>
      </c>
      <c r="AD59" s="292">
        <v>2.5103719999999998</v>
      </c>
      <c r="AE59" s="292">
        <v>2.5131139999999998</v>
      </c>
      <c r="AF59" s="292">
        <v>2.519142</v>
      </c>
      <c r="AG59" s="292">
        <v>2.531539</v>
      </c>
      <c r="AH59" s="292">
        <v>2.5507759999999999</v>
      </c>
      <c r="AI59" s="292">
        <v>2.550128</v>
      </c>
      <c r="AJ59" s="292">
        <v>2.5471759999999999</v>
      </c>
      <c r="AK59" s="293">
        <v>8.9999999999999993E-3</v>
      </c>
    </row>
    <row r="60" spans="1:37">
      <c r="A60" s="6" t="s">
        <v>156</v>
      </c>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row>
    <row r="61" spans="1:37">
      <c r="A61" s="6" t="s">
        <v>155</v>
      </c>
      <c r="B61" s="347">
        <v>1.0618205070495601</v>
      </c>
      <c r="C61" s="347">
        <v>1.1093590259552</v>
      </c>
      <c r="D61" s="347">
        <v>1.0993635654449501</v>
      </c>
      <c r="E61" s="347">
        <v>1.10606873035431</v>
      </c>
      <c r="F61" s="348">
        <v>1.0538341999053999</v>
      </c>
      <c r="G61" s="292">
        <v>0.96948900000000005</v>
      </c>
      <c r="H61" s="292">
        <v>0.94076099999999996</v>
      </c>
      <c r="I61" s="292">
        <v>0.95062599999999997</v>
      </c>
      <c r="J61" s="292">
        <v>0.94062699999999999</v>
      </c>
      <c r="K61" s="292">
        <v>0.91689699999999996</v>
      </c>
      <c r="L61" s="292">
        <v>0.91578099999999996</v>
      </c>
      <c r="M61" s="292">
        <v>0.90966899999999995</v>
      </c>
      <c r="N61" s="292">
        <v>0.90114399999999995</v>
      </c>
      <c r="O61" s="292">
        <v>0.89199799999999996</v>
      </c>
      <c r="P61" s="292">
        <v>0.88283199999999995</v>
      </c>
      <c r="Q61" s="292">
        <v>0.87347300000000005</v>
      </c>
      <c r="R61" s="292">
        <v>0.86438899999999996</v>
      </c>
      <c r="S61" s="292">
        <v>0.85625499999999999</v>
      </c>
      <c r="T61" s="292">
        <v>0.84867599999999999</v>
      </c>
      <c r="U61" s="292">
        <v>0.84107299999999996</v>
      </c>
      <c r="V61" s="292">
        <v>0.83371399999999996</v>
      </c>
      <c r="W61" s="292">
        <v>0.82639200000000002</v>
      </c>
      <c r="X61" s="292">
        <v>0.81992799999999999</v>
      </c>
      <c r="Y61" s="292">
        <v>0.81319300000000005</v>
      </c>
      <c r="Z61" s="292">
        <v>0.80710899999999997</v>
      </c>
      <c r="AA61" s="292">
        <v>0.80122000000000004</v>
      </c>
      <c r="AB61" s="292">
        <v>0.795458</v>
      </c>
      <c r="AC61" s="292">
        <v>0.79006900000000002</v>
      </c>
      <c r="AD61" s="292">
        <v>0.78411900000000001</v>
      </c>
      <c r="AE61" s="292">
        <v>0.77970600000000001</v>
      </c>
      <c r="AF61" s="292">
        <v>0.77555200000000002</v>
      </c>
      <c r="AG61" s="292">
        <v>0.771922</v>
      </c>
      <c r="AH61" s="292">
        <v>0.76868800000000004</v>
      </c>
      <c r="AI61" s="292">
        <v>0.76499200000000001</v>
      </c>
      <c r="AJ61" s="292">
        <v>0.76103399999999999</v>
      </c>
      <c r="AK61" s="293">
        <v>-8.0000000000000002E-3</v>
      </c>
    </row>
    <row r="62" spans="1:37">
      <c r="A62" s="6" t="s">
        <v>700</v>
      </c>
      <c r="B62" s="347">
        <v>5.3221449851989702</v>
      </c>
      <c r="C62" s="347">
        <v>5.2595095634460396</v>
      </c>
      <c r="D62" s="347">
        <v>4.9765362739562997</v>
      </c>
      <c r="E62" s="347">
        <v>4.70910596847534</v>
      </c>
      <c r="F62" s="348">
        <v>4.5219602584838903</v>
      </c>
      <c r="G62" s="292">
        <v>4.4511919999999998</v>
      </c>
      <c r="H62" s="292">
        <v>4.421297</v>
      </c>
      <c r="I62" s="292">
        <v>4.5209929999999998</v>
      </c>
      <c r="J62" s="292">
        <v>4.6163509999999999</v>
      </c>
      <c r="K62" s="292">
        <v>4.7672689999999998</v>
      </c>
      <c r="L62" s="292">
        <v>4.940448</v>
      </c>
      <c r="M62" s="292">
        <v>5.0828059999999997</v>
      </c>
      <c r="N62" s="292">
        <v>5.1973799999999999</v>
      </c>
      <c r="O62" s="292">
        <v>5.2962569999999998</v>
      </c>
      <c r="P62" s="292">
        <v>5.3737599999999999</v>
      </c>
      <c r="Q62" s="292">
        <v>5.42516</v>
      </c>
      <c r="R62" s="292">
        <v>5.4817600000000004</v>
      </c>
      <c r="S62" s="292">
        <v>5.536664</v>
      </c>
      <c r="T62" s="292">
        <v>5.5895760000000001</v>
      </c>
      <c r="U62" s="292">
        <v>5.635637</v>
      </c>
      <c r="V62" s="292">
        <v>5.6575449999999998</v>
      </c>
      <c r="W62" s="292">
        <v>5.6945290000000002</v>
      </c>
      <c r="X62" s="292">
        <v>5.724005</v>
      </c>
      <c r="Y62" s="292">
        <v>5.7184200000000001</v>
      </c>
      <c r="Z62" s="292">
        <v>5.7229380000000001</v>
      </c>
      <c r="AA62" s="292">
        <v>5.7270849999999998</v>
      </c>
      <c r="AB62" s="292">
        <v>5.7279549999999997</v>
      </c>
      <c r="AC62" s="292">
        <v>5.7151949999999996</v>
      </c>
      <c r="AD62" s="292">
        <v>5.7039289999999996</v>
      </c>
      <c r="AE62" s="292">
        <v>5.6985010000000003</v>
      </c>
      <c r="AF62" s="292">
        <v>5.6904269999999997</v>
      </c>
      <c r="AG62" s="292">
        <v>5.7088890000000001</v>
      </c>
      <c r="AH62" s="292">
        <v>5.7191020000000004</v>
      </c>
      <c r="AI62" s="292">
        <v>5.7061400000000004</v>
      </c>
      <c r="AJ62" s="292">
        <v>5.6839209999999998</v>
      </c>
      <c r="AK62" s="293">
        <v>8.9999999999999993E-3</v>
      </c>
    </row>
    <row r="63" spans="1:37">
      <c r="A63" s="6" t="s">
        <v>154</v>
      </c>
      <c r="B63" s="347">
        <v>14.205528259277299</v>
      </c>
      <c r="C63" s="347">
        <v>14.253752708435099</v>
      </c>
      <c r="D63" s="347">
        <v>13.661909103393601</v>
      </c>
      <c r="E63" s="347">
        <v>13.477608680725099</v>
      </c>
      <c r="F63" s="348">
        <v>13.9932947158813</v>
      </c>
      <c r="G63" s="292">
        <v>13.653123000000001</v>
      </c>
      <c r="H63" s="292">
        <v>13.443807</v>
      </c>
      <c r="I63" s="292">
        <v>13.46326</v>
      </c>
      <c r="J63" s="292">
        <v>13.410075000000001</v>
      </c>
      <c r="K63" s="292">
        <v>13.391593</v>
      </c>
      <c r="L63" s="292">
        <v>13.423278</v>
      </c>
      <c r="M63" s="292">
        <v>13.416093</v>
      </c>
      <c r="N63" s="292">
        <v>13.359128999999999</v>
      </c>
      <c r="O63" s="292">
        <v>13.277658000000001</v>
      </c>
      <c r="P63" s="292">
        <v>13.193913999999999</v>
      </c>
      <c r="Q63" s="292">
        <v>13.108468</v>
      </c>
      <c r="R63" s="292">
        <v>13.021044</v>
      </c>
      <c r="S63" s="292">
        <v>12.924597</v>
      </c>
      <c r="T63" s="292">
        <v>12.819832</v>
      </c>
      <c r="U63" s="292">
        <v>12.713536</v>
      </c>
      <c r="V63" s="292">
        <v>12.616394</v>
      </c>
      <c r="W63" s="292">
        <v>12.527696000000001</v>
      </c>
      <c r="X63" s="292">
        <v>12.445028000000001</v>
      </c>
      <c r="Y63" s="292">
        <v>12.377145000000001</v>
      </c>
      <c r="Z63" s="292">
        <v>12.324268</v>
      </c>
      <c r="AA63" s="292">
        <v>12.281888</v>
      </c>
      <c r="AB63" s="292">
        <v>12.244210000000001</v>
      </c>
      <c r="AC63" s="292">
        <v>12.219082999999999</v>
      </c>
      <c r="AD63" s="292">
        <v>12.208591999999999</v>
      </c>
      <c r="AE63" s="292">
        <v>12.201549</v>
      </c>
      <c r="AF63" s="292">
        <v>12.192887000000001</v>
      </c>
      <c r="AG63" s="292">
        <v>12.189211999999999</v>
      </c>
      <c r="AH63" s="292">
        <v>12.193395000000001</v>
      </c>
      <c r="AI63" s="292">
        <v>12.201965</v>
      </c>
      <c r="AJ63" s="292">
        <v>12.203708000000001</v>
      </c>
      <c r="AK63" s="293">
        <v>-3.0000000000000001E-3</v>
      </c>
    </row>
    <row r="64" spans="1:37">
      <c r="A64" s="6" t="s">
        <v>701</v>
      </c>
      <c r="B64" s="347">
        <v>0.28576692938804599</v>
      </c>
      <c r="C64" s="347">
        <v>0.295045405626297</v>
      </c>
      <c r="D64" s="347">
        <v>0.215673848986626</v>
      </c>
      <c r="E64" s="347">
        <v>0.21838557720184301</v>
      </c>
      <c r="F64" s="348">
        <v>0.21773074567317999</v>
      </c>
      <c r="G64" s="292">
        <v>0.13995199999999999</v>
      </c>
      <c r="H64" s="292">
        <v>0.10258100000000001</v>
      </c>
      <c r="I64" s="292">
        <v>9.1968999999999995E-2</v>
      </c>
      <c r="J64" s="292">
        <v>9.2428999999999997E-2</v>
      </c>
      <c r="K64" s="292">
        <v>9.2261999999999997E-2</v>
      </c>
      <c r="L64" s="292">
        <v>8.9524000000000006E-2</v>
      </c>
      <c r="M64" s="292">
        <v>7.9076999999999995E-2</v>
      </c>
      <c r="N64" s="292">
        <v>8.0381999999999995E-2</v>
      </c>
      <c r="O64" s="292">
        <v>8.0076999999999995E-2</v>
      </c>
      <c r="P64" s="292">
        <v>8.0298999999999995E-2</v>
      </c>
      <c r="Q64" s="292">
        <v>8.0979999999999996E-2</v>
      </c>
      <c r="R64" s="292">
        <v>8.1548999999999996E-2</v>
      </c>
      <c r="S64" s="292">
        <v>8.2155000000000006E-2</v>
      </c>
      <c r="T64" s="292">
        <v>8.3019999999999997E-2</v>
      </c>
      <c r="U64" s="292">
        <v>8.3024000000000001E-2</v>
      </c>
      <c r="V64" s="292">
        <v>8.1849000000000005E-2</v>
      </c>
      <c r="W64" s="292">
        <v>8.1641000000000005E-2</v>
      </c>
      <c r="X64" s="292">
        <v>8.1735000000000002E-2</v>
      </c>
      <c r="Y64" s="292">
        <v>8.2040000000000002E-2</v>
      </c>
      <c r="Z64" s="292">
        <v>8.2365999999999995E-2</v>
      </c>
      <c r="AA64" s="292">
        <v>8.1250000000000003E-2</v>
      </c>
      <c r="AB64" s="292">
        <v>8.1303E-2</v>
      </c>
      <c r="AC64" s="292">
        <v>8.1448999999999994E-2</v>
      </c>
      <c r="AD64" s="292">
        <v>8.1864999999999993E-2</v>
      </c>
      <c r="AE64" s="292">
        <v>8.2123000000000002E-2</v>
      </c>
      <c r="AF64" s="292">
        <v>8.2472000000000004E-2</v>
      </c>
      <c r="AG64" s="292">
        <v>8.2769999999999996E-2</v>
      </c>
      <c r="AH64" s="292">
        <v>8.3155000000000007E-2</v>
      </c>
      <c r="AI64" s="292">
        <v>8.3571999999999994E-2</v>
      </c>
      <c r="AJ64" s="292">
        <v>8.3961999999999995E-2</v>
      </c>
      <c r="AK64" s="293">
        <v>-7.0000000000000001E-3</v>
      </c>
    </row>
    <row r="65" spans="1:37">
      <c r="A65" s="6" t="s">
        <v>153</v>
      </c>
      <c r="B65" s="347">
        <v>20.654685974121101</v>
      </c>
      <c r="C65" s="347">
        <v>20.6498107910156</v>
      </c>
      <c r="D65" s="347">
        <v>19.5445957183838</v>
      </c>
      <c r="E65" s="347">
        <v>19.245325088501001</v>
      </c>
      <c r="F65" s="348">
        <v>19.787778854370099</v>
      </c>
      <c r="G65" s="247">
        <v>18.92342</v>
      </c>
      <c r="H65" s="247">
        <v>18.486381999999999</v>
      </c>
      <c r="I65" s="247">
        <v>18.638722999999999</v>
      </c>
      <c r="J65" s="247">
        <v>18.700082999999999</v>
      </c>
      <c r="K65" s="247">
        <v>19.167159999999999</v>
      </c>
      <c r="L65" s="247">
        <v>19.368099000000001</v>
      </c>
      <c r="M65" s="247">
        <v>19.486657999999998</v>
      </c>
      <c r="N65" s="247">
        <v>19.537004</v>
      </c>
      <c r="O65" s="247">
        <v>19.544903000000001</v>
      </c>
      <c r="P65" s="247">
        <v>19.529665000000001</v>
      </c>
      <c r="Q65" s="247">
        <v>19.486916000000001</v>
      </c>
      <c r="R65" s="247">
        <v>19.44755</v>
      </c>
      <c r="S65" s="247">
        <v>19.398457000000001</v>
      </c>
      <c r="T65" s="247">
        <v>19.339873999999998</v>
      </c>
      <c r="U65" s="247">
        <v>19.272027999999999</v>
      </c>
      <c r="V65" s="247">
        <v>19.188255000000002</v>
      </c>
      <c r="W65" s="247">
        <v>19.129000000000001</v>
      </c>
      <c r="X65" s="247">
        <v>19.069431000000002</v>
      </c>
      <c r="Y65" s="247">
        <v>18.989547999999999</v>
      </c>
      <c r="Z65" s="247">
        <v>18.935445999999999</v>
      </c>
      <c r="AA65" s="247">
        <v>18.890217</v>
      </c>
      <c r="AB65" s="247">
        <v>18.847709999999999</v>
      </c>
      <c r="AC65" s="247">
        <v>18.804594000000002</v>
      </c>
      <c r="AD65" s="247">
        <v>18.777315000000002</v>
      </c>
      <c r="AE65" s="247">
        <v>18.760704</v>
      </c>
      <c r="AF65" s="247">
        <v>18.740176999999999</v>
      </c>
      <c r="AG65" s="247">
        <v>18.751633000000002</v>
      </c>
      <c r="AH65" s="247">
        <v>18.763190999999999</v>
      </c>
      <c r="AI65" s="247">
        <v>18.755531000000001</v>
      </c>
      <c r="AJ65" s="247">
        <v>18.731504000000001</v>
      </c>
      <c r="AK65" s="248">
        <v>0</v>
      </c>
    </row>
    <row r="66" spans="1:37">
      <c r="G66" s="296"/>
      <c r="H66" s="296"/>
      <c r="I66" s="296"/>
      <c r="J66" s="296"/>
      <c r="K66" s="296"/>
      <c r="L66" s="296"/>
      <c r="M66" s="296"/>
      <c r="N66" s="296"/>
      <c r="O66" s="296"/>
      <c r="P66" s="296"/>
      <c r="Q66" s="296"/>
      <c r="R66" s="296"/>
      <c r="S66" s="296"/>
      <c r="T66" s="296"/>
      <c r="U66" s="296"/>
      <c r="V66" s="296"/>
      <c r="W66" s="296"/>
      <c r="X66" s="296"/>
      <c r="Y66" s="296"/>
      <c r="Z66" s="296"/>
      <c r="AA66" s="296"/>
      <c r="AB66" s="296"/>
      <c r="AC66" s="296"/>
      <c r="AD66" s="296"/>
      <c r="AE66" s="296"/>
      <c r="AF66" s="296"/>
      <c r="AG66" s="296"/>
      <c r="AH66" s="296"/>
      <c r="AI66" s="296"/>
      <c r="AJ66" s="296"/>
      <c r="AK66" s="296"/>
    </row>
    <row r="67" spans="1:37">
      <c r="A67" s="6" t="s">
        <v>702</v>
      </c>
      <c r="B67" s="347">
        <v>4.2667388916015597E-2</v>
      </c>
      <c r="C67" s="347">
        <v>0.11821937561035201</v>
      </c>
      <c r="D67" s="347">
        <v>0.102603912353516</v>
      </c>
      <c r="E67" s="347">
        <v>0.17598533630371099</v>
      </c>
      <c r="F67" s="348">
        <v>-0.19984626770019501</v>
      </c>
      <c r="G67" s="292">
        <v>1.5162999999999999E-2</v>
      </c>
      <c r="H67" s="292">
        <v>0.105907</v>
      </c>
      <c r="I67" s="292">
        <v>0.34659600000000002</v>
      </c>
      <c r="J67" s="292">
        <v>0.115158</v>
      </c>
      <c r="K67" s="292">
        <v>-9.7140000000000004E-3</v>
      </c>
      <c r="L67" s="292">
        <v>-9.1500000000000001E-3</v>
      </c>
      <c r="M67" s="292">
        <v>-9.129E-3</v>
      </c>
      <c r="N67" s="292">
        <v>-9.3959999999999998E-3</v>
      </c>
      <c r="O67" s="292">
        <v>-9.4409999999999997E-3</v>
      </c>
      <c r="P67" s="292">
        <v>-9.2980000000000007E-3</v>
      </c>
      <c r="Q67" s="292">
        <v>-9.8270000000000007E-3</v>
      </c>
      <c r="R67" s="292">
        <v>-9.7409999999999997E-3</v>
      </c>
      <c r="S67" s="292">
        <v>-9.6889999999999997E-3</v>
      </c>
      <c r="T67" s="292">
        <v>-9.8569999999999994E-3</v>
      </c>
      <c r="U67" s="292">
        <v>-9.7099999999999999E-3</v>
      </c>
      <c r="V67" s="292">
        <v>-9.4129999999999995E-3</v>
      </c>
      <c r="W67" s="292">
        <v>-9.7260000000000003E-3</v>
      </c>
      <c r="X67" s="292">
        <v>-9.5440000000000004E-3</v>
      </c>
      <c r="Y67" s="292">
        <v>-8.9110000000000005E-3</v>
      </c>
      <c r="Z67" s="292">
        <v>-9.2739999999999993E-3</v>
      </c>
      <c r="AA67" s="292">
        <v>-9.4389999999999995E-3</v>
      </c>
      <c r="AB67" s="292">
        <v>-9.6170000000000005E-3</v>
      </c>
      <c r="AC67" s="292">
        <v>-9.1479999999999999E-3</v>
      </c>
      <c r="AD67" s="292">
        <v>-8.9969999999999998E-3</v>
      </c>
      <c r="AE67" s="292">
        <v>-8.8159999999999992E-3</v>
      </c>
      <c r="AF67" s="292">
        <v>-8.2660000000000008E-3</v>
      </c>
      <c r="AG67" s="292">
        <v>-8.2740000000000001E-3</v>
      </c>
      <c r="AH67" s="292">
        <v>-7.711E-3</v>
      </c>
      <c r="AI67" s="292">
        <v>-7.0080000000000003E-3</v>
      </c>
      <c r="AJ67" s="292">
        <v>-6.5420000000000001E-3</v>
      </c>
      <c r="AK67" s="292" t="s">
        <v>41</v>
      </c>
    </row>
    <row r="68" spans="1:37">
      <c r="G68" s="296"/>
      <c r="H68" s="296"/>
      <c r="I68" s="296"/>
      <c r="J68" s="296"/>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row>
    <row r="69" spans="1:37">
      <c r="A69" s="6" t="s">
        <v>703</v>
      </c>
      <c r="B69" s="361">
        <v>17.3390007019043</v>
      </c>
      <c r="C69" s="361">
        <v>17.4409999847412</v>
      </c>
      <c r="D69" s="361">
        <v>17.5890007019043</v>
      </c>
      <c r="E69" s="361">
        <v>17.5890007019043</v>
      </c>
      <c r="F69" s="362">
        <v>17.994850158691399</v>
      </c>
      <c r="G69" s="292">
        <v>17.704999999999998</v>
      </c>
      <c r="H69" s="292">
        <v>17.315000999999999</v>
      </c>
      <c r="I69" s="292">
        <v>17.818999999999999</v>
      </c>
      <c r="J69" s="292">
        <v>17.818999999999999</v>
      </c>
      <c r="K69" s="292">
        <v>18.114657999999999</v>
      </c>
      <c r="L69" s="292">
        <v>18.129657999999999</v>
      </c>
      <c r="M69" s="292">
        <v>18.129657999999999</v>
      </c>
      <c r="N69" s="292">
        <v>18.129657999999999</v>
      </c>
      <c r="O69" s="292">
        <v>18.129657999999999</v>
      </c>
      <c r="P69" s="292">
        <v>18.129657999999999</v>
      </c>
      <c r="Q69" s="292">
        <v>18.129657999999999</v>
      </c>
      <c r="R69" s="292">
        <v>18.129657999999999</v>
      </c>
      <c r="S69" s="292">
        <v>18.129657999999999</v>
      </c>
      <c r="T69" s="292">
        <v>18.129657999999999</v>
      </c>
      <c r="U69" s="292">
        <v>18.129657999999999</v>
      </c>
      <c r="V69" s="292">
        <v>18.129657999999999</v>
      </c>
      <c r="W69" s="292">
        <v>18.129657999999999</v>
      </c>
      <c r="X69" s="292">
        <v>18.129657999999999</v>
      </c>
      <c r="Y69" s="292">
        <v>18.129657999999999</v>
      </c>
      <c r="Z69" s="292">
        <v>18.129657999999999</v>
      </c>
      <c r="AA69" s="292">
        <v>18.129657999999999</v>
      </c>
      <c r="AB69" s="292">
        <v>18.129657999999999</v>
      </c>
      <c r="AC69" s="292">
        <v>18.129657999999999</v>
      </c>
      <c r="AD69" s="292">
        <v>18.129657999999999</v>
      </c>
      <c r="AE69" s="292">
        <v>18.129657999999999</v>
      </c>
      <c r="AF69" s="292">
        <v>18.129657999999999</v>
      </c>
      <c r="AG69" s="292">
        <v>18.129657999999999</v>
      </c>
      <c r="AH69" s="292">
        <v>18.129657999999999</v>
      </c>
      <c r="AI69" s="292">
        <v>18.129657999999999</v>
      </c>
      <c r="AJ69" s="292">
        <v>18.129657999999999</v>
      </c>
      <c r="AK69" s="293">
        <v>2E-3</v>
      </c>
    </row>
    <row r="70" spans="1:37">
      <c r="A70" s="6" t="s">
        <v>704</v>
      </c>
      <c r="B70" s="361">
        <v>90</v>
      </c>
      <c r="C70" s="361">
        <v>89</v>
      </c>
      <c r="D70" s="361">
        <v>85</v>
      </c>
      <c r="E70" s="361">
        <v>84</v>
      </c>
      <c r="F70" s="362">
        <v>78.951698303222699</v>
      </c>
      <c r="G70" s="292">
        <v>86</v>
      </c>
      <c r="H70" s="292">
        <v>89</v>
      </c>
      <c r="I70" s="292">
        <v>87</v>
      </c>
      <c r="J70" s="292">
        <v>87</v>
      </c>
      <c r="K70" s="292">
        <v>83.929221999999996</v>
      </c>
      <c r="L70" s="292">
        <v>84.444526999999994</v>
      </c>
      <c r="M70" s="292">
        <v>84.784676000000005</v>
      </c>
      <c r="N70" s="292">
        <v>84.856537000000003</v>
      </c>
      <c r="O70" s="292">
        <v>84.762580999999997</v>
      </c>
      <c r="P70" s="292">
        <v>84.610602999999998</v>
      </c>
      <c r="Q70" s="292">
        <v>84.422150000000002</v>
      </c>
      <c r="R70" s="292">
        <v>84.011527999999998</v>
      </c>
      <c r="S70" s="292">
        <v>83.650841</v>
      </c>
      <c r="T70" s="292">
        <v>83.337349000000003</v>
      </c>
      <c r="U70" s="292">
        <v>83.051040999999998</v>
      </c>
      <c r="V70" s="292">
        <v>82.852858999999995</v>
      </c>
      <c r="W70" s="292">
        <v>82.751807999999997</v>
      </c>
      <c r="X70" s="292">
        <v>82.579086000000004</v>
      </c>
      <c r="Y70" s="292">
        <v>82.446686</v>
      </c>
      <c r="Z70" s="292">
        <v>82.407532000000003</v>
      </c>
      <c r="AA70" s="292">
        <v>82.401390000000006</v>
      </c>
      <c r="AB70" s="292">
        <v>82.379172999999994</v>
      </c>
      <c r="AC70" s="292">
        <v>82.419548000000006</v>
      </c>
      <c r="AD70" s="292">
        <v>82.643226999999996</v>
      </c>
      <c r="AE70" s="292">
        <v>82.856575000000007</v>
      </c>
      <c r="AF70" s="292">
        <v>83.059607999999997</v>
      </c>
      <c r="AG70" s="292">
        <v>83.321395999999993</v>
      </c>
      <c r="AH70" s="292">
        <v>83.713463000000004</v>
      </c>
      <c r="AI70" s="292">
        <v>83.800713000000002</v>
      </c>
      <c r="AJ70" s="292">
        <v>83.967208999999997</v>
      </c>
      <c r="AK70" s="293">
        <v>-2E-3</v>
      </c>
    </row>
    <row r="71" spans="1:37">
      <c r="A71" s="6" t="s">
        <v>152</v>
      </c>
      <c r="B71" s="361">
        <v>60.165718078613303</v>
      </c>
      <c r="C71" s="361">
        <v>58.3234672546387</v>
      </c>
      <c r="D71" s="361">
        <v>56.096931457519503</v>
      </c>
      <c r="E71" s="361">
        <v>53.113201141357401</v>
      </c>
      <c r="F71" s="362">
        <v>50.657768249511697</v>
      </c>
      <c r="G71" s="292">
        <v>45.229275000000001</v>
      </c>
      <c r="H71" s="292">
        <v>40.315280999999999</v>
      </c>
      <c r="I71" s="292">
        <v>33.537674000000003</v>
      </c>
      <c r="J71" s="292">
        <v>28.732861</v>
      </c>
      <c r="K71" s="292">
        <v>27.439371000000001</v>
      </c>
      <c r="L71" s="292">
        <v>25.212821999999999</v>
      </c>
      <c r="M71" s="292">
        <v>25.371447</v>
      </c>
      <c r="N71" s="292">
        <v>25.397780999999998</v>
      </c>
      <c r="O71" s="292">
        <v>25.272306</v>
      </c>
      <c r="P71" s="292">
        <v>25.605276</v>
      </c>
      <c r="Q71" s="292">
        <v>26.339932999999998</v>
      </c>
      <c r="R71" s="292">
        <v>26.391024000000002</v>
      </c>
      <c r="S71" s="292">
        <v>26.330031999999999</v>
      </c>
      <c r="T71" s="292">
        <v>26.557704999999999</v>
      </c>
      <c r="U71" s="292">
        <v>26.574638</v>
      </c>
      <c r="V71" s="292">
        <v>27.074511000000001</v>
      </c>
      <c r="W71" s="292">
        <v>27.628391000000001</v>
      </c>
      <c r="X71" s="292">
        <v>28.164417</v>
      </c>
      <c r="Y71" s="292">
        <v>28.574669</v>
      </c>
      <c r="Z71" s="292">
        <v>28.600802999999999</v>
      </c>
      <c r="AA71" s="292">
        <v>29.035553</v>
      </c>
      <c r="AB71" s="292">
        <v>29.225125999999999</v>
      </c>
      <c r="AC71" s="292">
        <v>29.185209</v>
      </c>
      <c r="AD71" s="292">
        <v>29.338975999999999</v>
      </c>
      <c r="AE71" s="292">
        <v>29.911650000000002</v>
      </c>
      <c r="AF71" s="292">
        <v>30.578768</v>
      </c>
      <c r="AG71" s="292">
        <v>30.764973000000001</v>
      </c>
      <c r="AH71" s="292">
        <v>31.641760000000001</v>
      </c>
      <c r="AI71" s="292">
        <v>31.827915000000001</v>
      </c>
      <c r="AJ71" s="292">
        <v>32.156517000000001</v>
      </c>
      <c r="AK71" s="293">
        <v>-8.0000000000000002E-3</v>
      </c>
    </row>
    <row r="72" spans="1:37" s="267" customFormat="1">
      <c r="A72" s="266" t="s">
        <v>151</v>
      </c>
      <c r="B72" s="347">
        <v>15.605100631713899</v>
      </c>
      <c r="C72" s="347">
        <v>15.522489547729499</v>
      </c>
      <c r="D72" s="347">
        <v>14.950650215148899</v>
      </c>
      <c r="E72" s="347">
        <v>14.7747602462769</v>
      </c>
      <c r="F72" s="348">
        <v>14.2072401046753</v>
      </c>
      <c r="G72" s="313">
        <v>14.3342885971069</v>
      </c>
      <c r="H72" s="313">
        <v>14.411810874939</v>
      </c>
      <c r="I72" s="313">
        <v>14.427806854248001</v>
      </c>
      <c r="J72" s="313">
        <v>14.247616767883301</v>
      </c>
      <c r="K72" s="313">
        <v>14.1760416030884</v>
      </c>
      <c r="L72" s="313">
        <v>14.1692085266113</v>
      </c>
      <c r="M72" s="313">
        <v>14.217811584472701</v>
      </c>
      <c r="N72" s="313">
        <v>14.219580650329601</v>
      </c>
      <c r="O72" s="313">
        <v>14.2103576660156</v>
      </c>
      <c r="P72" s="313">
        <v>14.200039863586399</v>
      </c>
      <c r="Q72" s="313">
        <v>14.1303453445435</v>
      </c>
      <c r="R72" s="313">
        <v>14.095740318298301</v>
      </c>
      <c r="S72" s="313">
        <v>14.0861167907715</v>
      </c>
      <c r="T72" s="313">
        <v>14.1125946044922</v>
      </c>
      <c r="U72" s="313">
        <v>14.163477897644</v>
      </c>
      <c r="V72" s="313">
        <v>14.242433547973601</v>
      </c>
      <c r="W72" s="313">
        <v>14.2973442077637</v>
      </c>
      <c r="X72" s="313">
        <v>14.4011936187744</v>
      </c>
      <c r="Y72" s="313">
        <v>14.4425506591797</v>
      </c>
      <c r="Z72" s="313">
        <v>14.573932647705099</v>
      </c>
      <c r="AA72" s="313"/>
      <c r="AB72" s="313"/>
      <c r="AC72" s="313"/>
      <c r="AD72" s="313"/>
      <c r="AE72" s="313"/>
      <c r="AF72" s="313"/>
      <c r="AG72" s="313"/>
      <c r="AH72" s="313"/>
      <c r="AI72" s="313"/>
      <c r="AJ72" s="313"/>
      <c r="AK72" s="314">
        <v>-2.73776054382324E-3</v>
      </c>
    </row>
    <row r="73" spans="1:37">
      <c r="A73" s="6" t="s">
        <v>150</v>
      </c>
    </row>
    <row r="74" spans="1:37">
      <c r="A74" s="6" t="s">
        <v>595</v>
      </c>
      <c r="B74" s="347">
        <v>272.80218505859398</v>
      </c>
      <c r="C74" s="347">
        <v>280.12564086914102</v>
      </c>
      <c r="D74" s="347">
        <v>321.28717041015602</v>
      </c>
      <c r="E74" s="347">
        <v>195.51596069335901</v>
      </c>
      <c r="F74" s="348">
        <v>246.62348937988301</v>
      </c>
      <c r="G74" s="292">
        <v>494.73007200000001</v>
      </c>
      <c r="H74" s="292">
        <v>313.70205700000002</v>
      </c>
      <c r="I74" s="292">
        <v>257.058716</v>
      </c>
      <c r="J74" s="292">
        <v>219.518845</v>
      </c>
      <c r="K74" s="292">
        <v>213.13346899999999</v>
      </c>
      <c r="L74" s="292">
        <v>192.04028299999999</v>
      </c>
      <c r="M74" s="292">
        <v>190.19305399999999</v>
      </c>
      <c r="N74" s="292">
        <v>190.97583</v>
      </c>
      <c r="O74" s="292">
        <v>193.05748</v>
      </c>
      <c r="P74" s="292">
        <v>198.85289</v>
      </c>
      <c r="Q74" s="292">
        <v>207.326324</v>
      </c>
      <c r="R74" s="292">
        <v>214.50224299999999</v>
      </c>
      <c r="S74" s="292">
        <v>220.992096</v>
      </c>
      <c r="T74" s="292">
        <v>228.38960299999999</v>
      </c>
      <c r="U74" s="292">
        <v>234.269226</v>
      </c>
      <c r="V74" s="292">
        <v>243.98199500000001</v>
      </c>
      <c r="W74" s="292">
        <v>254.790054</v>
      </c>
      <c r="X74" s="292">
        <v>263.61831699999999</v>
      </c>
      <c r="Y74" s="292">
        <v>272.543701</v>
      </c>
      <c r="Z74" s="292">
        <v>278.59802200000001</v>
      </c>
      <c r="AA74" s="292">
        <v>289.04888899999997</v>
      </c>
      <c r="AB74" s="292">
        <v>297.603973</v>
      </c>
      <c r="AC74" s="292">
        <v>305.14331099999998</v>
      </c>
      <c r="AD74" s="292">
        <v>315.75491299999999</v>
      </c>
      <c r="AE74" s="292">
        <v>327.328461</v>
      </c>
      <c r="AF74" s="292">
        <v>338.67947400000003</v>
      </c>
      <c r="AG74" s="292">
        <v>347.810272</v>
      </c>
      <c r="AH74" s="292">
        <v>363.35360700000001</v>
      </c>
      <c r="AI74" s="292">
        <v>372.92919899999998</v>
      </c>
      <c r="AJ74" s="292">
        <v>385.39370700000001</v>
      </c>
      <c r="AK74" s="293">
        <v>7.0000000000000001E-3</v>
      </c>
    </row>
    <row r="78" spans="1:37" s="265" customFormat="1" ht="15" customHeight="1">
      <c r="A78" s="559" t="s">
        <v>596</v>
      </c>
      <c r="B78" s="559"/>
      <c r="C78" s="559"/>
      <c r="D78" s="559"/>
      <c r="E78" s="559"/>
      <c r="F78" s="559"/>
      <c r="G78" s="559"/>
      <c r="H78" s="559"/>
      <c r="I78" s="559"/>
      <c r="J78" s="559"/>
      <c r="K78" s="559"/>
      <c r="L78" s="559"/>
      <c r="M78" s="559"/>
      <c r="N78" s="559"/>
      <c r="O78" s="559"/>
      <c r="P78" s="559"/>
      <c r="Q78" s="559"/>
      <c r="R78" s="559"/>
      <c r="S78" s="559"/>
      <c r="T78" s="559"/>
      <c r="U78" s="559"/>
      <c r="V78" s="559"/>
      <c r="W78" s="559"/>
      <c r="X78" s="559"/>
      <c r="Y78" s="559"/>
      <c r="Z78" s="559"/>
      <c r="AA78" s="559"/>
      <c r="AB78" s="559"/>
      <c r="AC78" s="559"/>
      <c r="AD78" s="559"/>
      <c r="AE78" s="559"/>
      <c r="AF78" s="559"/>
      <c r="AG78" s="297"/>
      <c r="AH78" s="297"/>
      <c r="AI78" s="297"/>
      <c r="AJ78" s="297"/>
      <c r="AK78" s="297"/>
    </row>
    <row r="79" spans="1:37" customFormat="1" ht="15" customHeight="1">
      <c r="A79" s="560" t="s">
        <v>597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296"/>
      <c r="AH79" s="296"/>
      <c r="AI79" s="296"/>
      <c r="AJ79" s="296"/>
      <c r="AK79" s="296"/>
    </row>
    <row r="80" spans="1:37" customFormat="1" ht="15" customHeight="1">
      <c r="A80" s="560" t="s">
        <v>598</v>
      </c>
      <c r="B80" s="560"/>
      <c r="C80" s="560"/>
      <c r="D80" s="560"/>
      <c r="E80" s="560"/>
      <c r="F80" s="560"/>
      <c r="G80" s="560"/>
      <c r="H80" s="560"/>
      <c r="I80" s="560"/>
      <c r="J80" s="560"/>
      <c r="K80" s="560"/>
      <c r="L80" s="560"/>
      <c r="M80" s="560"/>
      <c r="N80" s="560"/>
      <c r="O80" s="560"/>
      <c r="P80" s="560"/>
      <c r="Q80" s="560"/>
      <c r="R80" s="560"/>
      <c r="S80" s="560"/>
      <c r="T80" s="560"/>
      <c r="U80" s="560"/>
      <c r="V80" s="560"/>
      <c r="W80" s="560"/>
      <c r="X80" s="560"/>
      <c r="Y80" s="560"/>
      <c r="Z80" s="560"/>
      <c r="AA80" s="560"/>
      <c r="AB80" s="560"/>
      <c r="AC80" s="560"/>
      <c r="AD80" s="560"/>
      <c r="AE80" s="560"/>
      <c r="AF80" s="560"/>
      <c r="AG80" s="296"/>
      <c r="AH80" s="296"/>
      <c r="AI80" s="296"/>
      <c r="AJ80" s="296"/>
      <c r="AK80" s="296"/>
    </row>
    <row r="81" spans="1:37" customFormat="1" ht="15" customHeight="1">
      <c r="A81" s="560" t="s">
        <v>599</v>
      </c>
      <c r="B81" s="560"/>
      <c r="C81" s="560"/>
      <c r="D81" s="560"/>
      <c r="E81" s="560"/>
      <c r="F81" s="560"/>
      <c r="G81" s="560"/>
      <c r="H81" s="560"/>
      <c r="I81" s="560"/>
      <c r="J81" s="560"/>
      <c r="K81" s="560"/>
      <c r="L81" s="560"/>
      <c r="M81" s="560"/>
      <c r="N81" s="560"/>
      <c r="O81" s="560"/>
      <c r="P81" s="560"/>
      <c r="Q81" s="560"/>
      <c r="R81" s="560"/>
      <c r="S81" s="560"/>
      <c r="T81" s="560"/>
      <c r="U81" s="560"/>
      <c r="V81" s="560"/>
      <c r="W81" s="560"/>
      <c r="X81" s="560"/>
      <c r="Y81" s="560"/>
      <c r="Z81" s="560"/>
      <c r="AA81" s="560"/>
      <c r="AB81" s="560"/>
      <c r="AC81" s="560"/>
      <c r="AD81" s="560"/>
      <c r="AE81" s="560"/>
      <c r="AF81" s="560"/>
      <c r="AG81" s="296"/>
      <c r="AH81" s="296"/>
      <c r="AI81" s="296"/>
      <c r="AJ81" s="296"/>
      <c r="AK81" s="296"/>
    </row>
    <row r="82" spans="1:37" customFormat="1" ht="15" customHeight="1">
      <c r="A82" s="560" t="s">
        <v>600</v>
      </c>
      <c r="B82" s="560"/>
      <c r="C82" s="560"/>
      <c r="D82" s="560"/>
      <c r="E82" s="560"/>
      <c r="F82" s="560"/>
      <c r="G82" s="560"/>
      <c r="H82" s="560"/>
      <c r="I82" s="560"/>
      <c r="J82" s="560"/>
      <c r="K82" s="560"/>
      <c r="L82" s="560"/>
      <c r="M82" s="560"/>
      <c r="N82" s="560"/>
      <c r="O82" s="560"/>
      <c r="P82" s="560"/>
      <c r="Q82" s="560"/>
      <c r="R82" s="560"/>
      <c r="S82" s="560"/>
      <c r="T82" s="560"/>
      <c r="U82" s="560"/>
      <c r="V82" s="560"/>
      <c r="W82" s="560"/>
      <c r="X82" s="560"/>
      <c r="Y82" s="560"/>
      <c r="Z82" s="560"/>
      <c r="AA82" s="560"/>
      <c r="AB82" s="560"/>
      <c r="AC82" s="560"/>
      <c r="AD82" s="560"/>
      <c r="AE82" s="560"/>
      <c r="AF82" s="560"/>
      <c r="AG82" s="296"/>
      <c r="AH82" s="296"/>
      <c r="AI82" s="296"/>
      <c r="AJ82" s="296"/>
      <c r="AK82" s="296"/>
    </row>
    <row r="83" spans="1:37" customFormat="1" ht="15" customHeight="1">
      <c r="A83" s="560" t="s">
        <v>601</v>
      </c>
      <c r="B83" s="560"/>
      <c r="C83" s="560"/>
      <c r="D83" s="560"/>
      <c r="E83" s="560"/>
      <c r="F83" s="560"/>
      <c r="G83" s="560"/>
      <c r="H83" s="560"/>
      <c r="I83" s="560"/>
      <c r="J83" s="560"/>
      <c r="K83" s="560"/>
      <c r="L83" s="560"/>
      <c r="M83" s="560"/>
      <c r="N83" s="560"/>
      <c r="O83" s="560"/>
      <c r="P83" s="560"/>
      <c r="Q83" s="560"/>
      <c r="R83" s="560"/>
      <c r="S83" s="560"/>
      <c r="T83" s="560"/>
      <c r="U83" s="560"/>
      <c r="V83" s="560"/>
      <c r="W83" s="560"/>
      <c r="X83" s="560"/>
      <c r="Y83" s="560"/>
      <c r="Z83" s="560"/>
      <c r="AA83" s="560"/>
      <c r="AB83" s="560"/>
      <c r="AC83" s="560"/>
      <c r="AD83" s="560"/>
      <c r="AE83" s="560"/>
      <c r="AF83" s="560"/>
      <c r="AG83" s="296"/>
      <c r="AH83" s="296"/>
      <c r="AI83" s="296"/>
      <c r="AJ83" s="296"/>
      <c r="AK83" s="296"/>
    </row>
    <row r="84" spans="1:37" customFormat="1" ht="15" customHeight="1">
      <c r="A84" s="560" t="s">
        <v>602</v>
      </c>
      <c r="B84" s="560"/>
      <c r="C84" s="560"/>
      <c r="D84" s="560"/>
      <c r="E84" s="560"/>
      <c r="F84" s="560"/>
      <c r="G84" s="560"/>
      <c r="H84" s="560"/>
      <c r="I84" s="560"/>
      <c r="J84" s="560"/>
      <c r="K84" s="560"/>
      <c r="L84" s="560"/>
      <c r="M84" s="560"/>
      <c r="N84" s="560"/>
      <c r="O84" s="560"/>
      <c r="P84" s="560"/>
      <c r="Q84" s="560"/>
      <c r="R84" s="560"/>
      <c r="S84" s="560"/>
      <c r="T84" s="560"/>
      <c r="U84" s="560"/>
      <c r="V84" s="560"/>
      <c r="W84" s="560"/>
      <c r="X84" s="560"/>
      <c r="Y84" s="560"/>
      <c r="Z84" s="560"/>
      <c r="AA84" s="560"/>
      <c r="AB84" s="560"/>
      <c r="AC84" s="560"/>
      <c r="AD84" s="560"/>
      <c r="AE84" s="560"/>
      <c r="AF84" s="560"/>
      <c r="AG84" s="296"/>
      <c r="AH84" s="296"/>
      <c r="AI84" s="296"/>
      <c r="AJ84" s="296"/>
      <c r="AK84" s="296"/>
    </row>
    <row r="85" spans="1:37" customFormat="1" ht="15" customHeight="1">
      <c r="A85" s="560" t="s">
        <v>603</v>
      </c>
      <c r="B85" s="560"/>
      <c r="C85" s="560"/>
      <c r="D85" s="560"/>
      <c r="E85" s="560"/>
      <c r="F85" s="560"/>
      <c r="G85" s="560"/>
      <c r="H85" s="560"/>
      <c r="I85" s="560"/>
      <c r="J85" s="560"/>
      <c r="K85" s="560"/>
      <c r="L85" s="560"/>
      <c r="M85" s="560"/>
      <c r="N85" s="560"/>
      <c r="O85" s="560"/>
      <c r="P85" s="560"/>
      <c r="Q85" s="560"/>
      <c r="R85" s="560"/>
      <c r="S85" s="560"/>
      <c r="T85" s="560"/>
      <c r="U85" s="560"/>
      <c r="V85" s="560"/>
      <c r="W85" s="560"/>
      <c r="X85" s="560"/>
      <c r="Y85" s="560"/>
      <c r="Z85" s="560"/>
      <c r="AA85" s="560"/>
      <c r="AB85" s="560"/>
      <c r="AC85" s="560"/>
      <c r="AD85" s="560"/>
      <c r="AE85" s="560"/>
      <c r="AF85" s="560"/>
      <c r="AG85" s="296"/>
      <c r="AH85" s="296"/>
      <c r="AI85" s="296"/>
      <c r="AJ85" s="296"/>
      <c r="AK85" s="296"/>
    </row>
    <row r="86" spans="1:37" customFormat="1" ht="15" customHeight="1">
      <c r="A86" s="560" t="s">
        <v>604</v>
      </c>
      <c r="B86" s="560"/>
      <c r="C86" s="560"/>
      <c r="D86" s="560"/>
      <c r="E86" s="560"/>
      <c r="F86" s="560"/>
      <c r="G86" s="560"/>
      <c r="H86" s="560"/>
      <c r="I86" s="560"/>
      <c r="J86" s="560"/>
      <c r="K86" s="560"/>
      <c r="L86" s="560"/>
      <c r="M86" s="560"/>
      <c r="N86" s="560"/>
      <c r="O86" s="560"/>
      <c r="P86" s="560"/>
      <c r="Q86" s="560"/>
      <c r="R86" s="560"/>
      <c r="S86" s="560"/>
      <c r="T86" s="560"/>
      <c r="U86" s="560"/>
      <c r="V86" s="560"/>
      <c r="W86" s="560"/>
      <c r="X86" s="560"/>
      <c r="Y86" s="560"/>
      <c r="Z86" s="560"/>
      <c r="AA86" s="560"/>
      <c r="AB86" s="560"/>
      <c r="AC86" s="560"/>
      <c r="AD86" s="560"/>
      <c r="AE86" s="560"/>
      <c r="AF86" s="560"/>
      <c r="AG86" s="296"/>
      <c r="AH86" s="296"/>
      <c r="AI86" s="296"/>
      <c r="AJ86" s="296"/>
      <c r="AK86" s="296"/>
    </row>
    <row r="87" spans="1:37" customFormat="1" ht="15" customHeight="1">
      <c r="A87" s="560" t="s">
        <v>605</v>
      </c>
      <c r="B87" s="560"/>
      <c r="C87" s="560"/>
      <c r="D87" s="560"/>
      <c r="E87" s="560"/>
      <c r="F87" s="560"/>
      <c r="G87" s="560"/>
      <c r="H87" s="560"/>
      <c r="I87" s="560"/>
      <c r="J87" s="560"/>
      <c r="K87" s="560"/>
      <c r="L87" s="560"/>
      <c r="M87" s="560"/>
      <c r="N87" s="560"/>
      <c r="O87" s="560"/>
      <c r="P87" s="560"/>
      <c r="Q87" s="560"/>
      <c r="R87" s="560"/>
      <c r="S87" s="560"/>
      <c r="T87" s="560"/>
      <c r="U87" s="560"/>
      <c r="V87" s="560"/>
      <c r="W87" s="560"/>
      <c r="X87" s="560"/>
      <c r="Y87" s="560"/>
      <c r="Z87" s="560"/>
      <c r="AA87" s="560"/>
      <c r="AB87" s="560"/>
      <c r="AC87" s="560"/>
      <c r="AD87" s="560"/>
      <c r="AE87" s="560"/>
      <c r="AF87" s="560"/>
      <c r="AG87" s="296"/>
      <c r="AH87" s="296"/>
      <c r="AI87" s="296"/>
      <c r="AJ87" s="296"/>
      <c r="AK87" s="296"/>
    </row>
    <row r="88" spans="1:37" customFormat="1" ht="15" customHeight="1">
      <c r="A88" s="560" t="s">
        <v>606</v>
      </c>
      <c r="B88" s="560"/>
      <c r="C88" s="560"/>
      <c r="D88" s="560"/>
      <c r="E88" s="560"/>
      <c r="F88" s="560"/>
      <c r="G88" s="560"/>
      <c r="H88" s="560"/>
      <c r="I88" s="560"/>
      <c r="J88" s="560"/>
      <c r="K88" s="560"/>
      <c r="L88" s="560"/>
      <c r="M88" s="560"/>
      <c r="N88" s="560"/>
      <c r="O88" s="560"/>
      <c r="P88" s="560"/>
      <c r="Q88" s="560"/>
      <c r="R88" s="560"/>
      <c r="S88" s="560"/>
      <c r="T88" s="560"/>
      <c r="U88" s="560"/>
      <c r="V88" s="560"/>
      <c r="W88" s="560"/>
      <c r="X88" s="560"/>
      <c r="Y88" s="560"/>
      <c r="Z88" s="560"/>
      <c r="AA88" s="560"/>
      <c r="AB88" s="560"/>
      <c r="AC88" s="560"/>
      <c r="AD88" s="560"/>
      <c r="AE88" s="560"/>
      <c r="AF88" s="560"/>
      <c r="AG88" s="296"/>
      <c r="AH88" s="296"/>
      <c r="AI88" s="296"/>
      <c r="AJ88" s="296"/>
      <c r="AK88" s="296"/>
    </row>
    <row r="89" spans="1:37" customFormat="1" ht="15" customHeight="1">
      <c r="A89" s="560" t="s">
        <v>607</v>
      </c>
      <c r="B89" s="560"/>
      <c r="C89" s="560"/>
      <c r="D89" s="560"/>
      <c r="E89" s="560"/>
      <c r="F89" s="560"/>
      <c r="G89" s="560"/>
      <c r="H89" s="560"/>
      <c r="I89" s="560"/>
      <c r="J89" s="560"/>
      <c r="K89" s="560"/>
      <c r="L89" s="560"/>
      <c r="M89" s="560"/>
      <c r="N89" s="560"/>
      <c r="O89" s="560"/>
      <c r="P89" s="560"/>
      <c r="Q89" s="560"/>
      <c r="R89" s="560"/>
      <c r="S89" s="560"/>
      <c r="T89" s="560"/>
      <c r="U89" s="560"/>
      <c r="V89" s="560"/>
      <c r="W89" s="560"/>
      <c r="X89" s="560"/>
      <c r="Y89" s="560"/>
      <c r="Z89" s="560"/>
      <c r="AA89" s="560"/>
      <c r="AB89" s="560"/>
      <c r="AC89" s="560"/>
      <c r="AD89" s="560"/>
      <c r="AE89" s="560"/>
      <c r="AF89" s="560"/>
      <c r="AG89" s="296"/>
      <c r="AH89" s="296"/>
      <c r="AI89" s="296"/>
      <c r="AJ89" s="296"/>
      <c r="AK89" s="296"/>
    </row>
    <row r="90" spans="1:37" customFormat="1" ht="15" customHeight="1">
      <c r="A90" s="560" t="s">
        <v>608</v>
      </c>
      <c r="B90" s="560"/>
      <c r="C90" s="560"/>
      <c r="D90" s="560"/>
      <c r="E90" s="560"/>
      <c r="F90" s="560"/>
      <c r="G90" s="560"/>
      <c r="H90" s="560"/>
      <c r="I90" s="560"/>
      <c r="J90" s="560"/>
      <c r="K90" s="560"/>
      <c r="L90" s="560"/>
      <c r="M90" s="560"/>
      <c r="N90" s="560"/>
      <c r="O90" s="560"/>
      <c r="P90" s="560"/>
      <c r="Q90" s="560"/>
      <c r="R90" s="560"/>
      <c r="S90" s="560"/>
      <c r="T90" s="560"/>
      <c r="U90" s="560"/>
      <c r="V90" s="560"/>
      <c r="W90" s="560"/>
      <c r="X90" s="560"/>
      <c r="Y90" s="560"/>
      <c r="Z90" s="560"/>
      <c r="AA90" s="560"/>
      <c r="AB90" s="560"/>
      <c r="AC90" s="560"/>
      <c r="AD90" s="560"/>
      <c r="AE90" s="560"/>
      <c r="AF90" s="560"/>
      <c r="AG90" s="296"/>
      <c r="AH90" s="296"/>
      <c r="AI90" s="296"/>
      <c r="AJ90" s="296"/>
      <c r="AK90" s="296"/>
    </row>
    <row r="91" spans="1:37" customFormat="1" ht="15" customHeight="1">
      <c r="A91" s="560" t="s">
        <v>609</v>
      </c>
      <c r="B91" s="560"/>
      <c r="C91" s="560"/>
      <c r="D91" s="560"/>
      <c r="E91" s="560"/>
      <c r="F91" s="560"/>
      <c r="G91" s="560"/>
      <c r="H91" s="560"/>
      <c r="I91" s="560"/>
      <c r="J91" s="560"/>
      <c r="K91" s="560"/>
      <c r="L91" s="560"/>
      <c r="M91" s="560"/>
      <c r="N91" s="560"/>
      <c r="O91" s="560"/>
      <c r="P91" s="560"/>
      <c r="Q91" s="560"/>
      <c r="R91" s="560"/>
      <c r="S91" s="560"/>
      <c r="T91" s="560"/>
      <c r="U91" s="560"/>
      <c r="V91" s="560"/>
      <c r="W91" s="560"/>
      <c r="X91" s="560"/>
      <c r="Y91" s="560"/>
      <c r="Z91" s="560"/>
      <c r="AA91" s="560"/>
      <c r="AB91" s="560"/>
      <c r="AC91" s="560"/>
      <c r="AD91" s="560"/>
      <c r="AE91" s="560"/>
      <c r="AF91" s="560"/>
      <c r="AG91" s="296"/>
      <c r="AH91" s="296"/>
      <c r="AI91" s="296"/>
      <c r="AJ91" s="296"/>
      <c r="AK91" s="296"/>
    </row>
    <row r="92" spans="1:37" customFormat="1" ht="15" customHeight="1">
      <c r="A92" s="560" t="s">
        <v>610</v>
      </c>
      <c r="B92" s="560"/>
      <c r="C92" s="560"/>
      <c r="D92" s="560"/>
      <c r="E92" s="560"/>
      <c r="F92" s="560"/>
      <c r="G92" s="560"/>
      <c r="H92" s="560"/>
      <c r="I92" s="560"/>
      <c r="J92" s="560"/>
      <c r="K92" s="560"/>
      <c r="L92" s="560"/>
      <c r="M92" s="560"/>
      <c r="N92" s="560"/>
      <c r="O92" s="560"/>
      <c r="P92" s="560"/>
      <c r="Q92" s="560"/>
      <c r="R92" s="560"/>
      <c r="S92" s="560"/>
      <c r="T92" s="560"/>
      <c r="U92" s="560"/>
      <c r="V92" s="560"/>
      <c r="W92" s="560"/>
      <c r="X92" s="560"/>
      <c r="Y92" s="560"/>
      <c r="Z92" s="560"/>
      <c r="AA92" s="560"/>
      <c r="AB92" s="560"/>
      <c r="AC92" s="560"/>
      <c r="AD92" s="560"/>
      <c r="AE92" s="560"/>
      <c r="AF92" s="560"/>
      <c r="AG92" s="296"/>
      <c r="AH92" s="296"/>
      <c r="AI92" s="296"/>
      <c r="AJ92" s="296"/>
      <c r="AK92" s="296"/>
    </row>
    <row r="93" spans="1:37" customFormat="1" ht="15" customHeight="1">
      <c r="A93" s="560" t="s">
        <v>611</v>
      </c>
      <c r="B93" s="560"/>
      <c r="C93" s="560"/>
      <c r="D93" s="560"/>
      <c r="E93" s="560"/>
      <c r="F93" s="560"/>
      <c r="G93" s="560"/>
      <c r="H93" s="560"/>
      <c r="I93" s="560"/>
      <c r="J93" s="560"/>
      <c r="K93" s="560"/>
      <c r="L93" s="560"/>
      <c r="M93" s="560"/>
      <c r="N93" s="560"/>
      <c r="O93" s="560"/>
      <c r="P93" s="560"/>
      <c r="Q93" s="560"/>
      <c r="R93" s="560"/>
      <c r="S93" s="560"/>
      <c r="T93" s="560"/>
      <c r="U93" s="560"/>
      <c r="V93" s="560"/>
      <c r="W93" s="560"/>
      <c r="X93" s="560"/>
      <c r="Y93" s="560"/>
      <c r="Z93" s="560"/>
      <c r="AA93" s="560"/>
      <c r="AB93" s="560"/>
      <c r="AC93" s="560"/>
      <c r="AD93" s="560"/>
      <c r="AE93" s="560"/>
      <c r="AF93" s="560"/>
      <c r="AG93" s="296"/>
      <c r="AH93" s="296"/>
      <c r="AI93" s="296"/>
      <c r="AJ93" s="296"/>
      <c r="AK93" s="296"/>
    </row>
    <row r="94" spans="1:37" customFormat="1" ht="15" customHeight="1">
      <c r="A94" s="560" t="s">
        <v>612</v>
      </c>
      <c r="B94" s="560"/>
      <c r="C94" s="560"/>
      <c r="D94" s="560"/>
      <c r="E94" s="560"/>
      <c r="F94" s="560"/>
      <c r="G94" s="560"/>
      <c r="H94" s="560"/>
      <c r="I94" s="560"/>
      <c r="J94" s="560"/>
      <c r="K94" s="560"/>
      <c r="L94" s="560"/>
      <c r="M94" s="560"/>
      <c r="N94" s="560"/>
      <c r="O94" s="560"/>
      <c r="P94" s="560"/>
      <c r="Q94" s="560"/>
      <c r="R94" s="560"/>
      <c r="S94" s="560"/>
      <c r="T94" s="560"/>
      <c r="U94" s="560"/>
      <c r="V94" s="560"/>
      <c r="W94" s="560"/>
      <c r="X94" s="560"/>
      <c r="Y94" s="560"/>
      <c r="Z94" s="560"/>
      <c r="AA94" s="560"/>
      <c r="AB94" s="560"/>
      <c r="AC94" s="560"/>
      <c r="AD94" s="560"/>
      <c r="AE94" s="560"/>
      <c r="AF94" s="560"/>
      <c r="AG94" s="296"/>
      <c r="AH94" s="296"/>
      <c r="AI94" s="296"/>
      <c r="AJ94" s="296"/>
      <c r="AK94" s="296"/>
    </row>
    <row r="95" spans="1:37" customFormat="1" ht="15" customHeight="1">
      <c r="A95" s="560" t="s">
        <v>613</v>
      </c>
      <c r="B95" s="560"/>
      <c r="C95" s="560"/>
      <c r="D95" s="560"/>
      <c r="E95" s="560"/>
      <c r="F95" s="560"/>
      <c r="G95" s="560"/>
      <c r="H95" s="560"/>
      <c r="I95" s="560"/>
      <c r="J95" s="560"/>
      <c r="K95" s="560"/>
      <c r="L95" s="560"/>
      <c r="M95" s="560"/>
      <c r="N95" s="560"/>
      <c r="O95" s="560"/>
      <c r="P95" s="560"/>
      <c r="Q95" s="560"/>
      <c r="R95" s="560"/>
      <c r="S95" s="560"/>
      <c r="T95" s="560"/>
      <c r="U95" s="560"/>
      <c r="V95" s="560"/>
      <c r="W95" s="560"/>
      <c r="X95" s="560"/>
      <c r="Y95" s="560"/>
      <c r="Z95" s="560"/>
      <c r="AA95" s="560"/>
      <c r="AB95" s="560"/>
      <c r="AC95" s="560"/>
      <c r="AD95" s="560"/>
      <c r="AE95" s="560"/>
      <c r="AF95" s="560"/>
      <c r="AG95" s="296"/>
      <c r="AH95" s="296"/>
      <c r="AI95" s="296"/>
      <c r="AJ95" s="296"/>
      <c r="AK95" s="296"/>
    </row>
    <row r="96" spans="1:37" customFormat="1" ht="15" customHeight="1">
      <c r="A96" s="560" t="s">
        <v>614</v>
      </c>
      <c r="B96" s="560"/>
      <c r="C96" s="560"/>
      <c r="D96" s="560"/>
      <c r="E96" s="560"/>
      <c r="F96" s="560"/>
      <c r="G96" s="560"/>
      <c r="H96" s="560"/>
      <c r="I96" s="560"/>
      <c r="J96" s="560"/>
      <c r="K96" s="560"/>
      <c r="L96" s="560"/>
      <c r="M96" s="560"/>
      <c r="N96" s="560"/>
      <c r="O96" s="560"/>
      <c r="P96" s="560"/>
      <c r="Q96" s="560"/>
      <c r="R96" s="560"/>
      <c r="S96" s="560"/>
      <c r="T96" s="560"/>
      <c r="U96" s="560"/>
      <c r="V96" s="560"/>
      <c r="W96" s="560"/>
      <c r="X96" s="560"/>
      <c r="Y96" s="560"/>
      <c r="Z96" s="560"/>
      <c r="AA96" s="560"/>
      <c r="AB96" s="560"/>
      <c r="AC96" s="560"/>
      <c r="AD96" s="560"/>
      <c r="AE96" s="560"/>
      <c r="AF96" s="560"/>
      <c r="AG96" s="296"/>
      <c r="AH96" s="296"/>
      <c r="AI96" s="296"/>
      <c r="AJ96" s="296"/>
      <c r="AK96" s="296"/>
    </row>
    <row r="97" spans="1:37" customFormat="1" ht="15" customHeight="1">
      <c r="A97" s="560" t="s">
        <v>615</v>
      </c>
      <c r="B97" s="560"/>
      <c r="C97" s="560"/>
      <c r="D97" s="560"/>
      <c r="E97" s="560"/>
      <c r="F97" s="560"/>
      <c r="G97" s="560"/>
      <c r="H97" s="560"/>
      <c r="I97" s="560"/>
      <c r="J97" s="560"/>
      <c r="K97" s="560"/>
      <c r="L97" s="560"/>
      <c r="M97" s="560"/>
      <c r="N97" s="560"/>
      <c r="O97" s="560"/>
      <c r="P97" s="560"/>
      <c r="Q97" s="560"/>
      <c r="R97" s="560"/>
      <c r="S97" s="560"/>
      <c r="T97" s="560"/>
      <c r="U97" s="560"/>
      <c r="V97" s="560"/>
      <c r="W97" s="560"/>
      <c r="X97" s="560"/>
      <c r="Y97" s="560"/>
      <c r="Z97" s="560"/>
      <c r="AA97" s="560"/>
      <c r="AB97" s="560"/>
      <c r="AC97" s="560"/>
      <c r="AD97" s="560"/>
      <c r="AE97" s="560"/>
      <c r="AF97" s="560"/>
      <c r="AG97" s="296"/>
      <c r="AH97" s="296"/>
      <c r="AI97" s="296"/>
      <c r="AJ97" s="296"/>
      <c r="AK97" s="296"/>
    </row>
    <row r="98" spans="1:37" customFormat="1" ht="15" customHeight="1">
      <c r="A98" s="560" t="s">
        <v>616</v>
      </c>
      <c r="B98" s="560"/>
      <c r="C98" s="560"/>
      <c r="D98" s="560"/>
      <c r="E98" s="560"/>
      <c r="F98" s="560"/>
      <c r="G98" s="560"/>
      <c r="H98" s="560"/>
      <c r="I98" s="560"/>
      <c r="J98" s="560"/>
      <c r="K98" s="560"/>
      <c r="L98" s="560"/>
      <c r="M98" s="560"/>
      <c r="N98" s="560"/>
      <c r="O98" s="560"/>
      <c r="P98" s="560"/>
      <c r="Q98" s="560"/>
      <c r="R98" s="560"/>
      <c r="S98" s="560"/>
      <c r="T98" s="560"/>
      <c r="U98" s="560"/>
      <c r="V98" s="560"/>
      <c r="W98" s="560"/>
      <c r="X98" s="560"/>
      <c r="Y98" s="560"/>
      <c r="Z98" s="560"/>
      <c r="AA98" s="560"/>
      <c r="AB98" s="560"/>
      <c r="AC98" s="560"/>
      <c r="AD98" s="560"/>
      <c r="AE98" s="560"/>
      <c r="AF98" s="560"/>
      <c r="AG98" s="296"/>
      <c r="AH98" s="296"/>
      <c r="AI98" s="296"/>
      <c r="AJ98" s="296"/>
      <c r="AK98" s="296"/>
    </row>
    <row r="99" spans="1:37" customFormat="1" ht="15" customHeight="1">
      <c r="A99" s="560" t="s">
        <v>617</v>
      </c>
      <c r="B99" s="560"/>
      <c r="C99" s="560"/>
      <c r="D99" s="560"/>
      <c r="E99" s="560"/>
      <c r="F99" s="560"/>
      <c r="G99" s="560"/>
      <c r="H99" s="560"/>
      <c r="I99" s="560"/>
      <c r="J99" s="560"/>
      <c r="K99" s="560"/>
      <c r="L99" s="560"/>
      <c r="M99" s="560"/>
      <c r="N99" s="560"/>
      <c r="O99" s="560"/>
      <c r="P99" s="560"/>
      <c r="Q99" s="560"/>
      <c r="R99" s="560"/>
      <c r="S99" s="560"/>
      <c r="T99" s="560"/>
      <c r="U99" s="560"/>
      <c r="V99" s="560"/>
      <c r="W99" s="560"/>
      <c r="X99" s="560"/>
      <c r="Y99" s="560"/>
      <c r="Z99" s="560"/>
      <c r="AA99" s="560"/>
      <c r="AB99" s="560"/>
      <c r="AC99" s="560"/>
      <c r="AD99" s="560"/>
      <c r="AE99" s="560"/>
      <c r="AF99" s="560"/>
      <c r="AG99" s="296"/>
      <c r="AH99" s="296"/>
      <c r="AI99" s="296"/>
      <c r="AJ99" s="296"/>
      <c r="AK99" s="296"/>
    </row>
    <row r="100" spans="1:37" customFormat="1" ht="15" customHeight="1">
      <c r="A100" s="560" t="s">
        <v>618</v>
      </c>
      <c r="B100" s="560"/>
      <c r="C100" s="560"/>
      <c r="D100" s="560"/>
      <c r="E100" s="560"/>
      <c r="F100" s="560"/>
      <c r="G100" s="560"/>
      <c r="H100" s="560"/>
      <c r="I100" s="560"/>
      <c r="J100" s="560"/>
      <c r="K100" s="560"/>
      <c r="L100" s="560"/>
      <c r="M100" s="560"/>
      <c r="N100" s="560"/>
      <c r="O100" s="560"/>
      <c r="P100" s="560"/>
      <c r="Q100" s="560"/>
      <c r="R100" s="560"/>
      <c r="S100" s="560"/>
      <c r="T100" s="560"/>
      <c r="U100" s="560"/>
      <c r="V100" s="560"/>
      <c r="W100" s="560"/>
      <c r="X100" s="560"/>
      <c r="Y100" s="560"/>
      <c r="Z100" s="560"/>
      <c r="AA100" s="560"/>
      <c r="AB100" s="560"/>
      <c r="AC100" s="560"/>
      <c r="AD100" s="560"/>
      <c r="AE100" s="560"/>
      <c r="AF100" s="560"/>
      <c r="AG100" s="296"/>
      <c r="AH100" s="296"/>
      <c r="AI100" s="296"/>
      <c r="AJ100" s="296"/>
      <c r="AK100" s="296"/>
    </row>
    <row r="101" spans="1:37" customFormat="1" ht="15" customHeight="1">
      <c r="A101" s="560" t="s">
        <v>619</v>
      </c>
      <c r="B101" s="560"/>
      <c r="C101" s="560"/>
      <c r="D101" s="560"/>
      <c r="E101" s="560"/>
      <c r="F101" s="560"/>
      <c r="G101" s="560"/>
      <c r="H101" s="560"/>
      <c r="I101" s="560"/>
      <c r="J101" s="560"/>
      <c r="K101" s="560"/>
      <c r="L101" s="560"/>
      <c r="M101" s="560"/>
      <c r="N101" s="560"/>
      <c r="O101" s="560"/>
      <c r="P101" s="560"/>
      <c r="Q101" s="560"/>
      <c r="R101" s="560"/>
      <c r="S101" s="560"/>
      <c r="T101" s="560"/>
      <c r="U101" s="560"/>
      <c r="V101" s="560"/>
      <c r="W101" s="560"/>
      <c r="X101" s="560"/>
      <c r="Y101" s="560"/>
      <c r="Z101" s="560"/>
      <c r="AA101" s="560"/>
      <c r="AB101" s="560"/>
      <c r="AC101" s="560"/>
      <c r="AD101" s="560"/>
      <c r="AE101" s="560"/>
      <c r="AF101" s="560"/>
      <c r="AG101" s="296"/>
      <c r="AH101" s="296"/>
      <c r="AI101" s="296"/>
      <c r="AJ101" s="296"/>
      <c r="AK101" s="296"/>
    </row>
    <row r="102" spans="1:37" customFormat="1" ht="15" customHeight="1">
      <c r="A102" s="560" t="s">
        <v>620</v>
      </c>
      <c r="B102" s="560"/>
      <c r="C102" s="560"/>
      <c r="D102" s="560"/>
      <c r="E102" s="560"/>
      <c r="F102" s="560"/>
      <c r="G102" s="560"/>
      <c r="H102" s="560"/>
      <c r="I102" s="560"/>
      <c r="J102" s="560"/>
      <c r="K102" s="560"/>
      <c r="L102" s="560"/>
      <c r="M102" s="560"/>
      <c r="N102" s="560"/>
      <c r="O102" s="560"/>
      <c r="P102" s="560"/>
      <c r="Q102" s="560"/>
      <c r="R102" s="560"/>
      <c r="S102" s="560"/>
      <c r="T102" s="560"/>
      <c r="U102" s="560"/>
      <c r="V102" s="560"/>
      <c r="W102" s="560"/>
      <c r="X102" s="560"/>
      <c r="Y102" s="560"/>
      <c r="Z102" s="560"/>
      <c r="AA102" s="560"/>
      <c r="AB102" s="560"/>
      <c r="AC102" s="560"/>
      <c r="AD102" s="560"/>
      <c r="AE102" s="560"/>
      <c r="AF102" s="560"/>
      <c r="AG102" s="296"/>
      <c r="AH102" s="296"/>
      <c r="AI102" s="296"/>
      <c r="AJ102" s="296"/>
      <c r="AK102" s="296"/>
    </row>
    <row r="103" spans="1:37" customFormat="1" ht="15" customHeight="1">
      <c r="A103" s="560" t="s">
        <v>621</v>
      </c>
      <c r="B103" s="560"/>
      <c r="C103" s="560"/>
      <c r="D103" s="560"/>
      <c r="E103" s="560"/>
      <c r="F103" s="560"/>
      <c r="G103" s="560"/>
      <c r="H103" s="560"/>
      <c r="I103" s="560"/>
      <c r="J103" s="560"/>
      <c r="K103" s="560"/>
      <c r="L103" s="560"/>
      <c r="M103" s="560"/>
      <c r="N103" s="560"/>
      <c r="O103" s="560"/>
      <c r="P103" s="560"/>
      <c r="Q103" s="560"/>
      <c r="R103" s="560"/>
      <c r="S103" s="560"/>
      <c r="T103" s="560"/>
      <c r="U103" s="560"/>
      <c r="V103" s="560"/>
      <c r="W103" s="560"/>
      <c r="X103" s="560"/>
      <c r="Y103" s="560"/>
      <c r="Z103" s="560"/>
      <c r="AA103" s="560"/>
      <c r="AB103" s="560"/>
      <c r="AC103" s="560"/>
      <c r="AD103" s="560"/>
      <c r="AE103" s="560"/>
      <c r="AF103" s="560"/>
      <c r="AG103" s="296"/>
      <c r="AH103" s="296"/>
      <c r="AI103" s="296"/>
      <c r="AJ103" s="296"/>
      <c r="AK103" s="296"/>
    </row>
    <row r="104" spans="1:37" customFormat="1" ht="15" customHeight="1">
      <c r="A104" s="560" t="s">
        <v>622</v>
      </c>
      <c r="B104" s="560"/>
      <c r="C104" s="560"/>
      <c r="D104" s="560"/>
      <c r="E104" s="560"/>
      <c r="F104" s="560"/>
      <c r="G104" s="560"/>
      <c r="H104" s="560"/>
      <c r="I104" s="560"/>
      <c r="J104" s="560"/>
      <c r="K104" s="560"/>
      <c r="L104" s="560"/>
      <c r="M104" s="560"/>
      <c r="N104" s="560"/>
      <c r="O104" s="560"/>
      <c r="P104" s="560"/>
      <c r="Q104" s="560"/>
      <c r="R104" s="560"/>
      <c r="S104" s="560"/>
      <c r="T104" s="560"/>
      <c r="U104" s="560"/>
      <c r="V104" s="560"/>
      <c r="W104" s="560"/>
      <c r="X104" s="560"/>
      <c r="Y104" s="560"/>
      <c r="Z104" s="560"/>
      <c r="AA104" s="560"/>
      <c r="AB104" s="560"/>
      <c r="AC104" s="560"/>
      <c r="AD104" s="560"/>
      <c r="AE104" s="560"/>
      <c r="AF104" s="560"/>
      <c r="AG104" s="296"/>
      <c r="AH104" s="296"/>
      <c r="AI104" s="296"/>
      <c r="AJ104" s="296"/>
      <c r="AK104" s="296"/>
    </row>
    <row r="105" spans="1:37" customFormat="1" ht="15" customHeight="1">
      <c r="A105" s="560" t="s">
        <v>623</v>
      </c>
      <c r="B105" s="560"/>
      <c r="C105" s="560"/>
      <c r="D105" s="560"/>
      <c r="E105" s="560"/>
      <c r="F105" s="560"/>
      <c r="G105" s="560"/>
      <c r="H105" s="560"/>
      <c r="I105" s="560"/>
      <c r="J105" s="560"/>
      <c r="K105" s="560"/>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c r="AG105" s="296"/>
      <c r="AH105" s="296"/>
      <c r="AI105" s="296"/>
      <c r="AJ105" s="296"/>
      <c r="AK105" s="296"/>
    </row>
    <row r="106" spans="1:37" customFormat="1" ht="15" customHeight="1">
      <c r="A106" s="560" t="s">
        <v>624</v>
      </c>
      <c r="B106" s="560"/>
      <c r="C106" s="560"/>
      <c r="D106" s="560"/>
      <c r="E106" s="560"/>
      <c r="F106" s="560"/>
      <c r="G106" s="560"/>
      <c r="H106" s="560"/>
      <c r="I106" s="560"/>
      <c r="J106" s="560"/>
      <c r="K106" s="560"/>
      <c r="L106" s="560"/>
      <c r="M106" s="560"/>
      <c r="N106" s="560"/>
      <c r="O106" s="560"/>
      <c r="P106" s="560"/>
      <c r="Q106" s="560"/>
      <c r="R106" s="560"/>
      <c r="S106" s="560"/>
      <c r="T106" s="560"/>
      <c r="U106" s="560"/>
      <c r="V106" s="560"/>
      <c r="W106" s="560"/>
      <c r="X106" s="560"/>
      <c r="Y106" s="560"/>
      <c r="Z106" s="560"/>
      <c r="AA106" s="560"/>
      <c r="AB106" s="560"/>
      <c r="AC106" s="560"/>
      <c r="AD106" s="560"/>
      <c r="AE106" s="560"/>
      <c r="AF106" s="560"/>
      <c r="AG106" s="296"/>
      <c r="AH106" s="296"/>
      <c r="AI106" s="296"/>
      <c r="AJ106" s="296"/>
      <c r="AK106" s="296"/>
    </row>
    <row r="107" spans="1:37" customFormat="1" ht="15" customHeight="1">
      <c r="A107" s="560" t="s">
        <v>625</v>
      </c>
      <c r="B107" s="560"/>
      <c r="C107" s="560"/>
      <c r="D107" s="560"/>
      <c r="E107" s="560"/>
      <c r="F107" s="560"/>
      <c r="G107" s="560"/>
      <c r="H107" s="560"/>
      <c r="I107" s="560"/>
      <c r="J107" s="560"/>
      <c r="K107" s="560"/>
      <c r="L107" s="560"/>
      <c r="M107" s="560"/>
      <c r="N107" s="560"/>
      <c r="O107" s="560"/>
      <c r="P107" s="560"/>
      <c r="Q107" s="560"/>
      <c r="R107" s="560"/>
      <c r="S107" s="560"/>
      <c r="T107" s="560"/>
      <c r="U107" s="560"/>
      <c r="V107" s="560"/>
      <c r="W107" s="560"/>
      <c r="X107" s="560"/>
      <c r="Y107" s="560"/>
      <c r="Z107" s="560"/>
      <c r="AA107" s="560"/>
      <c r="AB107" s="560"/>
      <c r="AC107" s="560"/>
      <c r="AD107" s="560"/>
      <c r="AE107" s="560"/>
      <c r="AF107" s="560"/>
      <c r="AG107" s="296"/>
      <c r="AH107" s="296"/>
      <c r="AI107" s="296"/>
      <c r="AJ107" s="296"/>
      <c r="AK107" s="296"/>
    </row>
    <row r="108" spans="1:37" customFormat="1" ht="15" customHeight="1">
      <c r="A108" s="560" t="s">
        <v>626</v>
      </c>
      <c r="B108" s="560"/>
      <c r="C108" s="560"/>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0"/>
      <c r="AD108" s="560"/>
      <c r="AE108" s="560"/>
      <c r="AF108" s="560"/>
      <c r="AG108" s="296"/>
      <c r="AH108" s="296"/>
      <c r="AI108" s="296"/>
      <c r="AJ108" s="296"/>
      <c r="AK108" s="296"/>
    </row>
    <row r="109" spans="1:37" customFormat="1" ht="15" customHeight="1">
      <c r="A109" s="560" t="s">
        <v>627</v>
      </c>
      <c r="B109" s="560"/>
      <c r="C109" s="560"/>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560"/>
      <c r="AD109" s="560"/>
      <c r="AE109" s="560"/>
      <c r="AF109" s="560"/>
      <c r="AG109" s="296"/>
      <c r="AH109" s="296"/>
      <c r="AI109" s="296"/>
      <c r="AJ109" s="296"/>
      <c r="AK109" s="296"/>
    </row>
  </sheetData>
  <mergeCells count="32">
    <mergeCell ref="A109:AF109"/>
    <mergeCell ref="A102:AF102"/>
    <mergeCell ref="A103:AF103"/>
    <mergeCell ref="A104:AF104"/>
    <mergeCell ref="A105:AF105"/>
    <mergeCell ref="A106:AF106"/>
    <mergeCell ref="A107:AF107"/>
    <mergeCell ref="A98:AF98"/>
    <mergeCell ref="A99:AF99"/>
    <mergeCell ref="A100:AF100"/>
    <mergeCell ref="A101:AF101"/>
    <mergeCell ref="A108:AF108"/>
    <mergeCell ref="A93:AF93"/>
    <mergeCell ref="A94:AF94"/>
    <mergeCell ref="A95:AF95"/>
    <mergeCell ref="A96:AF96"/>
    <mergeCell ref="A97:AF97"/>
    <mergeCell ref="A88:AF88"/>
    <mergeCell ref="A89:AF89"/>
    <mergeCell ref="A90:AF90"/>
    <mergeCell ref="A91:AF91"/>
    <mergeCell ref="A92:AF92"/>
    <mergeCell ref="A83:AF83"/>
    <mergeCell ref="A84:AF84"/>
    <mergeCell ref="A85:AF85"/>
    <mergeCell ref="A86:AF86"/>
    <mergeCell ref="A87:AF87"/>
    <mergeCell ref="A78:AF78"/>
    <mergeCell ref="A79:AF79"/>
    <mergeCell ref="A80:AF80"/>
    <mergeCell ref="A81:AF81"/>
    <mergeCell ref="A82:AF82"/>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716</v>
      </c>
    </row>
    <row r="9" spans="1:2">
      <c r="A9" t="s">
        <v>527</v>
      </c>
    </row>
    <row r="10" spans="1:2">
      <c r="B10" t="s">
        <v>521</v>
      </c>
    </row>
    <row r="12" spans="1:2">
      <c r="A12" t="s">
        <v>710</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15"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6" customWidth="1"/>
    <col min="6" max="6" width="17" style="326" customWidth="1"/>
    <col min="7" max="7" width="15.5" style="326" customWidth="1"/>
    <col min="8" max="8" width="16.1640625" style="398"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1"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79" customWidth="1"/>
    <col min="35" max="35" width="20.6640625" bestFit="1" customWidth="1"/>
    <col min="36" max="36" width="15.33203125" bestFit="1" customWidth="1"/>
    <col min="37" max="37" width="13.33203125" bestFit="1" customWidth="1"/>
    <col min="38" max="38" width="13.83203125" customWidth="1"/>
  </cols>
  <sheetData>
    <row r="1" spans="1:38" hidden="1">
      <c r="A1" s="530"/>
      <c r="B1" s="530"/>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row>
    <row r="2" spans="1:38" hidden="1">
      <c r="A2" s="530"/>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row>
    <row r="3" spans="1:38" hidden="1">
      <c r="A3" s="530"/>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row>
    <row r="4" spans="1:38" hidden="1">
      <c r="A4" s="530"/>
      <c r="B4" s="530"/>
      <c r="C4" s="530"/>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530"/>
      <c r="AI4" s="530"/>
      <c r="AJ4" s="530"/>
      <c r="AK4" s="530"/>
      <c r="AL4" s="530"/>
    </row>
    <row r="5" spans="1:38" hidden="1">
      <c r="A5" s="530"/>
      <c r="B5" s="530"/>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0"/>
      <c r="AI5" s="530"/>
      <c r="AJ5" s="530"/>
      <c r="AK5" s="530"/>
      <c r="AL5" s="530"/>
    </row>
    <row r="6" spans="1:38" hidden="1">
      <c r="A6" s="530"/>
      <c r="B6" s="530"/>
      <c r="C6" s="530"/>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530"/>
      <c r="AI6" s="530"/>
      <c r="AJ6" s="530"/>
      <c r="AK6" s="530"/>
      <c r="AL6" s="530"/>
    </row>
    <row r="7" spans="1:38" ht="23.25" hidden="1" customHeight="1">
      <c r="A7" s="530"/>
      <c r="B7" s="530"/>
      <c r="C7" s="530"/>
      <c r="D7" s="530"/>
      <c r="E7" s="530"/>
      <c r="F7" s="530"/>
      <c r="G7" s="530"/>
      <c r="H7" s="530"/>
      <c r="I7" s="530"/>
      <c r="J7" s="530"/>
      <c r="K7" s="530"/>
      <c r="L7" s="530"/>
      <c r="M7" s="530"/>
      <c r="N7" s="530"/>
      <c r="O7" s="530"/>
      <c r="P7" s="530"/>
      <c r="Q7" s="530"/>
      <c r="R7" s="530"/>
      <c r="S7" s="530"/>
      <c r="T7" s="530"/>
      <c r="U7" s="530"/>
      <c r="V7" s="530"/>
      <c r="W7" s="530"/>
      <c r="X7" s="530"/>
      <c r="Y7" s="530"/>
      <c r="Z7" s="530"/>
      <c r="AA7" s="530"/>
      <c r="AB7" s="530"/>
      <c r="AC7" s="530"/>
      <c r="AD7" s="530"/>
      <c r="AE7" s="530"/>
      <c r="AF7" s="530"/>
      <c r="AG7" s="530"/>
      <c r="AH7" s="530"/>
      <c r="AI7" s="530"/>
      <c r="AJ7" s="530"/>
      <c r="AK7" s="530"/>
      <c r="AL7" s="530"/>
    </row>
    <row r="8" spans="1:38" s="159" customFormat="1" ht="15.75" hidden="1" customHeight="1">
      <c r="A8" s="530"/>
      <c r="B8" s="530"/>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0"/>
      <c r="AH8" s="530"/>
      <c r="AI8" s="530"/>
      <c r="AJ8" s="530"/>
      <c r="AK8" s="530"/>
      <c r="AL8" s="530"/>
    </row>
    <row r="9" spans="1:38" ht="21" hidden="1" customHeight="1">
      <c r="A9" s="530"/>
      <c r="B9" s="530"/>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row>
    <row r="10" spans="1:38">
      <c r="A10" t="s">
        <v>188</v>
      </c>
      <c r="B10" s="33" t="s">
        <v>127</v>
      </c>
      <c r="Y10" s="20"/>
      <c r="Z10" s="20"/>
      <c r="AA10" s="20"/>
      <c r="AB10" s="20"/>
      <c r="AC10" s="20"/>
      <c r="AD10" s="20"/>
      <c r="AE10" s="20"/>
      <c r="AF10" s="20"/>
      <c r="AG10" s="20"/>
      <c r="AH10" s="278"/>
    </row>
    <row r="11" spans="1:38" s="1" customFormat="1">
      <c r="B11" s="13"/>
      <c r="C11" s="327">
        <v>2009</v>
      </c>
      <c r="D11" s="327">
        <v>2010</v>
      </c>
      <c r="E11" s="327">
        <v>2011</v>
      </c>
      <c r="F11" s="327">
        <v>2012</v>
      </c>
      <c r="G11" s="327">
        <v>2013</v>
      </c>
      <c r="H11" s="399">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7"/>
      <c r="D12" s="327"/>
      <c r="E12" s="327"/>
      <c r="F12" s="327"/>
      <c r="G12" s="327"/>
      <c r="H12" s="399"/>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8"/>
    </row>
    <row r="13" spans="1:38" s="20" customFormat="1">
      <c r="A13" s="20" t="s">
        <v>130</v>
      </c>
      <c r="B13" s="33"/>
      <c r="C13" s="329">
        <f>EIA_electricity_aeo2014!E58*1000</f>
        <v>87780</v>
      </c>
      <c r="D13" s="329">
        <f>EIA_electricity_aeo2014!F58*1000</f>
        <v>91417.999999999985</v>
      </c>
      <c r="E13" s="329">
        <f>EIA_electricity_aeo2014!G58*1000</f>
        <v>94046.09357407724</v>
      </c>
      <c r="F13" s="329">
        <f>EIA_electricity_aeo2014!H58*1000</f>
        <v>90573.784274012505</v>
      </c>
      <c r="G13" s="329">
        <f>EIA_electricity_aeo2014!I58*1000</f>
        <v>91242.844410161706</v>
      </c>
      <c r="H13" s="285">
        <f>EIA_electricity_aeo2014!J58*1000</f>
        <v>92721.202265491374</v>
      </c>
      <c r="I13" s="83">
        <f>EIA_electricity_aeo2014!K58*1000</f>
        <v>96045.173325268042</v>
      </c>
      <c r="J13" s="83">
        <f>EIA_electricity_aeo2014!L58*1000</f>
        <v>91899.590125834526</v>
      </c>
      <c r="K13" s="83">
        <f>EIA_electricity_aeo2014!M58*1000</f>
        <v>93928.205112634969</v>
      </c>
      <c r="L13" s="83">
        <f>EIA_electricity_aeo2014!N58*1000</f>
        <v>95970.599660646607</v>
      </c>
      <c r="M13" s="83">
        <f>EIA_electricity_aeo2014!O58*1000</f>
        <v>96214.445202221221</v>
      </c>
      <c r="N13" s="177">
        <f>EIA_electricity_aeo2014!P58*1000</f>
        <v>96205.086304200639</v>
      </c>
      <c r="O13" s="83">
        <f>EIA_electricity_aeo2014!Q58*1000</f>
        <v>97301.03619287294</v>
      </c>
      <c r="P13" s="83">
        <f>EIA_electricity_aeo2014!R58*1000</f>
        <v>98464.47858769614</v>
      </c>
      <c r="Q13" s="83">
        <f>EIA_electricity_aeo2014!S58*1000</f>
        <v>97984.669769571759</v>
      </c>
      <c r="R13" s="83">
        <f>EIA_electricity_aeo2014!T58*1000</f>
        <v>99324.969805963861</v>
      </c>
      <c r="S13" s="83">
        <f>EIA_electricity_aeo2014!U58*1000</f>
        <v>100083.81011123699</v>
      </c>
      <c r="T13" s="83">
        <f>EIA_electricity_aeo2014!V58*1000</f>
        <v>100660.95387969889</v>
      </c>
      <c r="U13" s="83">
        <f>EIA_electricity_aeo2014!W58*1000</f>
        <v>101335.10892562049</v>
      </c>
      <c r="V13" s="83">
        <f>EIA_electricity_aeo2014!X58*1000</f>
        <v>102100.38417958764</v>
      </c>
      <c r="W13" s="83">
        <f>EIA_electricity_aeo2014!Y58*1000</f>
        <v>103676.80505783756</v>
      </c>
      <c r="X13" s="184">
        <f>EIA_electricity_aeo2014!Z58*1000</f>
        <v>104102.9772568789</v>
      </c>
      <c r="Y13" s="174">
        <f>EIA_electricity_aeo2014!AA58*1000</f>
        <v>104464.60056975513</v>
      </c>
      <c r="Z13" s="174">
        <f>EIA_electricity_aeo2014!AB58*1000</f>
        <v>104156.08581491635</v>
      </c>
      <c r="AA13" s="174">
        <f>EIA_electricity_aeo2014!AC58*1000</f>
        <v>104505.19988879721</v>
      </c>
      <c r="AB13" s="174">
        <f>EIA_electricity_aeo2014!AD58*1000</f>
        <v>104811.36141112373</v>
      </c>
      <c r="AC13" s="174">
        <f>EIA_electricity_aeo2014!AE58*1000</f>
        <v>104991.73027572203</v>
      </c>
      <c r="AD13" s="174">
        <f>EIA_electricity_aeo2014!AF58*1000</f>
        <v>105054.8353860377</v>
      </c>
      <c r="AE13" s="174">
        <f>EIA_electricity_aeo2014!AG58*1000</f>
        <v>105117.29568939461</v>
      </c>
      <c r="AF13" s="174">
        <f>EIA_electricity_aeo2014!AH58*1000</f>
        <v>104978.62417466169</v>
      </c>
      <c r="AG13" s="174">
        <f>EIA_electricity_aeo2014!AI58*1000</f>
        <v>105293.98610536149</v>
      </c>
      <c r="AH13" s="184">
        <f>EIA_electricity_aeo2014!AJ58*1000</f>
        <v>106453.94011646594</v>
      </c>
      <c r="AI13" s="115">
        <f>X13/C13-1</f>
        <v>0.1859532610717578</v>
      </c>
      <c r="AJ13" s="165">
        <f>(1+AJ11)^21-1</f>
        <v>0.24007814276920247</v>
      </c>
      <c r="AK13" s="168">
        <f>(1+AK11)^21-1</f>
        <v>0.11389489977934208</v>
      </c>
      <c r="AL13" s="121"/>
    </row>
    <row r="14" spans="1:38" s="20" customFormat="1">
      <c r="A14" s="20" t="s">
        <v>131</v>
      </c>
      <c r="B14" s="33"/>
      <c r="C14" s="329">
        <f>EIA_electricity_aeo2014!E58 * 1000</f>
        <v>87780</v>
      </c>
      <c r="D14" s="329">
        <f>IF(Inputs!$C$7="BAU",'Output -Jobs vs Yr'!D13,C14+($X$14-$C$14)/($X$11-$C$11) )</f>
        <v>91417.999999999985</v>
      </c>
      <c r="E14" s="329">
        <f>IF(Inputs!$C$7="BAU",'Output -Jobs vs Yr'!E13,D14+($X$14-$C$14)/($X$11-$C$11) )</f>
        <v>94046.09357407724</v>
      </c>
      <c r="F14" s="329">
        <f>IF(Inputs!$C$7="BAU",'Output -Jobs vs Yr'!F13,E14+($X$14-$C$14)/($X$11-$C$11) )</f>
        <v>90573.784274012505</v>
      </c>
      <c r="G14" s="329">
        <f>IF(Inputs!$C$7="BAU",'Output -Jobs vs Yr'!G13,F14+($X$14-$C$14)/($X$11-$C$11) )</f>
        <v>91242.844410161706</v>
      </c>
      <c r="H14" s="285">
        <f>EIA_electricity_aeo2014!J58*1000</f>
        <v>92721.202265491374</v>
      </c>
      <c r="I14" s="83">
        <f>IF(Inputs!$C$7="BAU",'Output -Jobs vs Yr'!I13,H14+($X$14-$C$14)/($X$11-$C$11) )</f>
        <v>96045.173325268042</v>
      </c>
      <c r="J14" s="83">
        <f>IF(Inputs!$C$7="BAU",'Output -Jobs vs Yr'!J13,I14+($X$14-$C$14)/($X$11-$C$11) )</f>
        <v>91899.590125834526</v>
      </c>
      <c r="K14" s="83">
        <f>IF(Inputs!$C$7="BAU",'Output -Jobs vs Yr'!K13,J14+($X$14-$C$14)/($X$11-$C$11) )</f>
        <v>93928.205112634969</v>
      </c>
      <c r="L14" s="83">
        <f>IF(Inputs!$C$7="BAU",'Output -Jobs vs Yr'!L13,K14+($X$14-$C$14)/($X$11-$C$11) )</f>
        <v>95970.599660646607</v>
      </c>
      <c r="M14" s="83">
        <f>IF(Inputs!$C$7="BAU",'Output -Jobs vs Yr'!M13,L14+($X$14-$C$14)/($X$11-$C$11) )</f>
        <v>96214.445202221221</v>
      </c>
      <c r="N14" s="177">
        <f>IF(Inputs!$C$7="BAU",'Output -Jobs vs Yr'!N13,M14+($X$14-$C$14)/($X$11-$C$11) )</f>
        <v>96205.086304200639</v>
      </c>
      <c r="O14" s="83">
        <f>IF(Inputs!$C$7="BAU",'Output -Jobs vs Yr'!O13,N14+($X$14-$C$14)/($X$11-$C$11) )</f>
        <v>97301.03619287294</v>
      </c>
      <c r="P14" s="83">
        <f>IF(Inputs!$C$7="BAU",'Output -Jobs vs Yr'!P13,O14+($X$14-$C$14)/($X$11-$C$11) )</f>
        <v>98464.47858769614</v>
      </c>
      <c r="Q14" s="83">
        <f>IF(Inputs!$C$7="BAU",'Output -Jobs vs Yr'!Q13,P14+($X$14-$C$14)/($X$11-$C$11) )</f>
        <v>97984.669769571759</v>
      </c>
      <c r="R14" s="83">
        <f>IF(Inputs!$C$7="BAU",'Output -Jobs vs Yr'!R13,Q14+($X$14-$C$14)/($X$11-$C$11) )</f>
        <v>99324.969805963861</v>
      </c>
      <c r="S14" s="83">
        <f>IF(Inputs!$C$7="BAU",'Output -Jobs vs Yr'!S13,R14+($X$14-$C$14)/($X$11-$C$11) )</f>
        <v>100083.81011123699</v>
      </c>
      <c r="T14" s="83">
        <f>IF(Inputs!$C$7="BAU",'Output -Jobs vs Yr'!T13,S14+($X$14-$C$14)/($X$11-$C$11) )</f>
        <v>100660.95387969889</v>
      </c>
      <c r="U14" s="83">
        <f>IF(Inputs!$C$7="BAU",'Output -Jobs vs Yr'!U13,T14+($X$14-$C$14)/($X$11-$C$11) )</f>
        <v>101335.10892562049</v>
      </c>
      <c r="V14" s="83">
        <f>IF(Inputs!$C$7="BAU",'Output -Jobs vs Yr'!V13,U14+($X$14-$C$14)/($X$11-$C$11) )</f>
        <v>102100.38417958764</v>
      </c>
      <c r="W14" s="83">
        <f>IF(Inputs!$C$7="BAU",'Output -Jobs vs Yr'!W13,V14+($X$14-$C$14)/($X$11-$C$11) )</f>
        <v>103676.80505783756</v>
      </c>
      <c r="X14" s="184">
        <f>IF(Inputs!$C$7="BAU",'Output -Jobs vs Yr'!X13,C14*(1+Inputs!C7) )</f>
        <v>104102.9772568789</v>
      </c>
      <c r="Y14" s="174">
        <f>IF(Inputs!$C$7="BAU",'Output -Jobs vs Yr'!Y13,D14*(1+Inputs!D7) )</f>
        <v>104464.60056975513</v>
      </c>
      <c r="Z14" s="174">
        <f>IF(Inputs!$C$7="BAU",'Output -Jobs vs Yr'!Z13,E14*(1+Inputs!E7) )</f>
        <v>104156.08581491635</v>
      </c>
      <c r="AA14" s="174">
        <f>IF(Inputs!$C$7="BAU",'Output -Jobs vs Yr'!AA13,F14*(1+Inputs!F7) )</f>
        <v>104505.19988879721</v>
      </c>
      <c r="AB14" s="174">
        <f>IF(Inputs!$C$7="BAU",'Output -Jobs vs Yr'!AB13,G14*(1+Inputs!G7) )</f>
        <v>104811.36141112373</v>
      </c>
      <c r="AC14" s="174">
        <f>IF(Inputs!$C$7="BAU",'Output -Jobs vs Yr'!AC13,H14*(1+Inputs!H7) )</f>
        <v>104991.73027572203</v>
      </c>
      <c r="AD14" s="174">
        <f>IF(Inputs!$C$7="BAU",'Output -Jobs vs Yr'!AD13,I14*(1+Inputs!L7) )</f>
        <v>105054.8353860377</v>
      </c>
      <c r="AE14" s="174">
        <f>IF(Inputs!$C$7="BAU",'Output -Jobs vs Yr'!AE13,J14*(1+Inputs!M7) )</f>
        <v>105117.29568939461</v>
      </c>
      <c r="AF14" s="174">
        <f>IF(Inputs!$C$7="BAU",'Output -Jobs vs Yr'!AF13,K14*(1+Inputs!N7) )</f>
        <v>104978.62417466169</v>
      </c>
      <c r="AG14" s="174">
        <f>IF(Inputs!$C$7="BAU",'Output -Jobs vs Yr'!AG13,L14*(1+Inputs!O7) )</f>
        <v>105293.98610536149</v>
      </c>
      <c r="AH14" s="184">
        <f>IF(Inputs!$C$7="BAU",'Output -Jobs vs Yr'!AH13,M14*(1+Inputs!P7) )</f>
        <v>106453.94011646594</v>
      </c>
      <c r="AI14" s="99"/>
      <c r="AJ14" s="165" t="s">
        <v>0</v>
      </c>
      <c r="AK14" s="30" t="s">
        <v>0</v>
      </c>
      <c r="AL14" s="121"/>
    </row>
    <row r="15" spans="1:38" s="20" customFormat="1">
      <c r="A15" s="20" t="s">
        <v>208</v>
      </c>
      <c r="B15" s="33"/>
      <c r="C15" s="329">
        <f>C14-C13</f>
        <v>0</v>
      </c>
      <c r="D15" s="329">
        <f>D13-D14</f>
        <v>0</v>
      </c>
      <c r="E15" s="329">
        <f t="shared" ref="E15:AH15" si="0">E13-E14</f>
        <v>0</v>
      </c>
      <c r="F15" s="329">
        <f t="shared" si="0"/>
        <v>0</v>
      </c>
      <c r="G15" s="329">
        <f t="shared" si="0"/>
        <v>0</v>
      </c>
      <c r="H15" s="285">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8" customFormat="1">
      <c r="A16" s="378" t="s">
        <v>123</v>
      </c>
      <c r="B16" s="379"/>
      <c r="C16" s="380">
        <f t="shared" ref="C16:M16" si="1">C95</f>
        <v>6.27717019822283E-3</v>
      </c>
      <c r="D16" s="380">
        <f t="shared" si="1"/>
        <v>1.0794573917021232E-2</v>
      </c>
      <c r="E16" s="380">
        <f t="shared" si="1"/>
        <v>1.1302524927456595E-2</v>
      </c>
      <c r="F16" s="380">
        <f t="shared" si="1"/>
        <v>1.8441850556104748E-2</v>
      </c>
      <c r="G16" s="380">
        <f t="shared" si="1"/>
        <v>2.8491909785834935E-2</v>
      </c>
      <c r="H16" s="380">
        <f t="shared" si="1"/>
        <v>2.8921676379620908E-2</v>
      </c>
      <c r="I16" s="380">
        <f t="shared" si="1"/>
        <v>3.0549253366737226E-2</v>
      </c>
      <c r="J16" s="380">
        <f t="shared" si="1"/>
        <v>3.2468699182014761E-2</v>
      </c>
      <c r="K16" s="380">
        <f t="shared" si="1"/>
        <v>3.4867211078514558E-2</v>
      </c>
      <c r="L16" s="380">
        <f t="shared" si="1"/>
        <v>3.8092816383210826E-2</v>
      </c>
      <c r="M16" s="380">
        <f t="shared" si="1"/>
        <v>4.2777813051968677E-2</v>
      </c>
      <c r="N16" s="380">
        <f>Inputs!C11</f>
        <v>0.05</v>
      </c>
      <c r="O16" s="380">
        <f t="shared" ref="O16:W16" si="2">O95</f>
        <v>5.1002187870097297E-2</v>
      </c>
      <c r="P16" s="380">
        <f t="shared" si="2"/>
        <v>5.1948267987463305E-2</v>
      </c>
      <c r="Q16" s="380">
        <f t="shared" si="2"/>
        <v>5.2913055203125905E-2</v>
      </c>
      <c r="R16" s="380">
        <f t="shared" si="2"/>
        <v>5.3893435426229999E-2</v>
      </c>
      <c r="S16" s="380">
        <f t="shared" si="2"/>
        <v>5.4892155262602174E-2</v>
      </c>
      <c r="T16" s="380">
        <f t="shared" si="2"/>
        <v>5.5909177488337902E-2</v>
      </c>
      <c r="U16" s="380">
        <f t="shared" si="2"/>
        <v>5.6944504333880701E-2</v>
      </c>
      <c r="V16" s="380">
        <f t="shared" si="2"/>
        <v>5.7998464476774203E-2</v>
      </c>
      <c r="W16" s="380">
        <f t="shared" si="2"/>
        <v>5.9070308416980841E-2</v>
      </c>
      <c r="X16" s="381">
        <f>Inputs!C12</f>
        <v>0.06</v>
      </c>
      <c r="Y16" s="382">
        <f>Y95</f>
        <v>6.1558233119891739E-2</v>
      </c>
      <c r="Z16" s="382">
        <f t="shared" ref="Z16:AG16" si="3">Z95</f>
        <v>6.2858926591921549E-2</v>
      </c>
      <c r="AA16" s="382">
        <f t="shared" si="3"/>
        <v>6.3523771697413245E-2</v>
      </c>
      <c r="AB16" s="382">
        <f t="shared" si="3"/>
        <v>6.4208353868799861E-2</v>
      </c>
      <c r="AC16" s="382">
        <f t="shared" si="3"/>
        <v>6.5098202456551818E-2</v>
      </c>
      <c r="AD16" s="382">
        <f t="shared" si="3"/>
        <v>6.6033090477315398E-2</v>
      </c>
      <c r="AE16" s="382">
        <f t="shared" si="3"/>
        <v>6.7064863134701128E-2</v>
      </c>
      <c r="AF16" s="382">
        <f t="shared" si="3"/>
        <v>6.8112962345914782E-2</v>
      </c>
      <c r="AG16" s="382">
        <f t="shared" si="3"/>
        <v>6.9176147204465965E-2</v>
      </c>
      <c r="AH16" s="381">
        <f>Inputs!C13</f>
        <v>7.0000000000000007E-2</v>
      </c>
      <c r="AI16" s="383" t="s">
        <v>0</v>
      </c>
      <c r="AJ16" s="384"/>
      <c r="AK16" s="385"/>
      <c r="AL16" s="386"/>
    </row>
    <row r="17" spans="1:37" s="280" customFormat="1">
      <c r="A17" s="280" t="s">
        <v>115</v>
      </c>
      <c r="B17" s="281"/>
      <c r="C17" s="336"/>
      <c r="D17" s="331">
        <f>D16/C16-1</f>
        <v>0.71965608325824149</v>
      </c>
      <c r="E17" s="331">
        <f t="shared" ref="E17:M17" si="4">E16/D16-1</f>
        <v>4.7056142682427637E-2</v>
      </c>
      <c r="F17" s="331">
        <f t="shared" si="4"/>
        <v>0.63165758752763157</v>
      </c>
      <c r="G17" s="331">
        <f t="shared" si="4"/>
        <v>0.54495936832127434</v>
      </c>
      <c r="H17" s="283"/>
      <c r="I17" s="283">
        <f t="shared" si="4"/>
        <v>5.6275333620120271E-2</v>
      </c>
      <c r="J17" s="283">
        <f t="shared" si="4"/>
        <v>6.2831185830795944E-2</v>
      </c>
      <c r="K17" s="283">
        <f t="shared" si="4"/>
        <v>7.38715118537423E-2</v>
      </c>
      <c r="L17" s="283">
        <f t="shared" si="4"/>
        <v>9.251113596188687E-2</v>
      </c>
      <c r="M17" s="283">
        <f t="shared" si="4"/>
        <v>0.12298898095712185</v>
      </c>
      <c r="N17" s="283">
        <f>N16/M16-1</f>
        <v>0.16883020502374535</v>
      </c>
      <c r="O17" s="283">
        <f>O16/N16-1</f>
        <v>2.0043757401945861E-2</v>
      </c>
      <c r="P17" s="283">
        <f t="shared" ref="P17:X17" si="5">P16/O16-1</f>
        <v>1.8549794761269389E-2</v>
      </c>
      <c r="Q17" s="283">
        <f t="shared" si="5"/>
        <v>1.8572076664720161E-2</v>
      </c>
      <c r="R17" s="283">
        <f t="shared" si="5"/>
        <v>1.8528134868428081E-2</v>
      </c>
      <c r="S17" s="283">
        <f t="shared" si="5"/>
        <v>1.8531381947978431E-2</v>
      </c>
      <c r="T17" s="283">
        <f t="shared" si="5"/>
        <v>1.8527642444905457E-2</v>
      </c>
      <c r="U17" s="283">
        <f t="shared" si="5"/>
        <v>1.8518012463316191E-2</v>
      </c>
      <c r="V17" s="283">
        <f t="shared" si="5"/>
        <v>1.8508548897253618E-2</v>
      </c>
      <c r="W17" s="283">
        <f t="shared" si="5"/>
        <v>1.8480557198818026E-2</v>
      </c>
      <c r="X17" s="282">
        <f t="shared" si="5"/>
        <v>1.5738729116774097E-2</v>
      </c>
      <c r="Y17" s="287">
        <v>2.9000000000000001E-2</v>
      </c>
      <c r="Z17" s="287">
        <v>2.9000000000000001E-2</v>
      </c>
      <c r="AA17" s="287">
        <v>2.9000000000000001E-2</v>
      </c>
      <c r="AB17" s="287">
        <v>2.9000000000000001E-2</v>
      </c>
      <c r="AC17" s="287">
        <v>2.9000000000000001E-2</v>
      </c>
      <c r="AD17" s="287">
        <v>2.9000000000000001E-2</v>
      </c>
      <c r="AE17" s="287">
        <v>2.9000000000000001E-2</v>
      </c>
      <c r="AF17" s="287">
        <v>2.9000000000000001E-2</v>
      </c>
      <c r="AG17" s="287">
        <v>2.9000000000000001E-2</v>
      </c>
      <c r="AH17" s="371">
        <v>2.9000000000000001E-2</v>
      </c>
    </row>
    <row r="18" spans="1:37" s="20" customFormat="1">
      <c r="A18" s="20" t="s">
        <v>135</v>
      </c>
      <c r="B18" s="33"/>
      <c r="C18" s="331">
        <f>C32/C14</f>
        <v>0.11673501936659832</v>
      </c>
      <c r="D18" s="331">
        <f t="shared" ref="D18:G18" si="6">($N$18-$C$18)/($N$11-$C$11)+C18</f>
        <v>0.1152261217659067</v>
      </c>
      <c r="E18" s="331">
        <f t="shared" si="6"/>
        <v>0.11371722416521508</v>
      </c>
      <c r="F18" s="331">
        <f t="shared" si="6"/>
        <v>0.11220832656452347</v>
      </c>
      <c r="G18" s="331">
        <f t="shared" si="6"/>
        <v>0.11069942896383185</v>
      </c>
      <c r="H18" s="283">
        <f>H32/H14</f>
        <v>0.10042613957202286</v>
      </c>
      <c r="I18" s="172">
        <f>($N$18-$H$18)/($N$11-$H$11)+H18</f>
        <v>0.10037797393651746</v>
      </c>
      <c r="J18" s="172">
        <f t="shared" ref="J18:M18" si="7">($N$18-$H$18)/($N$11-$H$11)+I18</f>
        <v>0.10032980830101206</v>
      </c>
      <c r="K18" s="172">
        <f t="shared" si="7"/>
        <v>0.10028164266550665</v>
      </c>
      <c r="L18" s="172">
        <f t="shared" si="7"/>
        <v>0.10023347703000125</v>
      </c>
      <c r="M18" s="172">
        <f t="shared" si="7"/>
        <v>0.10018531139449585</v>
      </c>
      <c r="N18" s="180">
        <f>Inputs!C36</f>
        <v>0.10013714575899048</v>
      </c>
      <c r="O18" s="91">
        <f t="shared" ref="O18:W18" si="8">($X$18-$N$18)/($X$11-$N$11)+N18</f>
        <v>9.9512631982797681E-2</v>
      </c>
      <c r="P18" s="91">
        <f t="shared" si="8"/>
        <v>9.8888118206604883E-2</v>
      </c>
      <c r="Q18" s="91">
        <f t="shared" si="8"/>
        <v>9.8263604430412085E-2</v>
      </c>
      <c r="R18" s="91">
        <f t="shared" si="8"/>
        <v>9.7639090654219288E-2</v>
      </c>
      <c r="S18" s="22">
        <f t="shared" si="8"/>
        <v>9.701457687802649E-2</v>
      </c>
      <c r="T18" s="91">
        <f t="shared" si="8"/>
        <v>9.6390063101833692E-2</v>
      </c>
      <c r="U18" s="91">
        <f t="shared" si="8"/>
        <v>9.5765549325640895E-2</v>
      </c>
      <c r="V18" s="91">
        <f t="shared" si="8"/>
        <v>9.5141035549448097E-2</v>
      </c>
      <c r="W18" s="91">
        <f t="shared" si="8"/>
        <v>9.4516521773255299E-2</v>
      </c>
      <c r="X18" s="185">
        <f>Inputs!F36</f>
        <v>9.3892007997062543E-2</v>
      </c>
      <c r="Y18" s="172">
        <f>($AH$18-$X$18)/($AH$11-$X$11)+X18</f>
        <v>9.9799692314696653E-2</v>
      </c>
      <c r="Z18" s="172">
        <f t="shared" ref="Z18:AG18" si="9">($AH$18-$X$18)/($AH$11-$X$11)+Y18</f>
        <v>0.10570737663233076</v>
      </c>
      <c r="AA18" s="172">
        <f t="shared" si="9"/>
        <v>0.11161506094996487</v>
      </c>
      <c r="AB18" s="172">
        <f t="shared" si="9"/>
        <v>0.11752274526759898</v>
      </c>
      <c r="AC18" s="172">
        <f t="shared" si="9"/>
        <v>0.12343042958523309</v>
      </c>
      <c r="AD18" s="172">
        <f t="shared" si="9"/>
        <v>0.1293381139028672</v>
      </c>
      <c r="AE18" s="172">
        <f t="shared" si="9"/>
        <v>0.13524579822050131</v>
      </c>
      <c r="AF18" s="172">
        <f t="shared" si="9"/>
        <v>0.14115348253813542</v>
      </c>
      <c r="AG18" s="172">
        <f t="shared" si="9"/>
        <v>0.14706116685576953</v>
      </c>
      <c r="AH18" s="185">
        <f>Inputs!H36</f>
        <v>0.15296885117340367</v>
      </c>
      <c r="AK18"/>
    </row>
    <row r="19" spans="1:37" s="280" customFormat="1">
      <c r="A19" s="280" t="s">
        <v>114</v>
      </c>
      <c r="B19" s="284"/>
      <c r="C19" s="329">
        <f t="shared" ref="C19:AH19" si="10">C16*C14</f>
        <v>551.01</v>
      </c>
      <c r="D19" s="329">
        <f t="shared" si="10"/>
        <v>986.81835834624678</v>
      </c>
      <c r="E19" s="329">
        <f t="shared" si="10"/>
        <v>1062.9583169509235</v>
      </c>
      <c r="F19" s="329">
        <f t="shared" si="10"/>
        <v>1670.348193882209</v>
      </c>
      <c r="G19" s="329">
        <f t="shared" si="10"/>
        <v>2599.6828915373007</v>
      </c>
      <c r="H19" s="285">
        <f t="shared" si="10"/>
        <v>2681.6526054519145</v>
      </c>
      <c r="I19" s="285">
        <f t="shared" si="10"/>
        <v>2934.1083345658053</v>
      </c>
      <c r="J19" s="285">
        <f t="shared" si="10"/>
        <v>2983.8601467461754</v>
      </c>
      <c r="K19" s="285">
        <f t="shared" si="10"/>
        <v>3275.0145538882539</v>
      </c>
      <c r="L19" s="285">
        <f t="shared" si="10"/>
        <v>3655.7904310596464</v>
      </c>
      <c r="M19" s="285">
        <f t="shared" si="10"/>
        <v>4115.8435497595037</v>
      </c>
      <c r="N19" s="286">
        <f t="shared" si="10"/>
        <v>4810.2543152100325</v>
      </c>
      <c r="O19" s="285">
        <f t="shared" si="10"/>
        <v>4962.5657278640419</v>
      </c>
      <c r="P19" s="285">
        <f t="shared" si="10"/>
        <v>5115.0591209194818</v>
      </c>
      <c r="Q19" s="285">
        <f t="shared" si="10"/>
        <v>5184.6682405774127</v>
      </c>
      <c r="R19" s="285">
        <f t="shared" si="10"/>
        <v>5352.9638464499576</v>
      </c>
      <c r="S19" s="285">
        <f t="shared" si="10"/>
        <v>5493.8160438988143</v>
      </c>
      <c r="T19" s="285">
        <f t="shared" si="10"/>
        <v>5627.8711366054813</v>
      </c>
      <c r="U19" s="285">
        <f t="shared" si="10"/>
        <v>5770.4775493892685</v>
      </c>
      <c r="V19" s="285">
        <f t="shared" si="10"/>
        <v>5921.6655049048122</v>
      </c>
      <c r="W19" s="285">
        <f t="shared" si="10"/>
        <v>6124.2208504536638</v>
      </c>
      <c r="X19" s="286">
        <f>Inputs!C12*'Output -Jobs vs Yr'!X14</f>
        <v>6246.1786354127344</v>
      </c>
      <c r="Y19" s="285">
        <f t="shared" si="10"/>
        <v>6430.656234649362</v>
      </c>
      <c r="Z19" s="285">
        <f t="shared" si="10"/>
        <v>6547.1397523417081</v>
      </c>
      <c r="AA19" s="285">
        <f t="shared" si="10"/>
        <v>6638.5644589284902</v>
      </c>
      <c r="AB19" s="285">
        <f t="shared" si="10"/>
        <v>6729.7649829561069</v>
      </c>
      <c r="AC19" s="285">
        <f t="shared" si="10"/>
        <v>6834.7729137526339</v>
      </c>
      <c r="AD19" s="285">
        <f t="shared" si="10"/>
        <v>6937.0954501257029</v>
      </c>
      <c r="AE19" s="285">
        <f t="shared" si="10"/>
        <v>7049.6770484991584</v>
      </c>
      <c r="AF19" s="285">
        <f t="shared" si="10"/>
        <v>7150.4050755346707</v>
      </c>
      <c r="AG19" s="285">
        <f t="shared" si="10"/>
        <v>7283.8322825694804</v>
      </c>
      <c r="AH19" s="286">
        <f t="shared" si="10"/>
        <v>7451.7758081526163</v>
      </c>
    </row>
    <row r="20" spans="1:37" s="20" customFormat="1">
      <c r="A20" s="20" t="s">
        <v>211</v>
      </c>
      <c r="B20" s="33"/>
      <c r="C20" s="329">
        <f>'Output - Jobs vs Yr (BAU)'!C18</f>
        <v>551.01</v>
      </c>
      <c r="D20" s="329">
        <f>'Output - Jobs vs Yr (BAU)'!D18</f>
        <v>983.01</v>
      </c>
      <c r="E20" s="329">
        <f>'Output - Jobs vs Yr (BAU)'!E18</f>
        <v>1010.0964052538698</v>
      </c>
      <c r="F20" s="329">
        <f>'Output - Jobs vs Yr (BAU)'!F18</f>
        <v>1611.1942727704975</v>
      </c>
      <c r="G20" s="329">
        <f>'Output - Jobs vs Yr (BAU)'!G18</f>
        <v>2551.1129704927271</v>
      </c>
      <c r="H20" s="285">
        <f>'Output - Jobs vs Yr (BAU)'!H18</f>
        <v>2680.6526054519145</v>
      </c>
      <c r="I20" s="83">
        <f>'Output - Jobs vs Yr (BAU)'!I18</f>
        <v>2802.0155254519141</v>
      </c>
      <c r="J20" s="83">
        <f>'Output - Jobs vs Yr (BAU)'!J18</f>
        <v>2863.392345451914</v>
      </c>
      <c r="K20" s="83">
        <f>'Output - Jobs vs Yr (BAU)'!K18</f>
        <v>2907.4807454519146</v>
      </c>
      <c r="L20" s="83">
        <f>'Output - Jobs vs Yr (BAU)'!L18</f>
        <v>2906.9272954519142</v>
      </c>
      <c r="M20" s="83">
        <f>'Output - Jobs vs Yr (BAU)'!M18</f>
        <v>3013.652535451914</v>
      </c>
      <c r="N20" s="177">
        <f>'Output - Jobs vs Yr (BAU)'!N18</f>
        <v>3800.1145054519138</v>
      </c>
      <c r="O20" s="83">
        <f>'Output - Jobs vs Yr (BAU)'!O18</f>
        <v>3869.6667754519144</v>
      </c>
      <c r="P20" s="83">
        <f>'Output - Jobs vs Yr (BAU)'!P18</f>
        <v>3850.0354954519144</v>
      </c>
      <c r="Q20" s="83">
        <f>'Output - Jobs vs Yr (BAU)'!Q18</f>
        <v>3854.7383054519141</v>
      </c>
      <c r="R20" s="83">
        <f>'Output - Jobs vs Yr (BAU)'!R18</f>
        <v>4067.634475451915</v>
      </c>
      <c r="S20" s="83">
        <f>'Output - Jobs vs Yr (BAU)'!S18</f>
        <v>4077.3389754519144</v>
      </c>
      <c r="T20" s="83">
        <f>'Output - Jobs vs Yr (BAU)'!T18</f>
        <v>4081.9462754519141</v>
      </c>
      <c r="U20" s="83">
        <f>'Output - Jobs vs Yr (BAU)'!U18</f>
        <v>4089.2077954519141</v>
      </c>
      <c r="V20" s="83">
        <f>'Output - Jobs vs Yr (BAU)'!V18</f>
        <v>4090.4301254519141</v>
      </c>
      <c r="W20" s="83">
        <f>'Output - Jobs vs Yr (BAU)'!W18</f>
        <v>4112.183405451915</v>
      </c>
      <c r="X20" s="184">
        <f>'Output - Jobs vs Yr (BAU)'!X18</f>
        <v>4347.6492854519147</v>
      </c>
      <c r="Y20" s="174">
        <f>'Output - Jobs vs Yr (BAU)'!Y18</f>
        <v>4508.4504954519143</v>
      </c>
      <c r="Z20" s="174">
        <f>'Output - Jobs vs Yr (BAU)'!Z18</f>
        <v>4583.4210554519141</v>
      </c>
      <c r="AA20" s="174">
        <f>'Output - Jobs vs Yr (BAU)'!AA18</f>
        <v>4591.2257954519146</v>
      </c>
      <c r="AB20" s="174">
        <f>'Output - Jobs vs Yr (BAU)'!AB18</f>
        <v>4608.6521754519144</v>
      </c>
      <c r="AC20" s="174">
        <f>'Output - Jobs vs Yr (BAU)'!AC18</f>
        <v>4638.7624454519146</v>
      </c>
      <c r="AD20" s="174">
        <f>'Output - Jobs vs Yr (BAU)'!AD18</f>
        <v>4640.8608854519143</v>
      </c>
      <c r="AE20" s="174">
        <f>'Output - Jobs vs Yr (BAU)'!AE18</f>
        <v>4658.6307654519142</v>
      </c>
      <c r="AF20" s="174">
        <f>'Output - Jobs vs Yr (BAU)'!AF18</f>
        <v>4665.7391854519146</v>
      </c>
      <c r="AG20" s="174">
        <f>'Output - Jobs vs Yr (BAU)'!AG18</f>
        <v>4754.2116354519148</v>
      </c>
      <c r="AH20" s="184">
        <f>'Output - Jobs vs Yr (BAU)'!AH18</f>
        <v>5028.8402054519138</v>
      </c>
    </row>
    <row r="21" spans="1:37" s="20" customFormat="1">
      <c r="A21" s="20" t="s">
        <v>116</v>
      </c>
      <c r="B21" s="33"/>
      <c r="C21" s="329">
        <f t="shared" ref="C21:AH21" si="11">MAX(C19:C20)</f>
        <v>551.01</v>
      </c>
      <c r="D21" s="329">
        <f t="shared" si="11"/>
        <v>986.81835834624678</v>
      </c>
      <c r="E21" s="329">
        <f t="shared" si="11"/>
        <v>1062.9583169509235</v>
      </c>
      <c r="F21" s="329">
        <f t="shared" si="11"/>
        <v>1670.348193882209</v>
      </c>
      <c r="G21" s="329">
        <f t="shared" si="11"/>
        <v>2599.6828915373007</v>
      </c>
      <c r="H21" s="285">
        <f t="shared" si="11"/>
        <v>2681.6526054519145</v>
      </c>
      <c r="I21" s="83">
        <f t="shared" si="11"/>
        <v>2934.1083345658053</v>
      </c>
      <c r="J21" s="83">
        <f t="shared" si="11"/>
        <v>2983.8601467461754</v>
      </c>
      <c r="K21" s="83">
        <f t="shared" si="11"/>
        <v>3275.0145538882539</v>
      </c>
      <c r="L21" s="83">
        <f t="shared" si="11"/>
        <v>3655.7904310596464</v>
      </c>
      <c r="M21" s="83">
        <f t="shared" si="11"/>
        <v>4115.8435497595037</v>
      </c>
      <c r="N21" s="177">
        <f t="shared" si="11"/>
        <v>4810.2543152100325</v>
      </c>
      <c r="O21" s="83">
        <f t="shared" si="11"/>
        <v>4962.5657278640419</v>
      </c>
      <c r="P21" s="83">
        <f t="shared" si="11"/>
        <v>5115.0591209194818</v>
      </c>
      <c r="Q21" s="83">
        <f t="shared" si="11"/>
        <v>5184.6682405774127</v>
      </c>
      <c r="R21" s="83">
        <f t="shared" si="11"/>
        <v>5352.9638464499576</v>
      </c>
      <c r="S21" s="83">
        <f t="shared" si="11"/>
        <v>5493.8160438988143</v>
      </c>
      <c r="T21" s="83">
        <f t="shared" si="11"/>
        <v>5627.8711366054813</v>
      </c>
      <c r="U21" s="83">
        <f t="shared" si="11"/>
        <v>5770.4775493892685</v>
      </c>
      <c r="V21" s="83">
        <f t="shared" si="11"/>
        <v>5921.6655049048122</v>
      </c>
      <c r="W21" s="83">
        <f t="shared" si="11"/>
        <v>6124.2208504536638</v>
      </c>
      <c r="X21" s="184">
        <f t="shared" si="11"/>
        <v>6246.1786354127344</v>
      </c>
      <c r="Y21" s="174">
        <f t="shared" si="11"/>
        <v>6430.656234649362</v>
      </c>
      <c r="Z21" s="174">
        <f t="shared" si="11"/>
        <v>6547.1397523417081</v>
      </c>
      <c r="AA21" s="174">
        <f t="shared" si="11"/>
        <v>6638.5644589284902</v>
      </c>
      <c r="AB21" s="174">
        <f t="shared" si="11"/>
        <v>6729.7649829561069</v>
      </c>
      <c r="AC21" s="174">
        <f t="shared" si="11"/>
        <v>6834.7729137526339</v>
      </c>
      <c r="AD21" s="174">
        <f t="shared" si="11"/>
        <v>6937.0954501257029</v>
      </c>
      <c r="AE21" s="174">
        <f t="shared" si="11"/>
        <v>7049.6770484991584</v>
      </c>
      <c r="AF21" s="174">
        <f t="shared" si="11"/>
        <v>7150.4050755346707</v>
      </c>
      <c r="AG21" s="174">
        <f t="shared" si="11"/>
        <v>7283.8322825694804</v>
      </c>
      <c r="AH21" s="184">
        <f t="shared" si="11"/>
        <v>7451.7758081526163</v>
      </c>
      <c r="AI21" s="99"/>
    </row>
    <row r="22" spans="1:37" s="20" customFormat="1">
      <c r="A22" s="20" t="s">
        <v>379</v>
      </c>
      <c r="B22" s="33"/>
      <c r="C22" s="329" t="s">
        <v>0</v>
      </c>
      <c r="D22" s="329"/>
      <c r="E22" s="329"/>
      <c r="F22" s="329"/>
      <c r="G22" s="329"/>
      <c r="H22" s="285"/>
      <c r="I22" s="83"/>
      <c r="J22" s="83"/>
      <c r="K22" s="83"/>
      <c r="L22" s="83"/>
      <c r="M22" s="83"/>
      <c r="N22" s="177"/>
      <c r="O22" s="83"/>
      <c r="P22" s="83"/>
      <c r="Q22" s="83"/>
      <c r="R22" s="83"/>
      <c r="S22" s="83"/>
      <c r="T22" s="83"/>
      <c r="U22" s="83"/>
      <c r="V22" s="83"/>
      <c r="W22" s="173" t="s">
        <v>0</v>
      </c>
      <c r="X22" s="184"/>
      <c r="Y22"/>
      <c r="Z22"/>
      <c r="AA22"/>
      <c r="AB22"/>
      <c r="AC22"/>
      <c r="AD22"/>
      <c r="AE22"/>
      <c r="AF22"/>
      <c r="AG22"/>
      <c r="AH22" s="279"/>
      <c r="AI22" s="99"/>
    </row>
    <row r="23" spans="1:37" s="20" customFormat="1">
      <c r="A23" t="s">
        <v>538</v>
      </c>
      <c r="B23" s="33"/>
      <c r="C23" s="329">
        <v>0</v>
      </c>
      <c r="D23" s="331">
        <f t="shared" ref="D23:G23" si="12">C23+($N$23-$C$23)/($N$11-$C$11)</f>
        <v>0</v>
      </c>
      <c r="E23" s="331">
        <f t="shared" si="12"/>
        <v>0</v>
      </c>
      <c r="F23" s="331">
        <f t="shared" si="12"/>
        <v>0</v>
      </c>
      <c r="G23" s="331">
        <f t="shared" si="12"/>
        <v>0</v>
      </c>
      <c r="H23" s="285">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539</v>
      </c>
      <c r="B24" s="33"/>
      <c r="C24" s="329">
        <v>0</v>
      </c>
      <c r="D24" s="331">
        <f t="shared" ref="D24:G24" si="16">C24+($N$24-$C$24)/($N$11-$C$11)</f>
        <v>0</v>
      </c>
      <c r="E24" s="331">
        <f t="shared" si="16"/>
        <v>0</v>
      </c>
      <c r="F24" s="331">
        <f t="shared" si="16"/>
        <v>0</v>
      </c>
      <c r="G24" s="331">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540</v>
      </c>
      <c r="B25" s="33"/>
      <c r="C25" s="329"/>
      <c r="D25" s="331">
        <f t="shared" ref="D25:AH25" si="20">D30/(D30+D47)</f>
        <v>0</v>
      </c>
      <c r="E25" s="331">
        <f t="shared" si="20"/>
        <v>0</v>
      </c>
      <c r="F25" s="331">
        <f t="shared" si="20"/>
        <v>0</v>
      </c>
      <c r="G25" s="331">
        <f t="shared" si="20"/>
        <v>0</v>
      </c>
      <c r="H25" s="283"/>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382</v>
      </c>
      <c r="B26" s="33"/>
      <c r="C26" s="331">
        <f>C31/C14</f>
        <v>2.0699362041467304E-2</v>
      </c>
      <c r="D26" s="331">
        <f t="shared" ref="D26:G26" si="21">C26+($N$26-$C$26)/($N$11-$C$11)</f>
        <v>2.161648718397971E-2</v>
      </c>
      <c r="E26" s="331">
        <f t="shared" si="21"/>
        <v>2.2533612326492116E-2</v>
      </c>
      <c r="F26" s="331">
        <f t="shared" si="21"/>
        <v>2.3450737469004522E-2</v>
      </c>
      <c r="G26" s="331">
        <f t="shared" si="21"/>
        <v>2.4367862611516928E-2</v>
      </c>
      <c r="H26" s="283">
        <f>H31/H14</f>
        <v>1.799129820624484E-2</v>
      </c>
      <c r="I26" s="91">
        <f>H26+($N$26-$H$26)/($N$11-$H$11)</f>
        <v>2.0124038273387997E-2</v>
      </c>
      <c r="J26" s="172">
        <f t="shared" ref="J26:M26" si="22">I26+($N$26-$H$26)/($N$11-$H$11)</f>
        <v>2.2256778340531153E-2</v>
      </c>
      <c r="K26" s="172">
        <f t="shared" si="22"/>
        <v>2.438951840767431E-2</v>
      </c>
      <c r="L26" s="172">
        <f t="shared" si="22"/>
        <v>2.6522258474817467E-2</v>
      </c>
      <c r="M26" s="172">
        <f t="shared" si="22"/>
        <v>2.8654998541960623E-2</v>
      </c>
      <c r="N26" s="180">
        <f>Inputs!C35</f>
        <v>3.0787738609103787E-2</v>
      </c>
      <c r="O26" s="91">
        <f t="shared" ref="O26:W26" si="23">N26+($X$26-$N$26)/($X$11-$N$11)</f>
        <v>3.059572827414293E-2</v>
      </c>
      <c r="P26" s="91">
        <f t="shared" si="23"/>
        <v>3.0403717939182073E-2</v>
      </c>
      <c r="Q26" s="91">
        <f t="shared" si="23"/>
        <v>3.0211707604221216E-2</v>
      </c>
      <c r="R26" s="91">
        <f t="shared" si="23"/>
        <v>3.0019697269260359E-2</v>
      </c>
      <c r="S26" s="22">
        <f t="shared" si="23"/>
        <v>2.9827686934299501E-2</v>
      </c>
      <c r="T26" s="91">
        <f t="shared" si="23"/>
        <v>2.9635676599338644E-2</v>
      </c>
      <c r="U26" s="91">
        <f t="shared" si="23"/>
        <v>2.9443666264377787E-2</v>
      </c>
      <c r="V26" s="91">
        <f t="shared" si="23"/>
        <v>2.925165592941693E-2</v>
      </c>
      <c r="W26" s="91">
        <f t="shared" si="23"/>
        <v>2.9059645594456073E-2</v>
      </c>
      <c r="X26" s="185">
        <f>Inputs!F35</f>
        <v>2.8867635259495202E-2</v>
      </c>
      <c r="Y26" s="172">
        <f>X26+($AH$26-$X$26)/($AH$11-$X$11)</f>
        <v>3.0683986616205316E-2</v>
      </c>
      <c r="Z26" s="172">
        <f t="shared" ref="Z26:AG26" si="24">Y26+($AH$26-$X$26)/($AH$11-$X$11)</f>
        <v>3.2500337972915433E-2</v>
      </c>
      <c r="AA26" s="172">
        <f t="shared" si="24"/>
        <v>3.4316689329625547E-2</v>
      </c>
      <c r="AB26" s="172">
        <f t="shared" si="24"/>
        <v>3.613304068633566E-2</v>
      </c>
      <c r="AC26" s="172">
        <f t="shared" si="24"/>
        <v>3.7949392043045774E-2</v>
      </c>
      <c r="AD26" s="172">
        <f t="shared" si="24"/>
        <v>3.9765743399755887E-2</v>
      </c>
      <c r="AE26" s="172">
        <f t="shared" si="24"/>
        <v>4.1582094756466001E-2</v>
      </c>
      <c r="AF26" s="172">
        <f t="shared" si="24"/>
        <v>4.3398446113176115E-2</v>
      </c>
      <c r="AG26" s="172">
        <f t="shared" si="24"/>
        <v>4.5214797469886228E-2</v>
      </c>
      <c r="AH26" s="185">
        <f>Inputs!H35</f>
        <v>4.7031148826596342E-2</v>
      </c>
      <c r="AI26" s="99"/>
    </row>
    <row r="27" spans="1:37" s="1" customFormat="1">
      <c r="B27" s="33"/>
      <c r="C27" s="337"/>
      <c r="D27" s="328"/>
      <c r="E27" s="391"/>
      <c r="F27" s="391"/>
      <c r="G27" s="391"/>
      <c r="H27" s="400"/>
      <c r="I27" s="25"/>
      <c r="J27" s="25"/>
      <c r="K27" s="24"/>
      <c r="L27" s="24"/>
      <c r="M27" s="24"/>
      <c r="N27" s="181" t="s">
        <v>0</v>
      </c>
      <c r="O27" s="26"/>
      <c r="P27" s="13"/>
      <c r="Q27" s="13"/>
      <c r="R27" s="13"/>
      <c r="S27" s="169">
        <f>SUM(S18,S24,S26)</f>
        <v>0.12684226381232599</v>
      </c>
      <c r="T27" s="13"/>
      <c r="U27" s="13"/>
      <c r="V27" s="13"/>
      <c r="W27" s="13"/>
      <c r="X27" s="176"/>
      <c r="Y27"/>
      <c r="Z27"/>
      <c r="AA27"/>
      <c r="AB27"/>
      <c r="AC27"/>
      <c r="AD27"/>
      <c r="AE27"/>
      <c r="AF27"/>
      <c r="AG27"/>
      <c r="AH27" s="279"/>
      <c r="AI27" s="24"/>
    </row>
    <row r="28" spans="1:37" s="1" customFormat="1">
      <c r="A28" s="1" t="s">
        <v>378</v>
      </c>
      <c r="B28" s="33"/>
      <c r="C28" s="327">
        <v>2009</v>
      </c>
      <c r="D28" s="327">
        <v>2010</v>
      </c>
      <c r="E28" s="327">
        <v>2011</v>
      </c>
      <c r="F28" s="327">
        <v>2012</v>
      </c>
      <c r="G28" s="327">
        <v>2013</v>
      </c>
      <c r="H28" s="399">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29" t="s">
        <v>377</v>
      </c>
      <c r="D29" s="329">
        <f t="shared" ref="D29:AH29" si="25">D13-D14</f>
        <v>0</v>
      </c>
      <c r="E29" s="329">
        <f t="shared" si="25"/>
        <v>0</v>
      </c>
      <c r="F29" s="329">
        <f t="shared" si="25"/>
        <v>0</v>
      </c>
      <c r="G29" s="329">
        <f t="shared" si="25"/>
        <v>0</v>
      </c>
      <c r="H29" s="285">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29">
        <f>C23*C47</f>
        <v>0</v>
      </c>
      <c r="D30" s="329">
        <f t="shared" ref="D30:AH30" si="26">D24*D14</f>
        <v>0</v>
      </c>
      <c r="E30" s="329">
        <f t="shared" si="26"/>
        <v>0</v>
      </c>
      <c r="F30" s="329">
        <f t="shared" si="26"/>
        <v>0</v>
      </c>
      <c r="G30" s="329">
        <f t="shared" si="26"/>
        <v>0</v>
      </c>
      <c r="H30" s="285">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29">
        <f>'Output - Jobs vs Yr (BAU)'!C7</f>
        <v>1816.99</v>
      </c>
      <c r="D31" s="329">
        <f t="shared" ref="D31:AH31" si="27">D26*D14</f>
        <v>1976.1360253850569</v>
      </c>
      <c r="E31" s="329">
        <f t="shared" si="27"/>
        <v>2119.1982134192581</v>
      </c>
      <c r="F31" s="329">
        <f t="shared" si="27"/>
        <v>2124.0220365841178</v>
      </c>
      <c r="G31" s="329">
        <f t="shared" si="27"/>
        <v>2223.393096870836</v>
      </c>
      <c r="H31" s="285">
        <f>'Output - Jobs vs Yr (BAU)'!H7</f>
        <v>1668.1748</v>
      </c>
      <c r="I31" s="174">
        <f t="shared" si="27"/>
        <v>1932.8167439718779</v>
      </c>
      <c r="J31" s="174">
        <f t="shared" si="27"/>
        <v>2045.3888070163646</v>
      </c>
      <c r="K31" s="174">
        <f t="shared" si="27"/>
        <v>2290.8636875944189</v>
      </c>
      <c r="L31" s="174">
        <f t="shared" si="27"/>
        <v>2545.3570501828985</v>
      </c>
      <c r="M31" s="174">
        <f t="shared" si="27"/>
        <v>2757.0247869851992</v>
      </c>
      <c r="N31" s="184">
        <f t="shared" si="27"/>
        <v>2961.93705</v>
      </c>
      <c r="O31" s="174">
        <f t="shared" si="27"/>
        <v>2976.9960641496873</v>
      </c>
      <c r="P31" s="174">
        <f t="shared" si="27"/>
        <v>2993.686234008946</v>
      </c>
      <c r="Q31" s="174">
        <f t="shared" si="27"/>
        <v>2960.2841927744757</v>
      </c>
      <c r="R31" s="174">
        <f t="shared" si="27"/>
        <v>2981.7055248534607</v>
      </c>
      <c r="S31" s="174">
        <f t="shared" si="27"/>
        <v>2985.2685551898558</v>
      </c>
      <c r="T31" s="174">
        <f t="shared" si="27"/>
        <v>2983.1554753596988</v>
      </c>
      <c r="U31" s="174">
        <f t="shared" si="27"/>
        <v>2983.6771280703401</v>
      </c>
      <c r="V31" s="174">
        <f t="shared" si="27"/>
        <v>2986.6053082825811</v>
      </c>
      <c r="W31" s="174">
        <f t="shared" si="27"/>
        <v>3012.8112113462703</v>
      </c>
      <c r="X31" s="184">
        <f t="shared" si="27"/>
        <v>3005.2067768791044</v>
      </c>
      <c r="Y31" s="174">
        <f t="shared" si="27"/>
        <v>3205.3904057496006</v>
      </c>
      <c r="Z31" s="174">
        <f t="shared" si="27"/>
        <v>3385.1079909207647</v>
      </c>
      <c r="AA31" s="174">
        <f t="shared" si="27"/>
        <v>3586.2724779142723</v>
      </c>
      <c r="AB31" s="174">
        <f t="shared" si="27"/>
        <v>3787.1531862583652</v>
      </c>
      <c r="AC31" s="174">
        <f t="shared" si="27"/>
        <v>3984.3723335110935</v>
      </c>
      <c r="AD31" s="174">
        <f t="shared" si="27"/>
        <v>4177.5836268647699</v>
      </c>
      <c r="AE31" s="174">
        <f t="shared" si="27"/>
        <v>4370.9973498998615</v>
      </c>
      <c r="AF31" s="174">
        <f t="shared" si="27"/>
        <v>4555.9091642794228</v>
      </c>
      <c r="AG31" s="174">
        <f t="shared" si="27"/>
        <v>4760.8462565509344</v>
      </c>
      <c r="AH31" s="184">
        <f t="shared" si="27"/>
        <v>5006.6511007950839</v>
      </c>
      <c r="AI31" s="127"/>
    </row>
    <row r="32" spans="1:37">
      <c r="A32" s="9" t="s">
        <v>59</v>
      </c>
      <c r="B32" s="35">
        <v>0</v>
      </c>
      <c r="C32" s="329">
        <f>EIA_electricity_aeo2014!E52*1000</f>
        <v>10247</v>
      </c>
      <c r="D32" s="329">
        <f t="shared" ref="D32:AH32" si="28">D18*D14</f>
        <v>10533.741599595656</v>
      </c>
      <c r="E32" s="329">
        <f t="shared" si="28"/>
        <v>10694.660704826136</v>
      </c>
      <c r="F32" s="329">
        <f t="shared" si="28"/>
        <v>10163.132764003096</v>
      </c>
      <c r="G32" s="329">
        <f t="shared" si="28"/>
        <v>10100.530773240658</v>
      </c>
      <c r="H32" s="285">
        <f>EIA_electricity_aeo2014!J52*1000</f>
        <v>9311.6323999999986</v>
      </c>
      <c r="I32" s="174">
        <f t="shared" si="28"/>
        <v>9640.8199047720573</v>
      </c>
      <c r="J32" s="174">
        <f t="shared" si="28"/>
        <v>9220.2682602665591</v>
      </c>
      <c r="K32" s="174">
        <f t="shared" si="28"/>
        <v>9419.2747013176759</v>
      </c>
      <c r="L32" s="174">
        <f t="shared" si="28"/>
        <v>9619.4668966408681</v>
      </c>
      <c r="M32" s="174">
        <f t="shared" si="28"/>
        <v>9639.2741532331911</v>
      </c>
      <c r="N32" s="184">
        <f t="shared" si="28"/>
        <v>9633.7027499999986</v>
      </c>
      <c r="O32" s="174">
        <f t="shared" si="28"/>
        <v>9682.682206206242</v>
      </c>
      <c r="P32" s="174">
        <f t="shared" si="28"/>
        <v>9736.9669977318117</v>
      </c>
      <c r="Q32" s="174">
        <f t="shared" si="28"/>
        <v>9628.3268304817575</v>
      </c>
      <c r="R32" s="174">
        <f t="shared" si="28"/>
        <v>9697.9997311120987</v>
      </c>
      <c r="S32" s="174">
        <f t="shared" si="28"/>
        <v>9709.5884902824055</v>
      </c>
      <c r="T32" s="174">
        <f t="shared" si="28"/>
        <v>9702.7156963549478</v>
      </c>
      <c r="U32" s="174">
        <f t="shared" si="28"/>
        <v>9704.4123722357017</v>
      </c>
      <c r="V32" s="174">
        <f t="shared" si="28"/>
        <v>9713.9362808424557</v>
      </c>
      <c r="W32" s="174">
        <f t="shared" si="28"/>
        <v>9799.1710026306482</v>
      </c>
      <c r="X32" s="184">
        <f t="shared" si="28"/>
        <v>9774.4375731208947</v>
      </c>
      <c r="Y32" s="174">
        <f t="shared" si="28"/>
        <v>10425.534994639247</v>
      </c>
      <c r="Z32" s="174">
        <f t="shared" si="28"/>
        <v>11010.066591786726</v>
      </c>
      <c r="AA32" s="174">
        <f t="shared" si="28"/>
        <v>11664.354255176364</v>
      </c>
      <c r="AB32" s="174">
        <f t="shared" si="28"/>
        <v>12317.718928269747</v>
      </c>
      <c r="AC32" s="174">
        <f t="shared" si="28"/>
        <v>12959.174370829294</v>
      </c>
      <c r="AD32" s="174">
        <f t="shared" si="28"/>
        <v>13587.594265206308</v>
      </c>
      <c r="AE32" s="174">
        <f t="shared" si="28"/>
        <v>14216.672562292635</v>
      </c>
      <c r="AF32" s="174">
        <f t="shared" si="28"/>
        <v>14818.09839431559</v>
      </c>
      <c r="AG32" s="174">
        <f t="shared" si="28"/>
        <v>15484.656459549644</v>
      </c>
      <c r="AH32" s="184">
        <f t="shared" si="28"/>
        <v>16284.136922498104</v>
      </c>
      <c r="AI32" s="128"/>
    </row>
    <row r="33" spans="1:36">
      <c r="A33" s="9"/>
      <c r="B33" s="35"/>
      <c r="C33" s="329"/>
      <c r="D33" s="329"/>
      <c r="E33" s="329"/>
      <c r="F33" s="329"/>
      <c r="G33" s="329"/>
      <c r="H33" s="285"/>
      <c r="I33" s="118"/>
      <c r="J33" s="118"/>
      <c r="K33" s="118"/>
      <c r="L33" s="118"/>
      <c r="M33" s="118"/>
      <c r="N33" s="184"/>
      <c r="O33" s="118"/>
      <c r="P33" s="118"/>
      <c r="Q33" s="118"/>
      <c r="R33" s="118"/>
      <c r="S33" s="118"/>
      <c r="T33" s="118"/>
      <c r="U33" s="118"/>
      <c r="V33" s="118"/>
      <c r="W33" s="118"/>
      <c r="X33" s="184"/>
      <c r="AI33" s="128"/>
    </row>
    <row r="34" spans="1:36">
      <c r="A34" s="9" t="s">
        <v>121</v>
      </c>
      <c r="B34" s="35">
        <v>1</v>
      </c>
      <c r="C34" s="329">
        <f>EIA_RE_aeo2014!E76*1000</f>
        <v>2</v>
      </c>
      <c r="D34" s="329">
        <f>MAX(D58*D$14,'Output - Jobs vs Yr (BAU)'!D10)</f>
        <v>3.807592995061829</v>
      </c>
      <c r="E34" s="329">
        <f>MAX(E58*E$14,'Output - Jobs vs Yr (BAU)'!E10)</f>
        <v>7.1605098824141757</v>
      </c>
      <c r="F34" s="329">
        <f>MAX(F58*F$14,'Output - Jobs vs Yr (BAU)'!F10)</f>
        <v>12.606371035987303</v>
      </c>
      <c r="G34" s="329">
        <f>MAX(G58*G$14,'Output - Jobs vs Yr (BAU)'!G10)</f>
        <v>31.111449999999998</v>
      </c>
      <c r="H34" s="285">
        <f>'Output - Jobs vs Yr (BAU)'!H10</f>
        <v>30.685330000000008</v>
      </c>
      <c r="I34" s="285">
        <f>MAX(I58*I$14,'Output - Jobs vs Yr (BAU)'!I10)</f>
        <v>58.104754797051257</v>
      </c>
      <c r="J34" s="285">
        <f>MAX(J58*J$14,'Output - Jobs vs Yr (BAU)'!J10)</f>
        <v>101.63284591976388</v>
      </c>
      <c r="K34" s="285">
        <f>MAX(K58*K$14,'Output - Jobs vs Yr (BAU)'!K10)</f>
        <v>189.8894865049871</v>
      </c>
      <c r="L34" s="285">
        <f>MAX(L58*L$14,'Output - Jobs vs Yr (BAU)'!L10)</f>
        <v>354.67247809229758</v>
      </c>
      <c r="M34" s="285">
        <f>MAX(M58*M$14,'Output - Jobs vs Yr (BAU)'!M10)</f>
        <v>650.00088072560936</v>
      </c>
      <c r="N34" s="286">
        <f>MAX(Inputs!$E17*N$21,'Output - Jobs vs Yr (BAU)'!N10)</f>
        <v>1188.1084452521463</v>
      </c>
      <c r="O34" s="285">
        <f>MAX(O58*O$14,'Output - Jobs vs Yr (BAU)'!O10)</f>
        <v>1223.7526330403775</v>
      </c>
      <c r="P34" s="285">
        <f>MAX(P58*P$14,'Output - Jobs vs Yr (BAU)'!P10)</f>
        <v>1261.1707336010775</v>
      </c>
      <c r="Q34" s="285">
        <f>MAX(Q58*Q$14,'Output - Jobs vs Yr (BAU)'!Q10)</f>
        <v>1278.1168385563087</v>
      </c>
      <c r="R34" s="285">
        <f>MAX(R58*R$14,'Output - Jobs vs Yr (BAU)'!R10)</f>
        <v>1319.4380056227253</v>
      </c>
      <c r="S34" s="285">
        <f>MAX(S58*S$14,'Output - Jobs vs Yr (BAU)'!S10)</f>
        <v>1353.9807898473891</v>
      </c>
      <c r="T34" s="285">
        <f>MAX(T58*T$14,'Output - Jobs vs Yr (BAU)'!T10)</f>
        <v>1386.8447236374875</v>
      </c>
      <c r="U34" s="285">
        <f>MAX(U58*U$14,'Output - Jobs vs Yr (BAU)'!U10)</f>
        <v>1421.8207901623471</v>
      </c>
      <c r="V34" s="285">
        <f>MAX(V58*V$14,'Output - Jobs vs Yr (BAU)'!V10)</f>
        <v>1458.9164542645433</v>
      </c>
      <c r="W34" s="285">
        <f>MAX(W58*W$14,'Output - Jobs vs Yr (BAU)'!W10)</f>
        <v>1508.6996034579447</v>
      </c>
      <c r="X34" s="286">
        <f>Inputs!F17*'Output -Jobs vs Yr'!$X$14</f>
        <v>1542.7744773954566</v>
      </c>
      <c r="Y34" s="285">
        <f>MAX(Y58*Y$14,'Output - Jobs vs Yr (BAU)'!Y10)</f>
        <v>1619.59502</v>
      </c>
      <c r="Z34" s="285">
        <f>MAX(Z58*Z$14,'Output - Jobs vs Yr (BAU)'!Z10)</f>
        <v>1674.9959800000001</v>
      </c>
      <c r="AA34" s="285">
        <f>MAX(AA58*AA$14,'Output - Jobs vs Yr (BAU)'!AA10)</f>
        <v>1673.5099200000002</v>
      </c>
      <c r="AB34" s="285">
        <f>MAX(AB58*AB$14,'Output - Jobs vs Yr (BAU)'!AB10)</f>
        <v>1672.1793</v>
      </c>
      <c r="AC34" s="285">
        <f>MAX(AC58*AC$14,'Output - Jobs vs Yr (BAU)'!AC10)</f>
        <v>1689.1443700000004</v>
      </c>
      <c r="AD34" s="285">
        <f>MAX(AD58*AD$14,'Output - Jobs vs Yr (BAU)'!AD10)</f>
        <v>1707.7465467052143</v>
      </c>
      <c r="AE34" s="285">
        <f>MAX(AE58*AE$14,'Output - Jobs vs Yr (BAU)'!AE10)</f>
        <v>1735.306636188019</v>
      </c>
      <c r="AF34" s="285">
        <f>MAX(AF58*AF$14,'Output - Jobs vs Yr (BAU)'!AF10)</f>
        <v>1759.9389536051185</v>
      </c>
      <c r="AG34" s="285">
        <f>MAX(AG58*AG$14,'Output - Jobs vs Yr (BAU)'!AG10)</f>
        <v>1792.6478028153792</v>
      </c>
      <c r="AH34" s="286">
        <f>Inputs!I17*'Output -Jobs vs Yr'!$AH$14</f>
        <v>1840.5508710416673</v>
      </c>
      <c r="AI34" s="127"/>
    </row>
    <row r="35" spans="1:36" s="20" customFormat="1">
      <c r="A35" s="9" t="s">
        <v>50</v>
      </c>
      <c r="B35" s="35">
        <v>1</v>
      </c>
      <c r="C35" s="329">
        <f>EIA_RE_aeo2014!E74*1000</f>
        <v>0</v>
      </c>
      <c r="D35" s="329">
        <f>MAX(D59*D$14,'Output - Jobs vs Yr (BAU)'!D11)</f>
        <v>0</v>
      </c>
      <c r="E35" s="329">
        <f>MAX(E59*E$14,'Output - Jobs vs Yr (BAU)'!E11)</f>
        <v>1.0000000000000001E-7</v>
      </c>
      <c r="F35" s="329">
        <f>MAX(F59*F$14,'Output - Jobs vs Yr (BAU)'!F11)</f>
        <v>1.0000000000000001E-7</v>
      </c>
      <c r="G35" s="329">
        <f>MAX(G59*G$14,'Output - Jobs vs Yr (BAU)'!G11)</f>
        <v>1.0000000000000001E-7</v>
      </c>
      <c r="H35" s="285">
        <f>'Output - Jobs vs Yr (BAU)'!H11</f>
        <v>1.0000000000000001E-7</v>
      </c>
      <c r="I35" s="285">
        <f>MAX(I59*I$14,'Output - Jobs vs Yr (BAU)'!I11)</f>
        <v>1.0707511585142683E-7</v>
      </c>
      <c r="J35" s="285">
        <f>MAX(J59*J$14,'Output - Jobs vs Yr (BAU)'!J11)</f>
        <v>1.0590553180275438E-7</v>
      </c>
      <c r="K35" s="285">
        <f>MAX(K59*K$14,'Output - Jobs vs Yr (BAU)'!K11)</f>
        <v>1.118904851568306E-7</v>
      </c>
      <c r="L35" s="285">
        <f>MAX(L59*L$14,'Output - Jobs vs Yr (BAU)'!L11)</f>
        <v>1.1817548805370708E-7</v>
      </c>
      <c r="M35" s="285">
        <f>MAX(M59*M$14,'Output - Jobs vs Yr (BAU)'!M11)</f>
        <v>1.2246769351327799E-7</v>
      </c>
      <c r="N35" s="286">
        <f>MAX(Inputs!$E19*N$21,'Output - Jobs vs Yr (BAU)'!N11)</f>
        <v>1.2658182558206867E-7</v>
      </c>
      <c r="O35" s="285">
        <f>MAX(O59*O$14,'Output - Jobs vs Yr (BAU)'!O11)</f>
        <v>1.3037937990436528E-7</v>
      </c>
      <c r="P35" s="285">
        <f>MAX(P59*P$14,'Output - Jobs vs Yr (BAU)'!P11)</f>
        <v>1.343659280159576E-7</v>
      </c>
      <c r="Q35" s="285">
        <f>MAX(Q59*Q$14,'Output - Jobs vs Yr (BAU)'!Q11)</f>
        <v>1.3617137676123883E-7</v>
      </c>
      <c r="R35" s="285">
        <f>MAX(R59*R$14,'Output - Jobs vs Yr (BAU)'!R11)</f>
        <v>1.4057376004817744E-7</v>
      </c>
      <c r="S35" s="285">
        <f>MAX(S59*S$14,'Output - Jobs vs Yr (BAU)'!S11)</f>
        <v>1.4425397013785275E-7</v>
      </c>
      <c r="T35" s="285">
        <f>MAX(T59*T$14,'Output - Jobs vs Yr (BAU)'!T11)</f>
        <v>1.4775531443986722E-7</v>
      </c>
      <c r="U35" s="285">
        <f>MAX(U59*U$14,'Output - Jobs vs Yr (BAU)'!U11)</f>
        <v>1.5148168669998279E-7</v>
      </c>
      <c r="V35" s="285">
        <f>MAX(V59*V$14,'Output - Jobs vs Yr (BAU)'!V11)</f>
        <v>1.5543388222725106E-7</v>
      </c>
      <c r="W35" s="285">
        <f>MAX(W59*W$14,'Output - Jobs vs Yr (BAU)'!W11)</f>
        <v>1.6073781044466886E-7</v>
      </c>
      <c r="X35" s="286">
        <f>Inputs!F19*'Output -Jobs vs Yr'!$X$14</f>
        <v>1.6436816907626138E-7</v>
      </c>
      <c r="Y35" s="285">
        <f>MAX(Y59*Y$14,'Output - Jobs vs Yr (BAU)'!Y11)</f>
        <v>1.675013819043069E-7</v>
      </c>
      <c r="Z35" s="285">
        <f>MAX(Z59*Z$14,'Output - Jobs vs Yr (BAU)'!Z11)</f>
        <v>1.6960106538238438E-7</v>
      </c>
      <c r="AA35" s="285">
        <f>MAX(AA59*AA$14,'Output - Jobs vs Yr (BAU)'!AA11)</f>
        <v>1.7281303779953539E-7</v>
      </c>
      <c r="AB35" s="285">
        <f>MAX(AB59*AB$14,'Output - Jobs vs Yr (BAU)'!AB11)</f>
        <v>1.7601174368400208E-7</v>
      </c>
      <c r="AC35" s="285">
        <f>MAX(AC59*AC$14,'Output - Jobs vs Yr (BAU)'!AC11)</f>
        <v>1.7905359915285388E-7</v>
      </c>
      <c r="AD35" s="285">
        <f>MAX(AD59*AD$14,'Output - Jobs vs Yr (BAU)'!AD11)</f>
        <v>1.8194439773344336E-7</v>
      </c>
      <c r="AE35" s="285">
        <f>MAX(AE59*AE$14,'Output - Jobs vs Yr (BAU)'!AE11)</f>
        <v>1.8488066710673124E-7</v>
      </c>
      <c r="AF35" s="285">
        <f>MAX(AF59*AF$14,'Output - Jobs vs Yr (BAU)'!AF11)</f>
        <v>1.8750500979146972E-7</v>
      </c>
      <c r="AG35" s="285">
        <f>MAX(AG59*AG$14,'Output - Jobs vs Yr (BAU)'!AG11)</f>
        <v>1.9098983128421207E-7</v>
      </c>
      <c r="AH35" s="286">
        <f>Inputs!I19*'Output -Jobs vs Yr'!$AH$14</f>
        <v>1.9609345448569434E-7</v>
      </c>
      <c r="AI35" s="127"/>
    </row>
    <row r="36" spans="1:36">
      <c r="A36" s="9" t="s">
        <v>119</v>
      </c>
      <c r="B36" s="35">
        <v>1</v>
      </c>
      <c r="C36" s="329">
        <v>0</v>
      </c>
      <c r="D36" s="329">
        <v>0</v>
      </c>
      <c r="E36" s="329">
        <v>0</v>
      </c>
      <c r="F36" s="329">
        <v>0</v>
      </c>
      <c r="G36" s="329">
        <v>0</v>
      </c>
      <c r="H36" s="285">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29">
        <f>EIA_RE_aeo2014!E75*1000</f>
        <v>50</v>
      </c>
      <c r="D37" s="329">
        <f>MAX(D61*D$14,'Output - Jobs vs Yr (BAU)'!D12)</f>
        <v>58</v>
      </c>
      <c r="E37" s="329">
        <f>MAX(E61*E$14,'Output - Jobs vs Yr (BAU)'!E12)</f>
        <v>57.239958976713972</v>
      </c>
      <c r="F37" s="329">
        <f>MAX(F61*F$14,'Output - Jobs vs Yr (BAU)'!F12)</f>
        <v>56.984025941033565</v>
      </c>
      <c r="G37" s="329">
        <f>MAX(G61*G$14,'Output - Jobs vs Yr (BAU)'!G12)</f>
        <v>59.339173602580132</v>
      </c>
      <c r="H37" s="285">
        <f>'Output - Jobs vs Yr (BAU)'!H12</f>
        <v>11.468675351914071</v>
      </c>
      <c r="I37" s="118">
        <f>MAX(I61*I$14,'Output - Jobs vs Yr (BAU)'!I12)</f>
        <v>12.280097419686024</v>
      </c>
      <c r="J37" s="118">
        <f>MAX(J61*J$14,'Output - Jobs vs Yr (BAU)'!J12)</f>
        <v>12.145961622176007</v>
      </c>
      <c r="K37" s="118">
        <f>MAX(K61*K$14,'Output - Jobs vs Yr (BAU)'!K12)</f>
        <v>12.832356492318501</v>
      </c>
      <c r="L37" s="118">
        <f>MAX(L61*L$14,'Output - Jobs vs Yr (BAU)'!L12)</f>
        <v>13.553163070419661</v>
      </c>
      <c r="M37" s="118">
        <f>MAX(M61*M$14,'Output - Jobs vs Yr (BAU)'!M12)</f>
        <v>14.045422180014979</v>
      </c>
      <c r="N37" s="184">
        <f>MAX(Inputs!$E20*N$21,'Output - Jobs vs Yr (BAU)'!N12)</f>
        <v>14.517258630533567</v>
      </c>
      <c r="O37" s="174">
        <f>MAX(O61*O$14,'Output - Jobs vs Yr (BAU)'!O12)</f>
        <v>14.952787807070345</v>
      </c>
      <c r="P37" s="174">
        <f>MAX(P61*P$14,'Output - Jobs vs Yr (BAU)'!P12)</f>
        <v>15.409992067736729</v>
      </c>
      <c r="Q37" s="174">
        <f>MAX(Q61*Q$14,'Output - Jobs vs Yr (BAU)'!Q12)</f>
        <v>15.617053122978238</v>
      </c>
      <c r="R37" s="174">
        <f>MAX(R61*R$14,'Output - Jobs vs Yr (BAU)'!R12)</f>
        <v>16.121948169904154</v>
      </c>
      <c r="S37" s="174">
        <f>MAX(S61*S$14,'Output - Jobs vs Yr (BAU)'!S12)</f>
        <v>16.544019517357402</v>
      </c>
      <c r="T37" s="174">
        <f>MAX(T61*T$14,'Output - Jobs vs Yr (BAU)'!T12)</f>
        <v>16.945577328308186</v>
      </c>
      <c r="U37" s="174">
        <f>MAX(U61*U$14,'Output - Jobs vs Yr (BAU)'!U12)</f>
        <v>17.372942865224619</v>
      </c>
      <c r="V37" s="174">
        <f>MAX(V61*V$14,'Output - Jobs vs Yr (BAU)'!V12)</f>
        <v>17.82620733951989</v>
      </c>
      <c r="W37" s="174">
        <f>MAX(W61*W$14,'Output - Jobs vs Yr (BAU)'!W12)</f>
        <v>18.4344976476741</v>
      </c>
      <c r="X37" s="184">
        <f>Inputs!F20*'Output -Jobs vs Yr'!$X$14</f>
        <v>18.85085169324163</v>
      </c>
      <c r="Y37" s="174">
        <f>MAX(Y61*Y$14,'Output - Jobs vs Yr (BAU)'!Y12)</f>
        <v>19.210189700574695</v>
      </c>
      <c r="Z37" s="174">
        <f>MAX(Z61*Z$14,'Output - Jobs vs Yr (BAU)'!Z12)</f>
        <v>19.450995582093181</v>
      </c>
      <c r="AA37" s="174">
        <f>MAX(AA61*AA$14,'Output - Jobs vs Yr (BAU)'!AA12)</f>
        <v>19.819366271009258</v>
      </c>
      <c r="AB37" s="174">
        <f>MAX(AB61*AB$14,'Output - Jobs vs Yr (BAU)'!AB12)</f>
        <v>20.186215464361315</v>
      </c>
      <c r="AC37" s="174">
        <f>MAX(AC61*AC$14,'Output - Jobs vs Yr (BAU)'!AC12)</f>
        <v>20.535075992758372</v>
      </c>
      <c r="AD37" s="174">
        <f>MAX(AD61*AD$14,'Output - Jobs vs Yr (BAU)'!AD12)</f>
        <v>20.866612297043918</v>
      </c>
      <c r="AE37" s="174">
        <f>MAX(AE61*AE$14,'Output - Jobs vs Yr (BAU)'!AE12)</f>
        <v>21.203363498923991</v>
      </c>
      <c r="AF37" s="174">
        <f>MAX(AF61*AF$14,'Output - Jobs vs Yr (BAU)'!AF12)</f>
        <v>21.504340841558353</v>
      </c>
      <c r="AG37" s="174">
        <f>MAX(AG61*AG$14,'Output - Jobs vs Yr (BAU)'!AG12)</f>
        <v>21.9040037051547</v>
      </c>
      <c r="AH37" s="184">
        <f>Inputs!I20*'Output -Jobs vs Yr'!$AH$14</f>
        <v>22.489321681317659</v>
      </c>
      <c r="AI37" s="127"/>
    </row>
    <row r="38" spans="1:36" s="20" customFormat="1">
      <c r="A38" s="9" t="s">
        <v>347</v>
      </c>
      <c r="B38" s="35">
        <v>1</v>
      </c>
      <c r="C38" s="329">
        <f>'Output - Jobs vs Yr (BAU)'!C13</f>
        <v>0</v>
      </c>
      <c r="D38" s="329">
        <f>MAX(D62*D$14,'Output - Jobs vs Yr (BAU)'!D13)</f>
        <v>0</v>
      </c>
      <c r="E38" s="329">
        <f>MAX(E62*E$14,'Output - Jobs vs Yr (BAU)'!E13)</f>
        <v>0.2</v>
      </c>
      <c r="F38" s="329">
        <f>MAX(F62*F$14,'Output - Jobs vs Yr (BAU)'!F13)</f>
        <v>0.2</v>
      </c>
      <c r="G38" s="329">
        <f>MAX(G62*G$14,'Output - Jobs vs Yr (BAU)'!G13)</f>
        <v>0.2</v>
      </c>
      <c r="H38" s="285">
        <f>'Output - Jobs vs Yr (BAU)'!H13</f>
        <v>0.2</v>
      </c>
      <c r="I38" s="118">
        <f>MAX(I62*I$14,'Output - Jobs vs Yr (BAU)'!I13)</f>
        <v>0.21415023170285363</v>
      </c>
      <c r="J38" s="118">
        <f>MAX(J62*J$14,'Output - Jobs vs Yr (BAU)'!J13)</f>
        <v>0.21181106360550872</v>
      </c>
      <c r="K38" s="118">
        <f>MAX(K62*K$14,'Output - Jobs vs Yr (BAU)'!K13)</f>
        <v>0.22378097031366118</v>
      </c>
      <c r="L38" s="118">
        <f>MAX(L62*L$14,'Output - Jobs vs Yr (BAU)'!L13)</f>
        <v>0.23635097610741415</v>
      </c>
      <c r="M38" s="118">
        <f>MAX(M62*M$14,'Output - Jobs vs Yr (BAU)'!M13)</f>
        <v>0.24493538702655596</v>
      </c>
      <c r="N38" s="184">
        <f>MAX(Inputs!$E21*N$21,'Output - Jobs vs Yr (BAU)'!N13)</f>
        <v>0.25316365116413725</v>
      </c>
      <c r="O38" s="174">
        <f>MAX(O62*O$14,'Output - Jobs vs Yr (BAU)'!O13)</f>
        <v>0.26075875980873053</v>
      </c>
      <c r="P38" s="174">
        <f>MAX(P62*P$14,'Output - Jobs vs Yr (BAU)'!P13)</f>
        <v>0.26873185603191513</v>
      </c>
      <c r="Q38" s="174">
        <f>MAX(Q62*Q$14,'Output - Jobs vs Yr (BAU)'!Q13)</f>
        <v>0.27234275352247755</v>
      </c>
      <c r="R38" s="174">
        <f>MAX(R62*R$14,'Output - Jobs vs Yr (BAU)'!R13)</f>
        <v>0.2811475200963548</v>
      </c>
      <c r="S38" s="174">
        <f>MAX(S62*S$14,'Output - Jobs vs Yr (BAU)'!S13)</f>
        <v>0.28850794027570548</v>
      </c>
      <c r="T38" s="174">
        <f>MAX(T62*T$14,'Output - Jobs vs Yr (BAU)'!T13)</f>
        <v>0.29551062887973439</v>
      </c>
      <c r="U38" s="174">
        <f>MAX(U62*U$14,'Output - Jobs vs Yr (BAU)'!U13)</f>
        <v>0.30296337339996554</v>
      </c>
      <c r="V38" s="174">
        <f>MAX(V62*V$14,'Output - Jobs vs Yr (BAU)'!V13)</f>
        <v>0.31086776445450209</v>
      </c>
      <c r="W38" s="174">
        <f>MAX(W62*W$14,'Output - Jobs vs Yr (BAU)'!W13)</f>
        <v>0.32147562088933768</v>
      </c>
      <c r="X38" s="184">
        <f>Inputs!F21*'Output -Jobs vs Yr'!$X$14</f>
        <v>0.32873633815252268</v>
      </c>
      <c r="Y38" s="174">
        <f>MAX(Y62*Y$14,'Output - Jobs vs Yr (BAU)'!Y13)</f>
        <v>0.33500276380861371</v>
      </c>
      <c r="Z38" s="174">
        <f>MAX(Z62*Z$14,'Output - Jobs vs Yr (BAU)'!Z13)</f>
        <v>0.33920213076476868</v>
      </c>
      <c r="AA38" s="174">
        <f>MAX(AA62*AA$14,'Output - Jobs vs Yr (BAU)'!AA13)</f>
        <v>0.34562607559907071</v>
      </c>
      <c r="AB38" s="174">
        <f>MAX(AB62*AB$14,'Output - Jobs vs Yr (BAU)'!AB13)</f>
        <v>0.3520234873680041</v>
      </c>
      <c r="AC38" s="174">
        <f>MAX(AC62*AC$14,'Output - Jobs vs Yr (BAU)'!AC13)</f>
        <v>0.3581071983057077</v>
      </c>
      <c r="AD38" s="174">
        <f>MAX(AD62*AD$14,'Output - Jobs vs Yr (BAU)'!AD13)</f>
        <v>0.36388879546688663</v>
      </c>
      <c r="AE38" s="174">
        <f>MAX(AE62*AE$14,'Output - Jobs vs Yr (BAU)'!AE13)</f>
        <v>0.36976133421346247</v>
      </c>
      <c r="AF38" s="174">
        <f>MAX(AF62*AF$14,'Output - Jobs vs Yr (BAU)'!AF13)</f>
        <v>0.37501001958293939</v>
      </c>
      <c r="AG38" s="174">
        <f>MAX(AG62*AG$14,'Output - Jobs vs Yr (BAU)'!AG13)</f>
        <v>0.38197966256842408</v>
      </c>
      <c r="AH38" s="184">
        <f>Inputs!I21*'Output -Jobs vs Yr'!$AH$14</f>
        <v>0.39218690897138864</v>
      </c>
      <c r="AI38" s="127"/>
    </row>
    <row r="39" spans="1:36" s="20" customFormat="1">
      <c r="A39" s="9" t="s">
        <v>348</v>
      </c>
      <c r="B39" s="35">
        <v>1</v>
      </c>
      <c r="C39" s="329">
        <f>'Output - Jobs vs Yr (BAU)'!C14</f>
        <v>0</v>
      </c>
      <c r="D39" s="329">
        <f>MAX(D63*D$14,'Output - Jobs vs Yr (BAU)'!D14)</f>
        <v>0</v>
      </c>
      <c r="E39" s="329">
        <f>MAX(E63*E$14,'Output - Jobs vs Yr (BAU)'!E14)</f>
        <v>0.1</v>
      </c>
      <c r="F39" s="329">
        <f>MAX(F63*F$14,'Output - Jobs vs Yr (BAU)'!F14)</f>
        <v>0.1</v>
      </c>
      <c r="G39" s="329">
        <f>MAX(G63*G$14,'Output - Jobs vs Yr (BAU)'!G14)</f>
        <v>0.1</v>
      </c>
      <c r="H39" s="285">
        <f>'Output - Jobs vs Yr (BAU)'!H14</f>
        <v>0.1</v>
      </c>
      <c r="I39" s="118">
        <f>MAX(I63*I$14,'Output - Jobs vs Yr (BAU)'!I14)</f>
        <v>0.10707511585142682</v>
      </c>
      <c r="J39" s="118">
        <f>MAX(J63*J$14,'Output - Jobs vs Yr (BAU)'!J14)</f>
        <v>0.10590553180275436</v>
      </c>
      <c r="K39" s="118">
        <f>MAX(K63*K$14,'Output - Jobs vs Yr (BAU)'!K14)</f>
        <v>0.11189048515683059</v>
      </c>
      <c r="L39" s="118">
        <f>MAX(L63*L$14,'Output - Jobs vs Yr (BAU)'!L14)</f>
        <v>0.11817548805370708</v>
      </c>
      <c r="M39" s="118">
        <f>MAX(M63*M$14,'Output - Jobs vs Yr (BAU)'!M14)</f>
        <v>0.12246769351327798</v>
      </c>
      <c r="N39" s="184">
        <f>MAX(Inputs!$E22*N$21,'Output - Jobs vs Yr (BAU)'!N14)</f>
        <v>0.12658182558206862</v>
      </c>
      <c r="O39" s="174">
        <f>MAX(O63*O$14,'Output - Jobs vs Yr (BAU)'!O14)</f>
        <v>0.13037937990436527</v>
      </c>
      <c r="P39" s="174">
        <f>MAX(P63*P$14,'Output - Jobs vs Yr (BAU)'!P14)</f>
        <v>0.13436592801595756</v>
      </c>
      <c r="Q39" s="174">
        <f>MAX(Q63*Q$14,'Output - Jobs vs Yr (BAU)'!Q14)</f>
        <v>0.13617137676123878</v>
      </c>
      <c r="R39" s="174">
        <f>MAX(R63*R$14,'Output - Jobs vs Yr (BAU)'!R14)</f>
        <v>0.1405737600481774</v>
      </c>
      <c r="S39" s="174">
        <f>MAX(S63*S$14,'Output - Jobs vs Yr (BAU)'!S14)</f>
        <v>0.14425397013785274</v>
      </c>
      <c r="T39" s="174">
        <f>MAX(T63*T$14,'Output - Jobs vs Yr (BAU)'!T14)</f>
        <v>0.1477553144398672</v>
      </c>
      <c r="U39" s="174">
        <f>MAX(U63*U$14,'Output - Jobs vs Yr (BAU)'!U14)</f>
        <v>0.15148168669998277</v>
      </c>
      <c r="V39" s="174">
        <f>MAX(V63*V$14,'Output - Jobs vs Yr (BAU)'!V14)</f>
        <v>0.15543388222725105</v>
      </c>
      <c r="W39" s="174">
        <f>MAX(W63*W$14,'Output - Jobs vs Yr (BAU)'!W14)</f>
        <v>0.16073781044466884</v>
      </c>
      <c r="X39" s="184">
        <f>Inputs!F22*'Output -Jobs vs Yr'!$X$14</f>
        <v>0.16436816907626134</v>
      </c>
      <c r="Y39" s="174">
        <f>MAX(Y63*Y$14,'Output - Jobs vs Yr (BAU)'!Y14)</f>
        <v>0.16750138190430686</v>
      </c>
      <c r="Z39" s="174">
        <f>MAX(Z63*Z$14,'Output - Jobs vs Yr (BAU)'!Z14)</f>
        <v>0.16960106538238434</v>
      </c>
      <c r="AA39" s="174">
        <f>MAX(AA63*AA$14,'Output - Jobs vs Yr (BAU)'!AA14)</f>
        <v>0.17281303779953536</v>
      </c>
      <c r="AB39" s="174">
        <f>MAX(AB63*AB$14,'Output - Jobs vs Yr (BAU)'!AB14)</f>
        <v>0.17601174368400205</v>
      </c>
      <c r="AC39" s="174">
        <f>MAX(AC63*AC$14,'Output - Jobs vs Yr (BAU)'!AC14)</f>
        <v>0.17905359915285385</v>
      </c>
      <c r="AD39" s="174">
        <f>MAX(AD63*AD$14,'Output - Jobs vs Yr (BAU)'!AD14)</f>
        <v>0.18194439773344331</v>
      </c>
      <c r="AE39" s="174">
        <f>MAX(AE63*AE$14,'Output - Jobs vs Yr (BAU)'!AE14)</f>
        <v>0.18488066710673123</v>
      </c>
      <c r="AF39" s="174">
        <f>MAX(AF63*AF$14,'Output - Jobs vs Yr (BAU)'!AF14)</f>
        <v>0.1875050097914697</v>
      </c>
      <c r="AG39" s="174">
        <f>MAX(AG63*AG$14,'Output - Jobs vs Yr (BAU)'!AG14)</f>
        <v>0.19098983128421204</v>
      </c>
      <c r="AH39" s="184">
        <f>Inputs!I22*'Output -Jobs vs Yr'!$AH$14</f>
        <v>0.19609345448569432</v>
      </c>
      <c r="AI39" s="127"/>
    </row>
    <row r="40" spans="1:36" s="20" customFormat="1">
      <c r="A40" s="9" t="s">
        <v>344</v>
      </c>
      <c r="B40" s="35">
        <v>1</v>
      </c>
      <c r="C40" s="329">
        <f>'Output - Jobs vs Yr (BAU)'!C15</f>
        <v>0.01</v>
      </c>
      <c r="D40" s="329">
        <f>MAX(D64*D$14,'Output - Jobs vs Yr (BAU)'!D15)</f>
        <v>1.0765351184989291E-2</v>
      </c>
      <c r="E40" s="329">
        <f>MAX(E64*E$14,'Output - Jobs vs Yr (BAU)'!E15)</f>
        <v>1.1447991795342794E-2</v>
      </c>
      <c r="F40" s="329">
        <f>MAX(F64*F$14,'Output - Jobs vs Yr (BAU)'!F15)</f>
        <v>1.1396805188206715E-2</v>
      </c>
      <c r="G40" s="329">
        <f>MAX(G64*G$14,'Output - Jobs vs Yr (BAU)'!G15)</f>
        <v>1.1867834720516028E-2</v>
      </c>
      <c r="H40" s="285">
        <f>'Output - Jobs vs Yr (BAU)'!H15</f>
        <v>0.01</v>
      </c>
      <c r="I40" s="118">
        <f>MAX(I64*I$14,'Output - Jobs vs Yr (BAU)'!I15)</f>
        <v>1.0707511585142682E-2</v>
      </c>
      <c r="J40" s="118">
        <f>MAX(J64*J$14,'Output - Jobs vs Yr (BAU)'!J15)</f>
        <v>1.0590553180275436E-2</v>
      </c>
      <c r="K40" s="118">
        <f>MAX(K64*K$14,'Output - Jobs vs Yr (BAU)'!K15)</f>
        <v>1.1189048515683059E-2</v>
      </c>
      <c r="L40" s="118">
        <f>MAX(L64*L$14,'Output - Jobs vs Yr (BAU)'!L15)</f>
        <v>1.181754880537071E-2</v>
      </c>
      <c r="M40" s="118">
        <f>MAX(M64*M$14,'Output - Jobs vs Yr (BAU)'!M15)</f>
        <v>1.2246769351327798E-2</v>
      </c>
      <c r="N40" s="184">
        <f>MAX(Inputs!$E18*N$21,'Output - Jobs vs Yr (BAU)'!N15)</f>
        <v>1.2658182558206865E-2</v>
      </c>
      <c r="O40" s="174">
        <f>MAX(O64*O$14,'Output - Jobs vs Yr (BAU)'!O15)</f>
        <v>1.3037937990436526E-2</v>
      </c>
      <c r="P40" s="174">
        <f>MAX(P64*P$14,'Output - Jobs vs Yr (BAU)'!P15)</f>
        <v>1.3436592801595759E-2</v>
      </c>
      <c r="Q40" s="174">
        <f>MAX(Q64*Q$14,'Output - Jobs vs Yr (BAU)'!Q15)</f>
        <v>1.361713767612388E-2</v>
      </c>
      <c r="R40" s="174">
        <f>MAX(R64*R$14,'Output - Jobs vs Yr (BAU)'!R15)</f>
        <v>1.4057376004817742E-2</v>
      </c>
      <c r="S40" s="174">
        <f>MAX(S64*S$14,'Output - Jobs vs Yr (BAU)'!S15)</f>
        <v>1.4425397013785276E-2</v>
      </c>
      <c r="T40" s="174">
        <f>MAX(T64*T$14,'Output - Jobs vs Yr (BAU)'!T15)</f>
        <v>1.4775531443986722E-2</v>
      </c>
      <c r="U40" s="174">
        <f>MAX(U64*U$14,'Output - Jobs vs Yr (BAU)'!U15)</f>
        <v>1.5148168669998279E-2</v>
      </c>
      <c r="V40" s="174">
        <f>MAX(V64*V$14,'Output - Jobs vs Yr (BAU)'!V15)</f>
        <v>1.5543388222725106E-2</v>
      </c>
      <c r="W40" s="174">
        <f>MAX(W64*W$14,'Output - Jobs vs Yr (BAU)'!W15)</f>
        <v>1.6073781044466887E-2</v>
      </c>
      <c r="X40" s="184">
        <f>Inputs!F18*'Output -Jobs vs Yr'!$X$14</f>
        <v>1.6436816907626134E-2</v>
      </c>
      <c r="Y40" s="174">
        <f>MAX(Y64*Y$14,'Output - Jobs vs Yr (BAU)'!Y15)</f>
        <v>1.6750138190430683E-2</v>
      </c>
      <c r="Z40" s="174">
        <f>MAX(Z64*Z$14,'Output - Jobs vs Yr (BAU)'!Z15)</f>
        <v>1.6960106538238432E-2</v>
      </c>
      <c r="AA40" s="174">
        <f>MAX(AA64*AA$14,'Output - Jobs vs Yr (BAU)'!AA15)</f>
        <v>1.7281303779953534E-2</v>
      </c>
      <c r="AB40" s="174">
        <f>MAX(AB64*AB$14,'Output - Jobs vs Yr (BAU)'!AB15)</f>
        <v>1.7601174368400203E-2</v>
      </c>
      <c r="AC40" s="174">
        <f>MAX(AC64*AC$14,'Output - Jobs vs Yr (BAU)'!AC15)</f>
        <v>1.7905359915285381E-2</v>
      </c>
      <c r="AD40" s="174">
        <f>MAX(AD64*AD$14,'Output - Jobs vs Yr (BAU)'!AD15)</f>
        <v>1.8194439773344329E-2</v>
      </c>
      <c r="AE40" s="174">
        <f>MAX(AE64*AE$14,'Output - Jobs vs Yr (BAU)'!AE15)</f>
        <v>1.8488066710673122E-2</v>
      </c>
      <c r="AF40" s="174">
        <f>MAX(AF64*AF$14,'Output - Jobs vs Yr (BAU)'!AF15)</f>
        <v>1.8750500979146968E-2</v>
      </c>
      <c r="AG40" s="174">
        <f>MAX(AG64*AG$14,'Output - Jobs vs Yr (BAU)'!AG15)</f>
        <v>1.9098983128421201E-2</v>
      </c>
      <c r="AH40" s="184">
        <f>Inputs!I18*'Output -Jobs vs Yr'!$AH$14</f>
        <v>1.9609345448569432E-2</v>
      </c>
      <c r="AI40" s="127"/>
    </row>
    <row r="41" spans="1:36" s="251" customFormat="1">
      <c r="A41" s="10" t="s">
        <v>120</v>
      </c>
      <c r="B41" s="37">
        <v>1</v>
      </c>
      <c r="C41" s="329">
        <v>0</v>
      </c>
      <c r="D41" s="329">
        <v>0</v>
      </c>
      <c r="E41" s="329">
        <v>0</v>
      </c>
      <c r="F41" s="329">
        <v>0</v>
      </c>
      <c r="G41" s="329">
        <v>0</v>
      </c>
      <c r="H41" s="285">
        <v>1</v>
      </c>
      <c r="I41" s="285">
        <v>2</v>
      </c>
      <c r="J41" s="285">
        <v>3</v>
      </c>
      <c r="K41" s="285">
        <v>4</v>
      </c>
      <c r="L41" s="285">
        <v>5</v>
      </c>
      <c r="M41" s="285">
        <v>6</v>
      </c>
      <c r="N41" s="286">
        <v>7</v>
      </c>
      <c r="O41" s="285">
        <v>8</v>
      </c>
      <c r="P41" s="285">
        <v>9</v>
      </c>
      <c r="Q41" s="285">
        <v>10</v>
      </c>
      <c r="R41" s="285">
        <v>11</v>
      </c>
      <c r="S41" s="285">
        <v>12</v>
      </c>
      <c r="T41" s="285">
        <v>13</v>
      </c>
      <c r="U41" s="285">
        <v>14</v>
      </c>
      <c r="V41" s="285">
        <v>15</v>
      </c>
      <c r="W41" s="285">
        <v>16</v>
      </c>
      <c r="X41" s="286">
        <v>17</v>
      </c>
      <c r="Y41" s="251">
        <v>18</v>
      </c>
      <c r="Z41" s="251">
        <v>19</v>
      </c>
      <c r="AA41" s="251">
        <v>20</v>
      </c>
      <c r="AB41" s="251">
        <v>21</v>
      </c>
      <c r="AC41" s="251">
        <v>22</v>
      </c>
      <c r="AD41" s="196">
        <v>23</v>
      </c>
      <c r="AE41" s="251">
        <v>24</v>
      </c>
      <c r="AF41" s="251">
        <v>25</v>
      </c>
      <c r="AG41" s="251">
        <v>26</v>
      </c>
      <c r="AH41" s="286">
        <v>27</v>
      </c>
      <c r="AI41" s="251">
        <f>EXP(0.01)</f>
        <v>1.0100501670841679</v>
      </c>
      <c r="AJ41" s="481">
        <v>0.01</v>
      </c>
    </row>
    <row r="42" spans="1:36" s="20" customFormat="1">
      <c r="A42" s="9" t="s">
        <v>53</v>
      </c>
      <c r="B42" s="35">
        <v>1</v>
      </c>
      <c r="C42" s="329">
        <f>EIA_RE_aeo2014!E78*1000</f>
        <v>499</v>
      </c>
      <c r="D42" s="329">
        <f>MAX(D66*D$14,'Output - Jobs vs Yr (BAU)'!D16)</f>
        <v>925</v>
      </c>
      <c r="E42" s="329">
        <f>MAX(E66*E$14,'Output - Jobs vs Yr (BAU)'!E16)</f>
        <v>998.24640000000011</v>
      </c>
      <c r="F42" s="329">
        <f>MAX(F66*F$14,'Output - Jobs vs Yr (BAU)'!F16)</f>
        <v>1600.4464</v>
      </c>
      <c r="G42" s="329">
        <f>MAX(G66*G$14,'Output - Jobs vs Yr (BAU)'!G16)</f>
        <v>2508.9204</v>
      </c>
      <c r="H42" s="285">
        <f>'Output - Jobs vs Yr (BAU)'!H16</f>
        <v>2638.1886000000004</v>
      </c>
      <c r="I42" s="118">
        <f>MAX(I66*I$14,'Output - Jobs vs Yr (BAU)'!I16)</f>
        <v>2861.3915493828536</v>
      </c>
      <c r="J42" s="118">
        <f>MAX(J66*J$14,'Output - Jobs vs Yr (BAU)'!J16)</f>
        <v>2866.7530319497409</v>
      </c>
      <c r="K42" s="118">
        <f>MAX(K66*K$14,'Output - Jobs vs Yr (BAU)'!K16)</f>
        <v>3067.9458502750713</v>
      </c>
      <c r="L42" s="118">
        <f>MAX(L66*L$14,'Output - Jobs vs Yr (BAU)'!L16)</f>
        <v>3282.1984457657873</v>
      </c>
      <c r="M42" s="118">
        <f>MAX(M66*M$14,'Output - Jobs vs Yr (BAU)'!M16)</f>
        <v>3445.4175968815211</v>
      </c>
      <c r="N42" s="184">
        <f>MAX(Inputs!$E23*N$21,'Output - Jobs vs Yr (BAU)'!N16)</f>
        <v>3607.2362075414662</v>
      </c>
      <c r="O42" s="174">
        <f>MAX(O66*O$14,'Output - Jobs vs Yr (BAU)'!O16)</f>
        <v>3715.4561308085117</v>
      </c>
      <c r="P42" s="174">
        <f>MAX(P66*P$14,'Output - Jobs vs Yr (BAU)'!P16)</f>
        <v>3829.0618607394517</v>
      </c>
      <c r="Q42" s="174">
        <f>MAX(Q66*Q$14,'Output - Jobs vs Yr (BAU)'!Q16)</f>
        <v>3880.5122174939943</v>
      </c>
      <c r="R42" s="174">
        <f>MAX(R66*R$14,'Output - Jobs vs Yr (BAU)'!R16)</f>
        <v>4005.9681138606052</v>
      </c>
      <c r="S42" s="174">
        <f>MAX(S66*S$14,'Output - Jobs vs Yr (BAU)'!S16)</f>
        <v>4110.8440470823871</v>
      </c>
      <c r="T42" s="174">
        <f>MAX(T66*T$14,'Output - Jobs vs Yr (BAU)'!T16)</f>
        <v>4210.6227940171666</v>
      </c>
      <c r="U42" s="174">
        <f>MAX(U66*U$14,'Output - Jobs vs Yr (BAU)'!U16)</f>
        <v>4316.8142229814457</v>
      </c>
      <c r="V42" s="174">
        <f>MAX(V66*V$14,'Output - Jobs vs Yr (BAU)'!V16)</f>
        <v>4429.4409981104109</v>
      </c>
      <c r="W42" s="174">
        <f>MAX(W66*W$14,'Output - Jobs vs Yr (BAU)'!W16)</f>
        <v>4580.5884619749286</v>
      </c>
      <c r="X42" s="184">
        <f>Inputs!F23*'Output -Jobs vs Yr'!$X$14</f>
        <v>4684.0437648355319</v>
      </c>
      <c r="Y42" s="174">
        <f>MAX(Y66*Y$14,'Output - Jobs vs Yr (BAU)'!Y16)</f>
        <v>4773.3317704973824</v>
      </c>
      <c r="Z42" s="174">
        <f>MAX(Z66*Z$14,'Output - Jobs vs Yr (BAU)'!Z16)</f>
        <v>4833.1670132873287</v>
      </c>
      <c r="AA42" s="174">
        <f>MAX(AA66*AA$14,'Output - Jobs vs Yr (BAU)'!AA16)</f>
        <v>4924.6994520674889</v>
      </c>
      <c r="AB42" s="174">
        <f>MAX(AB66*AB$14,'Output - Jobs vs Yr (BAU)'!AB16)</f>
        <v>5015.8538309103124</v>
      </c>
      <c r="AC42" s="174">
        <f>MAX(AC66*AC$14,'Output - Jobs vs Yr (BAU)'!AC16)</f>
        <v>5102.5384014234478</v>
      </c>
      <c r="AD42" s="174">
        <f>MAX(AD66*AD$14,'Output - Jobs vs Yr (BAU)'!AD16)</f>
        <v>5184.9182633085265</v>
      </c>
      <c r="AE42" s="174">
        <f>MAX(AE66*AE$14,'Output - Jobs vs Yr (BAU)'!AE16)</f>
        <v>5268.5939185593033</v>
      </c>
      <c r="AF42" s="174">
        <f>MAX(AF66*AF$14,'Output - Jobs vs Yr (BAU)'!AF16)</f>
        <v>5343.3805153701351</v>
      </c>
      <c r="AG42" s="174">
        <f>MAX(AG66*AG$14,'Output - Jobs vs Yr (BAU)'!AG16)</f>
        <v>5442.6884073809742</v>
      </c>
      <c r="AH42" s="184">
        <f>Inputs!I23*'Output -Jobs vs Yr'!$AH$14</f>
        <v>5588.1277255246332</v>
      </c>
      <c r="AI42" s="127"/>
    </row>
    <row r="43" spans="1:36">
      <c r="A43" s="10" t="s">
        <v>332</v>
      </c>
      <c r="B43" s="37"/>
      <c r="C43" s="329">
        <f>SUM(C31:C42)</f>
        <v>12615</v>
      </c>
      <c r="D43" s="329">
        <f t="shared" ref="D43:AG43" si="29">SUM(D31:D42)</f>
        <v>13496.695983326958</v>
      </c>
      <c r="E43" s="329">
        <f t="shared" si="29"/>
        <v>13876.81723519632</v>
      </c>
      <c r="F43" s="329">
        <f t="shared" si="29"/>
        <v>13957.502994469425</v>
      </c>
      <c r="G43" s="329">
        <f t="shared" si="29"/>
        <v>14923.606761648796</v>
      </c>
      <c r="H43" s="285">
        <f t="shared" si="29"/>
        <v>13661.459805451916</v>
      </c>
      <c r="I43" s="83">
        <f t="shared" si="29"/>
        <v>14507.74498330974</v>
      </c>
      <c r="J43" s="83">
        <f t="shared" si="29"/>
        <v>14249.517214029096</v>
      </c>
      <c r="K43" s="83">
        <f t="shared" si="29"/>
        <v>14985.152942800349</v>
      </c>
      <c r="L43" s="83">
        <f t="shared" si="29"/>
        <v>15820.614377883414</v>
      </c>
      <c r="M43" s="83">
        <f t="shared" si="29"/>
        <v>16512.142489977894</v>
      </c>
      <c r="N43" s="184">
        <f t="shared" si="29"/>
        <v>17412.894115210034</v>
      </c>
      <c r="O43" s="83">
        <f t="shared" si="29"/>
        <v>17622.243998219972</v>
      </c>
      <c r="P43" s="83">
        <f t="shared" si="29"/>
        <v>17845.712352660237</v>
      </c>
      <c r="Q43" s="83">
        <f t="shared" si="29"/>
        <v>17773.279263833647</v>
      </c>
      <c r="R43" s="83">
        <f t="shared" si="29"/>
        <v>18032.669102415519</v>
      </c>
      <c r="S43" s="83">
        <f t="shared" si="29"/>
        <v>18188.673089371074</v>
      </c>
      <c r="T43" s="83">
        <f t="shared" si="29"/>
        <v>18313.742308320128</v>
      </c>
      <c r="U43" s="83">
        <f t="shared" si="29"/>
        <v>18458.56704969531</v>
      </c>
      <c r="V43" s="83">
        <f t="shared" si="29"/>
        <v>18622.207094029851</v>
      </c>
      <c r="W43" s="83">
        <f t="shared" si="29"/>
        <v>18936.203064430581</v>
      </c>
      <c r="X43" s="184">
        <f t="shared" si="29"/>
        <v>19042.822985412735</v>
      </c>
      <c r="Y43" s="174">
        <f t="shared" si="29"/>
        <v>20061.581635038208</v>
      </c>
      <c r="Z43" s="174">
        <f t="shared" si="29"/>
        <v>20942.314335049203</v>
      </c>
      <c r="AA43" s="174">
        <f t="shared" si="29"/>
        <v>21889.191192019123</v>
      </c>
      <c r="AB43" s="174">
        <f t="shared" si="29"/>
        <v>22834.637097484218</v>
      </c>
      <c r="AC43" s="174">
        <f t="shared" si="29"/>
        <v>23778.319618093024</v>
      </c>
      <c r="AD43" s="174">
        <f t="shared" si="29"/>
        <v>24702.273342196775</v>
      </c>
      <c r="AE43" s="174">
        <f t="shared" si="29"/>
        <v>25637.346960691655</v>
      </c>
      <c r="AF43" s="174">
        <f t="shared" si="29"/>
        <v>26524.41263412968</v>
      </c>
      <c r="AG43" s="174">
        <f t="shared" si="29"/>
        <v>27529.33499867006</v>
      </c>
      <c r="AH43" s="184">
        <f>SUM(AH31:AH42)</f>
        <v>28769.563831445805</v>
      </c>
      <c r="AI43" s="127"/>
    </row>
    <row r="44" spans="1:36">
      <c r="A44" s="10" t="s">
        <v>124</v>
      </c>
      <c r="B44" s="37"/>
      <c r="C44" s="330">
        <f>SUMPRODUCT($B34:$B42,C34:C42)</f>
        <v>551.01</v>
      </c>
      <c r="D44" s="330">
        <f>SUMPRODUCT($B34:$B42,D34:D42)</f>
        <v>986.81835834624678</v>
      </c>
      <c r="E44" s="330">
        <f t="shared" ref="E44:AG44" si="30">SUMPRODUCT($B34:$B42*E34:E42)</f>
        <v>1062.9583169509235</v>
      </c>
      <c r="F44" s="330">
        <f t="shared" si="30"/>
        <v>1670.3481938822092</v>
      </c>
      <c r="G44" s="330">
        <f t="shared" si="30"/>
        <v>2599.6828915373007</v>
      </c>
      <c r="H44" s="401">
        <f t="shared" si="30"/>
        <v>2681.6526054519145</v>
      </c>
      <c r="I44" s="14">
        <f>SUMPRODUCT($B34:$B42*I34:I42)</f>
        <v>2934.1083345658053</v>
      </c>
      <c r="J44" s="14">
        <f t="shared" si="30"/>
        <v>2983.8601467461749</v>
      </c>
      <c r="K44" s="14">
        <f t="shared" si="30"/>
        <v>3275.0145538882534</v>
      </c>
      <c r="L44" s="14">
        <f t="shared" si="30"/>
        <v>3655.7904310596464</v>
      </c>
      <c r="M44" s="14">
        <f t="shared" si="30"/>
        <v>4115.8435497595046</v>
      </c>
      <c r="N44" s="182">
        <f t="shared" si="30"/>
        <v>4817.2543152100325</v>
      </c>
      <c r="O44" s="14">
        <f t="shared" si="30"/>
        <v>4962.5657278640429</v>
      </c>
      <c r="P44" s="14">
        <f t="shared" si="30"/>
        <v>5115.0591209194818</v>
      </c>
      <c r="Q44" s="14">
        <f t="shared" si="30"/>
        <v>5184.6682405774127</v>
      </c>
      <c r="R44" s="14">
        <f t="shared" si="30"/>
        <v>5352.9638464499576</v>
      </c>
      <c r="S44" s="14">
        <f t="shared" si="30"/>
        <v>5493.8160438988152</v>
      </c>
      <c r="T44" s="14">
        <f t="shared" si="30"/>
        <v>5627.8711366054813</v>
      </c>
      <c r="U44" s="14">
        <f t="shared" si="30"/>
        <v>5770.4775493892694</v>
      </c>
      <c r="V44" s="14">
        <f t="shared" si="30"/>
        <v>5921.6655049048122</v>
      </c>
      <c r="W44" s="14">
        <f t="shared" si="30"/>
        <v>6124.2208504536638</v>
      </c>
      <c r="X44" s="187">
        <f t="shared" si="30"/>
        <v>6263.1786354127344</v>
      </c>
      <c r="Y44" s="14">
        <f t="shared" si="30"/>
        <v>6430.656234649362</v>
      </c>
      <c r="Z44" s="14">
        <f t="shared" si="30"/>
        <v>6547.1397523417081</v>
      </c>
      <c r="AA44" s="14">
        <f t="shared" si="30"/>
        <v>6638.5644589284902</v>
      </c>
      <c r="AB44" s="14">
        <f t="shared" si="30"/>
        <v>6729.764982956106</v>
      </c>
      <c r="AC44" s="14">
        <f t="shared" si="30"/>
        <v>6834.7729137526339</v>
      </c>
      <c r="AD44" s="14">
        <f t="shared" si="30"/>
        <v>6937.0954501257029</v>
      </c>
      <c r="AE44" s="14">
        <f t="shared" si="30"/>
        <v>7049.6770484991575</v>
      </c>
      <c r="AF44" s="14">
        <f t="shared" si="30"/>
        <v>7150.4050755346707</v>
      </c>
      <c r="AG44" s="14">
        <f t="shared" si="30"/>
        <v>7283.8322825694795</v>
      </c>
      <c r="AH44" s="187">
        <f>SUMPRODUCT($B34:$B42*AH34:AH42)</f>
        <v>7478.7758081526172</v>
      </c>
      <c r="AI44" s="127"/>
    </row>
    <row r="45" spans="1:36">
      <c r="A45" s="10" t="s">
        <v>117</v>
      </c>
      <c r="B45" s="37"/>
      <c r="C45" s="331">
        <f t="shared" ref="C45:AG45" si="31">C44/C14</f>
        <v>6.27717019822283E-3</v>
      </c>
      <c r="D45" s="331">
        <f t="shared" si="31"/>
        <v>1.0794573917021232E-2</v>
      </c>
      <c r="E45" s="331">
        <f t="shared" si="31"/>
        <v>1.1302524927456595E-2</v>
      </c>
      <c r="F45" s="331">
        <f t="shared" si="31"/>
        <v>1.8441850556104752E-2</v>
      </c>
      <c r="G45" s="331">
        <f t="shared" si="31"/>
        <v>2.8491909785834935E-2</v>
      </c>
      <c r="H45" s="283">
        <f t="shared" si="31"/>
        <v>2.8921676379620908E-2</v>
      </c>
      <c r="I45" s="23">
        <f t="shared" si="31"/>
        <v>3.0549253366737229E-2</v>
      </c>
      <c r="J45" s="23">
        <f t="shared" si="31"/>
        <v>3.2468699182014754E-2</v>
      </c>
      <c r="K45" s="23">
        <f t="shared" si="31"/>
        <v>3.4867211078514558E-2</v>
      </c>
      <c r="L45" s="23">
        <f t="shared" si="31"/>
        <v>3.8092816383210826E-2</v>
      </c>
      <c r="M45" s="23">
        <f t="shared" si="31"/>
        <v>4.2777813051968684E-2</v>
      </c>
      <c r="N45" s="178">
        <f t="shared" si="31"/>
        <v>5.0072761225720089E-2</v>
      </c>
      <c r="O45" s="23">
        <f t="shared" si="31"/>
        <v>5.1002187870097304E-2</v>
      </c>
      <c r="P45" s="23">
        <f t="shared" si="31"/>
        <v>5.1948267987463305E-2</v>
      </c>
      <c r="Q45" s="206">
        <f t="shared" si="31"/>
        <v>5.2913055203125905E-2</v>
      </c>
      <c r="R45" s="206">
        <f t="shared" si="31"/>
        <v>5.3893435426229999E-2</v>
      </c>
      <c r="S45" s="206">
        <f t="shared" si="31"/>
        <v>5.4892155262602181E-2</v>
      </c>
      <c r="T45" s="206">
        <f t="shared" si="31"/>
        <v>5.5909177488337902E-2</v>
      </c>
      <c r="U45" s="206">
        <f t="shared" si="31"/>
        <v>5.6944504333880708E-2</v>
      </c>
      <c r="V45" s="206">
        <f t="shared" si="31"/>
        <v>5.7998464476774203E-2</v>
      </c>
      <c r="W45" s="206">
        <f t="shared" si="31"/>
        <v>5.9070308416980841E-2</v>
      </c>
      <c r="X45" s="185">
        <f t="shared" si="31"/>
        <v>6.0163299844518875E-2</v>
      </c>
      <c r="Y45" s="172">
        <f t="shared" si="31"/>
        <v>6.1558233119891739E-2</v>
      </c>
      <c r="Z45" s="172">
        <f t="shared" si="31"/>
        <v>6.2858926591921549E-2</v>
      </c>
      <c r="AA45" s="172">
        <f t="shared" si="31"/>
        <v>6.3523771697413245E-2</v>
      </c>
      <c r="AB45" s="172">
        <f t="shared" si="31"/>
        <v>6.4208353868799861E-2</v>
      </c>
      <c r="AC45" s="172">
        <f t="shared" si="31"/>
        <v>6.5098202456551818E-2</v>
      </c>
      <c r="AD45" s="172">
        <f t="shared" si="31"/>
        <v>6.6033090477315398E-2</v>
      </c>
      <c r="AE45" s="172">
        <f t="shared" si="31"/>
        <v>6.7064863134701114E-2</v>
      </c>
      <c r="AF45" s="172">
        <f t="shared" si="31"/>
        <v>6.8112962345914782E-2</v>
      </c>
      <c r="AG45" s="172">
        <f t="shared" si="31"/>
        <v>6.9176147204465951E-2</v>
      </c>
      <c r="AH45" s="185">
        <f>AH44/AH14</f>
        <v>7.0253630818835469E-2</v>
      </c>
      <c r="AI45" s="127"/>
    </row>
    <row r="46" spans="1:36" s="251" customFormat="1">
      <c r="A46" s="10" t="s">
        <v>333</v>
      </c>
      <c r="B46" s="37"/>
      <c r="C46" s="329">
        <f>SUM(EIA_electricity_aeo2014!E50,EIA_electricity_aeo2014!E55)*1000</f>
        <v>114.99999999999999</v>
      </c>
      <c r="D46" s="329">
        <f>SUM(EIA_electricity_aeo2014!F50,EIA_electricity_aeo2014!F55)*1000</f>
        <v>158</v>
      </c>
      <c r="E46" s="329">
        <f>SUM(EIA_electricity_aeo2014!G50,EIA_electricity_aeo2014!G55)*1000</f>
        <v>14.195218823351702</v>
      </c>
      <c r="F46" s="329">
        <f>SUM(EIA_electricity_aeo2014!H50,EIA_electricity_aeo2014!H55)*1000</f>
        <v>-2.2755487579813605</v>
      </c>
      <c r="G46" s="329">
        <f>SUM(EIA_electricity_aeo2014!I50,EIA_electricity_aeo2014!I55)*1000</f>
        <v>107.56518966899057</v>
      </c>
      <c r="H46" s="285">
        <f>SUM(EIA_electricity_aeo2014!J50,EIA_electricity_aeo2014!J55)*1000</f>
        <v>109.18691003946373</v>
      </c>
      <c r="I46" s="285">
        <f>SUM(EIA_electricity_aeo2014!K50,EIA_electricity_aeo2014!K55)*1000</f>
        <v>112.97399981611734</v>
      </c>
      <c r="J46" s="285">
        <f>SUM(EIA_electricity_aeo2014!L50,EIA_electricity_aeo2014!L55)*1000</f>
        <v>103.91213038260514</v>
      </c>
      <c r="K46" s="285">
        <f>SUM(EIA_electricity_aeo2014!M50,EIA_electricity_aeo2014!M55)*1000</f>
        <v>106.95986718305116</v>
      </c>
      <c r="L46" s="285">
        <f>SUM(EIA_electricity_aeo2014!N50,EIA_electricity_aeo2014!N55)*1000</f>
        <v>109.84346519469045</v>
      </c>
      <c r="M46" s="285">
        <f>SUM(EIA_electricity_aeo2014!O50,EIA_electricity_aeo2014!O55)*1000</f>
        <v>110.05106676929061</v>
      </c>
      <c r="N46" s="285">
        <f>SUM(EIA_electricity_aeo2014!P50,EIA_electricity_aeo2014!P55)*1000</f>
        <v>109.71064874871819</v>
      </c>
      <c r="O46" s="285">
        <f>SUM(EIA_electricity_aeo2014!Q50,EIA_electricity_aeo2014!Q55)*1000</f>
        <v>111.51961742101865</v>
      </c>
      <c r="P46" s="285">
        <f>SUM(EIA_electricity_aeo2014!R50,EIA_electricity_aeo2014!R55)*1000</f>
        <v>112.47884224421506</v>
      </c>
      <c r="Q46" s="285">
        <f>SUM(EIA_electricity_aeo2014!S50,EIA_electricity_aeo2014!S55)*1000</f>
        <v>112.33291411984698</v>
      </c>
      <c r="R46" s="285">
        <f>SUM(EIA_electricity_aeo2014!T50,EIA_electricity_aeo2014!T55)*1000</f>
        <v>115.30368051193246</v>
      </c>
      <c r="S46" s="285">
        <f>SUM(EIA_electricity_aeo2014!U50,EIA_electricity_aeo2014!U55)*1000</f>
        <v>116.27868578508078</v>
      </c>
      <c r="T46" s="285">
        <f>SUM(EIA_electricity_aeo2014!V50,EIA_electricity_aeo2014!V55)*1000</f>
        <v>116.62655424695839</v>
      </c>
      <c r="U46" s="285">
        <f>SUM(EIA_electricity_aeo2014!W50,EIA_electricity_aeo2014!W55)*1000</f>
        <v>117.79503016854579</v>
      </c>
      <c r="V46" s="285">
        <f>SUM(EIA_electricity_aeo2014!X50,EIA_electricity_aeo2014!X55)*1000</f>
        <v>118.70385413574222</v>
      </c>
      <c r="W46" s="285">
        <f>SUM(EIA_electricity_aeo2014!Y50,EIA_electricity_aeo2014!Y55)*1000</f>
        <v>121.10800238561707</v>
      </c>
      <c r="X46" s="285">
        <f>SUM(EIA_electricity_aeo2014!Z50,EIA_electricity_aeo2014!Z55)*1000</f>
        <v>121.41762142697478</v>
      </c>
      <c r="Y46" s="285">
        <f>SUM(EIA_electricity_aeo2014!AA50,EIA_electricity_aeo2014!AA55)*1000</f>
        <v>121.31542430322484</v>
      </c>
      <c r="Z46" s="285">
        <f>SUM(EIA_electricity_aeo2014!AB50,EIA_electricity_aeo2014!AB55)*1000</f>
        <v>121.23765946443145</v>
      </c>
      <c r="AA46" s="285">
        <f>SUM(EIA_electricity_aeo2014!AC50,EIA_electricity_aeo2014!AC55)*1000</f>
        <v>120.17249334530247</v>
      </c>
      <c r="AB46" s="285">
        <f>SUM(EIA_electricity_aeo2014!AD50,EIA_electricity_aeo2014!AD55)*1000</f>
        <v>120.09293567182608</v>
      </c>
      <c r="AC46" s="285">
        <f>SUM(EIA_electricity_aeo2014!AE50,EIA_electricity_aeo2014!AE55)*1000</f>
        <v>120.09458027011978</v>
      </c>
      <c r="AD46" s="285">
        <f>SUM(EIA_electricity_aeo2014!AF50,EIA_electricity_aeo2014!AF55)*1000</f>
        <v>120.07175058576593</v>
      </c>
      <c r="AE46" s="285">
        <f>SUM(EIA_electricity_aeo2014!AG50,EIA_electricity_aeo2014!AG55)*1000</f>
        <v>120.3119739426795</v>
      </c>
      <c r="AF46" s="285">
        <f>SUM(EIA_electricity_aeo2014!AH50,EIA_electricity_aeo2014!AH55)*1000</f>
        <v>120.23443920976261</v>
      </c>
      <c r="AG46" s="285">
        <f>SUM(EIA_electricity_aeo2014!AI50,EIA_electricity_aeo2014!AI55)*1000</f>
        <v>120.18766990956247</v>
      </c>
      <c r="AH46" s="285">
        <f>SUM(EIA_electricity_aeo2014!AJ50,EIA_electricity_aeo2014!AJ55)*1000</f>
        <v>120.12251101402501</v>
      </c>
      <c r="AI46" s="291"/>
    </row>
    <row r="47" spans="1:36" s="251" customFormat="1">
      <c r="A47" s="10" t="s">
        <v>142</v>
      </c>
      <c r="B47" s="37"/>
      <c r="C47" s="329">
        <f>(C$14-C$43-C$46)*0.7</f>
        <v>52535</v>
      </c>
      <c r="D47" s="329">
        <f>(D$14-D$30-D$43-D$46)*EIA_electricity_aeo2014!F60</f>
        <v>73189.393588161853</v>
      </c>
      <c r="E47" s="329">
        <f>(E$14-E$30-E$43-E$46)*EIA_electricity_aeo2014!G60</f>
        <v>76555.224981034044</v>
      </c>
      <c r="F47" s="329">
        <f>(F$14-F$30-F$43-F$46)*EIA_electricity_aeo2014!H60</f>
        <v>71698.584309550177</v>
      </c>
      <c r="G47" s="329">
        <f>(G$14-G$30-G$43-G$46)*EIA_electricity_aeo2014!I60</f>
        <v>74519.582123922533</v>
      </c>
      <c r="H47" s="285">
        <f>(H$14-H$30-H$43-H$46)*EIA_electricity_aeo2014!J60</f>
        <v>77068.081046828796</v>
      </c>
      <c r="I47" s="285">
        <f>(I$14-I$30-I$43-I$46)*EIA_electricity_aeo2014!K60</f>
        <v>79160.355065997283</v>
      </c>
      <c r="J47" s="285">
        <f>(J$14-J$30-J$43-J$46)*EIA_electricity_aeo2014!L60</f>
        <v>74438.708944571626</v>
      </c>
      <c r="K47" s="285">
        <f>(K$14-K$30-K$43-K$46)*EIA_electricity_aeo2014!M60</f>
        <v>75975.144304864691</v>
      </c>
      <c r="L47" s="285">
        <f>(L$14-L$30-L$43-L$46)*EIA_electricity_aeo2014!N60</f>
        <v>77216.745971298544</v>
      </c>
      <c r="M47" s="285">
        <f>(M$14-M$30-M$43-M$46)*EIA_electricity_aeo2014!O60</f>
        <v>76764.552645553296</v>
      </c>
      <c r="N47" s="286">
        <f>(N$14-N$43-N$46)*EIA_electricity_aeo2014!P60 - N30</f>
        <v>75814.141423834677</v>
      </c>
      <c r="O47" s="285">
        <f>(O$14-O$43-O$46)*EIA_electricity_aeo2014!Q60 - O30</f>
        <v>76396.731784927397</v>
      </c>
      <c r="P47" s="285">
        <f>(P$14-P$43-P$46)*EIA_electricity_aeo2014!R60 - P30</f>
        <v>76729.686116440513</v>
      </c>
      <c r="Q47" s="285">
        <f>(Q$14-Q$43-Q$46)*EIA_electricity_aeo2014!S60 - Q30</f>
        <v>76563.245731418501</v>
      </c>
      <c r="R47" s="285">
        <f>(R$14-R$43-R$46)*EIA_electricity_aeo2014!T60 - R30</f>
        <v>77880.297597172204</v>
      </c>
      <c r="S47" s="285">
        <f>(S$14-S$43-S$46)*EIA_electricity_aeo2014!U60 - S30</f>
        <v>78121.878432723577</v>
      </c>
      <c r="T47" s="285">
        <f>(T$14-T$43-T$46)*EIA_electricity_aeo2014!V60 - T30</f>
        <v>78106.757063629018</v>
      </c>
      <c r="U47" s="285">
        <f>(U$14-U$43-U$46)*EIA_electricity_aeo2014!W60 - U30</f>
        <v>78392.792894455604</v>
      </c>
      <c r="V47" s="285">
        <f>(V$14-V$43-V$46)*EIA_electricity_aeo2014!X60 - V30</f>
        <v>78575.040924077752</v>
      </c>
      <c r="W47" s="285">
        <f>(W$14-W$43-W$46)*EIA_electricity_aeo2014!Y60 - W30</f>
        <v>79573.021762761855</v>
      </c>
      <c r="X47" s="286">
        <f>(X$14-X$43-X$46)*EIA_electricity_aeo2014!Z60 - X30</f>
        <v>79637.178549031771</v>
      </c>
      <c r="Y47" s="285">
        <f>(Y$14-Y$43-Y$46)*EIA_electricity_aeo2014!AA60 - Y30</f>
        <v>78653.076205687103</v>
      </c>
      <c r="Z47" s="285">
        <f>(Z$14-Z$43-Z$46)*EIA_electricity_aeo2014!AB60 - Z30</f>
        <v>77774.885169198766</v>
      </c>
      <c r="AA47" s="285">
        <f>(AA$14-AA$43-AA$46)*EIA_electricity_aeo2014!AC60 - AA30</f>
        <v>76846.796415434626</v>
      </c>
      <c r="AB47" s="285">
        <f>(AB$14-AB$43-AB$46)*EIA_electricity_aeo2014!AD60 - AB30</f>
        <v>75931.71745413437</v>
      </c>
      <c r="AC47" s="285">
        <f>(AC$14-AC$43-AC$46)*EIA_electricity_aeo2014!AE60 - AC30</f>
        <v>75018.477071165617</v>
      </c>
      <c r="AD47" s="285">
        <f>(AD$14-AD$43-AD$46)*EIA_electricity_aeo2014!AF60 - AD30</f>
        <v>74118.645128044445</v>
      </c>
      <c r="AE47" s="285">
        <f>(AE$14-AE$43-AE$46)*EIA_electricity_aeo2014!AG60 - AE30</f>
        <v>73220.957050157493</v>
      </c>
      <c r="AF47" s="285">
        <f>(AF$14-AF$43-AF$46)*EIA_electricity_aeo2014!AH60 - AF30</f>
        <v>72343.950971193481</v>
      </c>
      <c r="AG47" s="285">
        <f>(AG$14-AG$43-AG$46)*EIA_electricity_aeo2014!AI60 - AG30</f>
        <v>71477.911005408198</v>
      </c>
      <c r="AH47" s="286">
        <f>(AH$14-AH$43-AH$46)*EIA_electricity_aeo2014!AJ60 - AH30</f>
        <v>70642.415951782648</v>
      </c>
      <c r="AI47" s="291"/>
      <c r="AJ47" s="397"/>
    </row>
    <row r="48" spans="1:36" s="251" customFormat="1">
      <c r="A48" s="10" t="s">
        <v>222</v>
      </c>
      <c r="B48" s="37"/>
      <c r="C48" s="329">
        <f>(C$14-C$43-C$46)* 0.3</f>
        <v>22515</v>
      </c>
      <c r="D48" s="329">
        <f t="shared" ref="D48:AH48" si="32">(D$14-SUM(D30:D42,D46:D47))</f>
        <v>4573.910428511168</v>
      </c>
      <c r="E48" s="329">
        <f t="shared" si="32"/>
        <v>3599.8561390235263</v>
      </c>
      <c r="F48" s="329">
        <f>(F$14-SUM(F30:F42,F46:F47))</f>
        <v>4919.9725187508884</v>
      </c>
      <c r="G48" s="329">
        <f t="shared" si="32"/>
        <v>1692.0903349213913</v>
      </c>
      <c r="H48" s="285">
        <f t="shared" si="32"/>
        <v>1882.4745031711936</v>
      </c>
      <c r="I48" s="285">
        <f t="shared" si="32"/>
        <v>2264.0992761449015</v>
      </c>
      <c r="J48" s="285">
        <f t="shared" si="32"/>
        <v>3107.4518368511926</v>
      </c>
      <c r="K48" s="285">
        <f t="shared" si="32"/>
        <v>2860.9479977868759</v>
      </c>
      <c r="L48" s="285">
        <f t="shared" si="32"/>
        <v>2823.3958462699666</v>
      </c>
      <c r="M48" s="285">
        <f t="shared" si="32"/>
        <v>2827.6989999207435</v>
      </c>
      <c r="N48" s="286">
        <f t="shared" si="32"/>
        <v>2868.3401164072129</v>
      </c>
      <c r="O48" s="285">
        <f t="shared" si="32"/>
        <v>3170.5407923045568</v>
      </c>
      <c r="P48" s="285">
        <f t="shared" si="32"/>
        <v>3776.6012763511826</v>
      </c>
      <c r="Q48" s="285">
        <f t="shared" si="32"/>
        <v>3535.8118601997703</v>
      </c>
      <c r="R48" s="285">
        <f t="shared" si="32"/>
        <v>3296.699425864208</v>
      </c>
      <c r="S48" s="285">
        <f t="shared" si="32"/>
        <v>3656.9799033572635</v>
      </c>
      <c r="T48" s="285">
        <f t="shared" si="32"/>
        <v>4123.8279535027832</v>
      </c>
      <c r="U48" s="285">
        <f t="shared" si="32"/>
        <v>4365.9539513010241</v>
      </c>
      <c r="V48" s="285">
        <f t="shared" si="32"/>
        <v>4784.4323073442938</v>
      </c>
      <c r="W48" s="285">
        <f t="shared" si="32"/>
        <v>5046.472228259503</v>
      </c>
      <c r="X48" s="286">
        <f t="shared" si="32"/>
        <v>5301.5581010074238</v>
      </c>
      <c r="Y48" s="285">
        <f t="shared" si="32"/>
        <v>5628.6273047266004</v>
      </c>
      <c r="Z48" s="285">
        <f t="shared" si="32"/>
        <v>5317.6486512039555</v>
      </c>
      <c r="AA48" s="285">
        <f t="shared" si="32"/>
        <v>5649.039787998161</v>
      </c>
      <c r="AB48" s="285">
        <f t="shared" si="32"/>
        <v>5924.9139238333155</v>
      </c>
      <c r="AC48" s="285">
        <f t="shared" si="32"/>
        <v>6074.8390061932732</v>
      </c>
      <c r="AD48" s="285">
        <f t="shared" si="32"/>
        <v>6113.8451652107033</v>
      </c>
      <c r="AE48" s="285">
        <f t="shared" si="32"/>
        <v>6138.6797046027787</v>
      </c>
      <c r="AF48" s="285">
        <f t="shared" si="32"/>
        <v>5990.0261301287683</v>
      </c>
      <c r="AG48" s="285">
        <f t="shared" si="32"/>
        <v>6166.5524313736678</v>
      </c>
      <c r="AH48" s="286">
        <f t="shared" si="32"/>
        <v>6921.8378222234605</v>
      </c>
      <c r="AI48" s="291"/>
    </row>
    <row r="49" spans="1:35" s="251" customFormat="1">
      <c r="A49" s="10" t="s">
        <v>334</v>
      </c>
      <c r="B49" s="37"/>
      <c r="C49" s="329">
        <f>SUM(C43,C46:C48)</f>
        <v>87780</v>
      </c>
      <c r="D49" s="329">
        <f t="shared" ref="D49:M49" si="33">SUM(D43,D46:D48)+D30</f>
        <v>91417.999999999985</v>
      </c>
      <c r="E49" s="329">
        <f t="shared" si="33"/>
        <v>94046.09357407724</v>
      </c>
      <c r="F49" s="329">
        <f t="shared" si="33"/>
        <v>90573.784274012505</v>
      </c>
      <c r="G49" s="329">
        <f t="shared" si="33"/>
        <v>91242.844410161706</v>
      </c>
      <c r="H49" s="285">
        <f>SUM(H43,H46:H48)+H30</f>
        <v>92721.202265491374</v>
      </c>
      <c r="I49" s="285">
        <f t="shared" si="33"/>
        <v>96045.173325268042</v>
      </c>
      <c r="J49" s="285">
        <f t="shared" si="33"/>
        <v>91899.590125834526</v>
      </c>
      <c r="K49" s="285">
        <f t="shared" si="33"/>
        <v>93928.205112634969</v>
      </c>
      <c r="L49" s="285">
        <f t="shared" si="33"/>
        <v>95970.599660646607</v>
      </c>
      <c r="M49" s="285">
        <f t="shared" si="33"/>
        <v>96214.445202221221</v>
      </c>
      <c r="N49" s="286">
        <f t="shared" ref="N49:AH49" si="34">SUM(N43,N46:N48)+N30</f>
        <v>96205.086304200639</v>
      </c>
      <c r="O49" s="285">
        <f t="shared" si="34"/>
        <v>97301.03619287294</v>
      </c>
      <c r="P49" s="285">
        <f t="shared" si="34"/>
        <v>98464.47858769614</v>
      </c>
      <c r="Q49" s="285">
        <f t="shared" si="34"/>
        <v>97984.669769571759</v>
      </c>
      <c r="R49" s="285">
        <f t="shared" si="34"/>
        <v>99324.969805963861</v>
      </c>
      <c r="S49" s="285">
        <f t="shared" si="34"/>
        <v>100083.81011123699</v>
      </c>
      <c r="T49" s="285">
        <f t="shared" si="34"/>
        <v>100660.95387969889</v>
      </c>
      <c r="U49" s="285">
        <f t="shared" si="34"/>
        <v>101335.10892562049</v>
      </c>
      <c r="V49" s="285">
        <f t="shared" si="34"/>
        <v>102100.38417958764</v>
      </c>
      <c r="W49" s="285">
        <f t="shared" si="34"/>
        <v>103676.80505783756</v>
      </c>
      <c r="X49" s="286">
        <f t="shared" si="34"/>
        <v>104102.9772568789</v>
      </c>
      <c r="Y49" s="285">
        <f t="shared" si="34"/>
        <v>104464.60056975513</v>
      </c>
      <c r="Z49" s="285">
        <f t="shared" si="34"/>
        <v>104156.08581491635</v>
      </c>
      <c r="AA49" s="285">
        <f t="shared" si="34"/>
        <v>104505.19988879721</v>
      </c>
      <c r="AB49" s="285">
        <f t="shared" si="34"/>
        <v>104811.36141112373</v>
      </c>
      <c r="AC49" s="285">
        <f t="shared" si="34"/>
        <v>104991.73027572203</v>
      </c>
      <c r="AD49" s="285">
        <f t="shared" si="34"/>
        <v>105054.8353860377</v>
      </c>
      <c r="AE49" s="285">
        <f t="shared" si="34"/>
        <v>105117.29568939461</v>
      </c>
      <c r="AF49" s="285">
        <f t="shared" si="34"/>
        <v>104978.62417466169</v>
      </c>
      <c r="AG49" s="285">
        <f t="shared" si="34"/>
        <v>105293.98610536149</v>
      </c>
      <c r="AH49" s="286">
        <f t="shared" si="34"/>
        <v>106453.94011646594</v>
      </c>
      <c r="AI49" s="291"/>
    </row>
    <row r="50" spans="1:35">
      <c r="A50" s="10"/>
      <c r="B50" s="37"/>
      <c r="C50" s="331" t="b">
        <f t="shared" ref="C50:AH50" si="35">(C49=C14)</f>
        <v>1</v>
      </c>
      <c r="D50" s="331" t="b">
        <f t="shared" si="35"/>
        <v>1</v>
      </c>
      <c r="E50" s="331" t="b">
        <f t="shared" si="35"/>
        <v>1</v>
      </c>
      <c r="F50" s="331" t="b">
        <f t="shared" si="35"/>
        <v>1</v>
      </c>
      <c r="G50" s="331" t="b">
        <f t="shared" si="35"/>
        <v>1</v>
      </c>
      <c r="H50" s="283"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543</v>
      </c>
      <c r="B51" s="37"/>
      <c r="C51" s="331"/>
      <c r="D51" s="331">
        <f>D44/C44-1</f>
        <v>0.79092640486787325</v>
      </c>
      <c r="E51" s="331">
        <f t="shared" ref="E51:X51" si="36">E44/D44-1</f>
        <v>7.7157014723839845E-2</v>
      </c>
      <c r="F51" s="331">
        <f t="shared" si="36"/>
        <v>0.57141457688912256</v>
      </c>
      <c r="G51" s="331">
        <f>G44/F44-1</f>
        <v>0.55637183975105198</v>
      </c>
      <c r="H51" s="283"/>
      <c r="I51" s="164">
        <f t="shared" ref="I51:N51" si="37">I44/H44-1</f>
        <v>9.4141846934475248E-2</v>
      </c>
      <c r="J51" s="172">
        <f t="shared" si="37"/>
        <v>1.6956365105629922E-2</v>
      </c>
      <c r="K51" s="172">
        <f t="shared" si="37"/>
        <v>9.7576425443255177E-2</v>
      </c>
      <c r="L51" s="172">
        <f t="shared" si="37"/>
        <v>0.11626692672840733</v>
      </c>
      <c r="M51" s="172">
        <f t="shared" si="37"/>
        <v>0.12584231163560156</v>
      </c>
      <c r="N51" s="172">
        <f t="shared" si="37"/>
        <v>0.17041725638271954</v>
      </c>
      <c r="O51" s="172">
        <f t="shared" ref="O51:R51" si="38">O44/N44-1</f>
        <v>3.0164779176221401E-2</v>
      </c>
      <c r="P51" s="172">
        <f t="shared" si="38"/>
        <v>3.072874021581451E-2</v>
      </c>
      <c r="Q51" s="172">
        <f t="shared" si="38"/>
        <v>1.3608663753903683E-2</v>
      </c>
      <c r="R51" s="172">
        <f t="shared" si="38"/>
        <v>3.2460245875597593E-2</v>
      </c>
      <c r="S51" s="164">
        <f t="shared" si="36"/>
        <v>2.6312936438431134E-2</v>
      </c>
      <c r="T51" s="164">
        <f t="shared" si="36"/>
        <v>2.4401088721480058E-2</v>
      </c>
      <c r="U51" s="164">
        <f t="shared" si="36"/>
        <v>2.5339317358606506E-2</v>
      </c>
      <c r="V51" s="164">
        <f t="shared" si="36"/>
        <v>2.6200250190999252E-2</v>
      </c>
      <c r="W51" s="164">
        <f t="shared" si="36"/>
        <v>3.4205806690884355E-2</v>
      </c>
      <c r="X51" s="185">
        <f t="shared" si="36"/>
        <v>2.2689871634654857E-2</v>
      </c>
      <c r="Y51" s="172">
        <f t="shared" ref="Y51:AH51" si="39">Y44/X44-1</f>
        <v>2.6740032335927699E-2</v>
      </c>
      <c r="Z51" s="172">
        <f t="shared" si="39"/>
        <v>1.8113783950184592E-2</v>
      </c>
      <c r="AA51" s="172">
        <f t="shared" si="39"/>
        <v>1.3964068287084075E-2</v>
      </c>
      <c r="AB51" s="172">
        <f t="shared" si="39"/>
        <v>1.3737988776316934E-2</v>
      </c>
      <c r="AC51" s="172">
        <f t="shared" si="39"/>
        <v>1.5603506372432463E-2</v>
      </c>
      <c r="AD51" s="172">
        <f t="shared" si="39"/>
        <v>1.4970875794158456E-2</v>
      </c>
      <c r="AE51" s="172">
        <f t="shared" si="39"/>
        <v>1.6228924509235965E-2</v>
      </c>
      <c r="AF51" s="172">
        <f t="shared" si="39"/>
        <v>1.428831793889862E-2</v>
      </c>
      <c r="AG51" s="172">
        <f t="shared" si="39"/>
        <v>1.866009066973473E-2</v>
      </c>
      <c r="AH51" s="185">
        <f t="shared" si="39"/>
        <v>2.6763867977801503E-2</v>
      </c>
      <c r="AI51" s="127"/>
    </row>
    <row r="52" spans="1:35">
      <c r="A52" s="10"/>
      <c r="B52" s="37"/>
      <c r="C52" s="331"/>
      <c r="D52" s="331"/>
      <c r="E52" s="331"/>
      <c r="F52" s="331"/>
      <c r="G52" s="331"/>
      <c r="H52" s="283"/>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8"/>
      <c r="AI52" s="127"/>
    </row>
    <row r="53" spans="1:35">
      <c r="A53" s="1" t="s">
        <v>542</v>
      </c>
      <c r="B53" s="37"/>
      <c r="C53" s="331"/>
      <c r="D53" s="331"/>
      <c r="E53" s="331"/>
      <c r="F53" s="331"/>
      <c r="G53" s="331"/>
      <c r="H53" s="283"/>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8"/>
      <c r="AI53" s="127"/>
    </row>
    <row r="54" spans="1:35">
      <c r="A54" s="9" t="s">
        <v>282</v>
      </c>
      <c r="B54" s="37"/>
      <c r="C54" s="331"/>
      <c r="D54" s="331"/>
      <c r="E54" s="331"/>
      <c r="F54" s="331"/>
      <c r="G54" s="331"/>
      <c r="H54" s="283"/>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8"/>
      <c r="AI54" s="127"/>
    </row>
    <row r="55" spans="1:35">
      <c r="A55" s="20" t="s">
        <v>122</v>
      </c>
      <c r="B55" s="37"/>
      <c r="C55" s="331"/>
      <c r="D55" s="331"/>
      <c r="E55" s="331"/>
      <c r="F55" s="331"/>
      <c r="G55" s="331"/>
      <c r="H55" s="283"/>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8"/>
      <c r="AI55" s="127"/>
    </row>
    <row r="56" spans="1:35">
      <c r="A56" s="9" t="s">
        <v>49</v>
      </c>
      <c r="B56" s="37"/>
      <c r="C56" s="335">
        <f t="shared" ref="C56:M56" si="40">C31/C$49</f>
        <v>2.0699362041467304E-2</v>
      </c>
      <c r="D56" s="335">
        <f t="shared" si="40"/>
        <v>2.161648718397971E-2</v>
      </c>
      <c r="E56" s="335">
        <f t="shared" si="40"/>
        <v>2.253361232649212E-2</v>
      </c>
      <c r="F56" s="335">
        <f t="shared" si="40"/>
        <v>2.3450737469004525E-2</v>
      </c>
      <c r="G56" s="335">
        <f t="shared" si="40"/>
        <v>2.4367862611516931E-2</v>
      </c>
      <c r="H56" s="395">
        <f t="shared" si="40"/>
        <v>1.799129820624484E-2</v>
      </c>
      <c r="I56" s="173">
        <f t="shared" si="40"/>
        <v>2.0124038273387997E-2</v>
      </c>
      <c r="J56" s="173">
        <f t="shared" si="40"/>
        <v>2.2256778340531153E-2</v>
      </c>
      <c r="K56" s="173">
        <f t="shared" si="40"/>
        <v>2.438951840767431E-2</v>
      </c>
      <c r="L56" s="173">
        <f t="shared" si="40"/>
        <v>2.6522258474817463E-2</v>
      </c>
      <c r="M56" s="173">
        <f t="shared" si="40"/>
        <v>2.865499854196062E-2</v>
      </c>
      <c r="N56" s="178">
        <f>N26</f>
        <v>3.0787738609103787E-2</v>
      </c>
      <c r="O56" s="116">
        <f t="shared" ref="O56:AH56" si="41">O31/O$49</f>
        <v>3.059572827414293E-2</v>
      </c>
      <c r="P56" s="116">
        <f t="shared" si="41"/>
        <v>3.0403717939182073E-2</v>
      </c>
      <c r="Q56" s="116">
        <f t="shared" si="41"/>
        <v>3.0211707604221216E-2</v>
      </c>
      <c r="R56" s="116">
        <f t="shared" si="41"/>
        <v>3.0019697269260355E-2</v>
      </c>
      <c r="S56" s="116">
        <f t="shared" si="41"/>
        <v>2.9827686934299498E-2</v>
      </c>
      <c r="T56" s="116">
        <f t="shared" si="41"/>
        <v>2.9635676599338641E-2</v>
      </c>
      <c r="U56" s="116">
        <f t="shared" si="41"/>
        <v>2.9443666264377784E-2</v>
      </c>
      <c r="V56" s="116">
        <f t="shared" si="41"/>
        <v>2.925165592941693E-2</v>
      </c>
      <c r="W56" s="116">
        <f t="shared" si="41"/>
        <v>2.9059645594456073E-2</v>
      </c>
      <c r="X56" s="178">
        <f t="shared" si="41"/>
        <v>2.8867635259495199E-2</v>
      </c>
      <c r="Y56" s="173">
        <f t="shared" si="41"/>
        <v>3.0683986616205316E-2</v>
      </c>
      <c r="Z56" s="173">
        <f t="shared" si="41"/>
        <v>3.2500337972915433E-2</v>
      </c>
      <c r="AA56" s="173">
        <f t="shared" si="41"/>
        <v>3.4316689329625547E-2</v>
      </c>
      <c r="AB56" s="173">
        <f t="shared" si="41"/>
        <v>3.613304068633566E-2</v>
      </c>
      <c r="AC56" s="173">
        <f t="shared" si="41"/>
        <v>3.7949392043045774E-2</v>
      </c>
      <c r="AD56" s="173">
        <f t="shared" si="41"/>
        <v>3.9765743399755887E-2</v>
      </c>
      <c r="AE56" s="173">
        <f t="shared" si="41"/>
        <v>4.1582094756466001E-2</v>
      </c>
      <c r="AF56" s="173">
        <f t="shared" si="41"/>
        <v>4.3398446113176115E-2</v>
      </c>
      <c r="AG56" s="173">
        <f t="shared" si="41"/>
        <v>4.5214797469886228E-2</v>
      </c>
      <c r="AH56" s="178">
        <f t="shared" si="41"/>
        <v>4.7031148826596342E-2</v>
      </c>
      <c r="AI56" s="127"/>
    </row>
    <row r="57" spans="1:35">
      <c r="A57" s="9" t="s">
        <v>59</v>
      </c>
      <c r="B57" s="37"/>
      <c r="C57" s="335">
        <f t="shared" ref="C57:M57" si="42">C32/C$49</f>
        <v>0.11673501936659832</v>
      </c>
      <c r="D57" s="335">
        <f t="shared" si="42"/>
        <v>0.11522612176590669</v>
      </c>
      <c r="E57" s="335">
        <f t="shared" si="42"/>
        <v>0.11371722416521508</v>
      </c>
      <c r="F57" s="335">
        <f t="shared" si="42"/>
        <v>0.11220832656452348</v>
      </c>
      <c r="G57" s="335">
        <f t="shared" si="42"/>
        <v>0.11069942896383185</v>
      </c>
      <c r="H57" s="395">
        <f t="shared" si="42"/>
        <v>0.10042613957202286</v>
      </c>
      <c r="I57" s="116">
        <f t="shared" si="42"/>
        <v>0.10037797393651746</v>
      </c>
      <c r="J57" s="116">
        <f t="shared" si="42"/>
        <v>0.10032980830101207</v>
      </c>
      <c r="K57" s="116">
        <f t="shared" si="42"/>
        <v>0.10028164266550667</v>
      </c>
      <c r="L57" s="116">
        <f t="shared" si="42"/>
        <v>0.10023347703000125</v>
      </c>
      <c r="M57" s="116">
        <f t="shared" si="42"/>
        <v>0.10018531139449587</v>
      </c>
      <c r="N57" s="178">
        <f>N18</f>
        <v>0.10013714575899048</v>
      </c>
      <c r="O57" s="116">
        <f t="shared" ref="O57:AH57" si="43">O32/O$49</f>
        <v>9.9512631982797681E-2</v>
      </c>
      <c r="P57" s="116">
        <f t="shared" si="43"/>
        <v>9.8888118206604883E-2</v>
      </c>
      <c r="Q57" s="116">
        <f t="shared" si="43"/>
        <v>9.8263604430412099E-2</v>
      </c>
      <c r="R57" s="116">
        <f t="shared" si="43"/>
        <v>9.7639090654219288E-2</v>
      </c>
      <c r="S57" s="116">
        <f t="shared" si="43"/>
        <v>9.701457687802649E-2</v>
      </c>
      <c r="T57" s="116">
        <f t="shared" si="43"/>
        <v>9.6390063101833692E-2</v>
      </c>
      <c r="U57" s="116">
        <f t="shared" si="43"/>
        <v>9.5765549325640895E-2</v>
      </c>
      <c r="V57" s="116">
        <f t="shared" si="43"/>
        <v>9.5141035549448097E-2</v>
      </c>
      <c r="W57" s="116">
        <f>W32/W$49</f>
        <v>9.4516521773255299E-2</v>
      </c>
      <c r="X57" s="178">
        <f t="shared" si="43"/>
        <v>9.3892007997062543E-2</v>
      </c>
      <c r="Y57" s="173">
        <f t="shared" si="43"/>
        <v>9.9799692314696653E-2</v>
      </c>
      <c r="Z57" s="173">
        <f t="shared" si="43"/>
        <v>0.10570737663233076</v>
      </c>
      <c r="AA57" s="173">
        <f t="shared" si="43"/>
        <v>0.11161506094996487</v>
      </c>
      <c r="AB57" s="173">
        <f t="shared" si="43"/>
        <v>0.11752274526759898</v>
      </c>
      <c r="AC57" s="173">
        <f t="shared" si="43"/>
        <v>0.12343042958523309</v>
      </c>
      <c r="AD57" s="173">
        <f t="shared" si="43"/>
        <v>0.1293381139028672</v>
      </c>
      <c r="AE57" s="173">
        <f t="shared" si="43"/>
        <v>0.13524579822050131</v>
      </c>
      <c r="AF57" s="173">
        <f t="shared" si="43"/>
        <v>0.14115348253813542</v>
      </c>
      <c r="AG57" s="173">
        <f t="shared" si="43"/>
        <v>0.14706116685576953</v>
      </c>
      <c r="AH57" s="178">
        <f t="shared" si="43"/>
        <v>0.15296885117340367</v>
      </c>
      <c r="AI57" s="127"/>
    </row>
    <row r="58" spans="1:35">
      <c r="A58" s="9" t="s">
        <v>121</v>
      </c>
      <c r="B58" s="37"/>
      <c r="C58" s="335">
        <f>C34/C$49</f>
        <v>2.27842333105491E-5</v>
      </c>
      <c r="D58" s="335">
        <f t="shared" ref="D58:G59" si="44">C58*($N71)</f>
        <v>4.1650364206850181E-5</v>
      </c>
      <c r="E58" s="335">
        <f t="shared" si="44"/>
        <v>7.613830208454177E-5</v>
      </c>
      <c r="F58" s="335">
        <f t="shared" si="44"/>
        <v>1.391834418428328E-4</v>
      </c>
      <c r="G58" s="335">
        <f t="shared" si="44"/>
        <v>2.5443213143507037E-4</v>
      </c>
      <c r="H58" s="395">
        <f>H34/H$49</f>
        <v>3.3094189085402267E-4</v>
      </c>
      <c r="I58" s="116">
        <f t="shared" ref="I58:N59" si="45">H58*($N71)</f>
        <v>6.0497318902505187E-4</v>
      </c>
      <c r="J58" s="116">
        <f t="shared" si="45"/>
        <v>1.1059118520616031E-3</v>
      </c>
      <c r="K58" s="116">
        <f t="shared" si="45"/>
        <v>2.0216450029815771E-3</v>
      </c>
      <c r="L58" s="116">
        <f t="shared" si="45"/>
        <v>3.6956367819563959E-3</v>
      </c>
      <c r="M58" s="116">
        <f t="shared" si="45"/>
        <v>6.7557514815935697E-3</v>
      </c>
      <c r="N58" s="178">
        <f t="shared" si="45"/>
        <v>1.2349746680704026E-2</v>
      </c>
      <c r="O58" s="116">
        <f t="shared" ref="O58:W58" si="46">N58*$X71</f>
        <v>1.2576974315202764E-2</v>
      </c>
      <c r="P58" s="116">
        <f t="shared" si="46"/>
        <v>1.2808382796419642E-2</v>
      </c>
      <c r="Q58" s="116">
        <f t="shared" si="46"/>
        <v>1.3044049049326042E-2</v>
      </c>
      <c r="R58" s="116">
        <f t="shared" si="46"/>
        <v>1.3284051414264825E-2</v>
      </c>
      <c r="S58" s="116">
        <f t="shared" si="46"/>
        <v>1.3528469672992293E-2</v>
      </c>
      <c r="T58" s="116">
        <f t="shared" si="46"/>
        <v>1.3777385075199289E-2</v>
      </c>
      <c r="U58" s="116">
        <f t="shared" si="46"/>
        <v>1.4030880365520278E-2</v>
      </c>
      <c r="V58" s="116">
        <f t="shared" si="46"/>
        <v>1.4289039811039383E-2</v>
      </c>
      <c r="W58" s="116">
        <f t="shared" si="46"/>
        <v>1.45519492293025E-2</v>
      </c>
      <c r="X58" s="178">
        <f t="shared" ref="X58:X66" si="47">X34/X$49</f>
        <v>1.4819696016844833E-2</v>
      </c>
      <c r="Y58" s="173">
        <f>X58*$AH71</f>
        <v>1.5049912480915499E-2</v>
      </c>
      <c r="Z58" s="173">
        <f t="shared" ref="Z58:AG58" si="48">Y58*$AH71</f>
        <v>1.5283705241036297E-2</v>
      </c>
      <c r="AA58" s="173">
        <f t="shared" si="48"/>
        <v>1.5521129853153192E-2</v>
      </c>
      <c r="AB58" s="173">
        <f t="shared" si="48"/>
        <v>1.5762242736245605E-2</v>
      </c>
      <c r="AC58" s="173">
        <f t="shared" si="48"/>
        <v>1.6007101185733192E-2</v>
      </c>
      <c r="AD58" s="173">
        <f t="shared" si="48"/>
        <v>1.6255763387090911E-2</v>
      </c>
      <c r="AE58" s="173">
        <f t="shared" si="48"/>
        <v>1.6508288429675572E-2</v>
      </c>
      <c r="AF58" s="173">
        <f t="shared" si="48"/>
        <v>1.6764736320767182E-2</v>
      </c>
      <c r="AG58" s="173">
        <f t="shared" si="48"/>
        <v>1.7025167999828426E-2</v>
      </c>
      <c r="AH58" s="178">
        <f t="shared" ref="AH58:AH66" si="49">AH34/AH$49</f>
        <v>1.7289645352985644E-2</v>
      </c>
      <c r="AI58" s="127"/>
    </row>
    <row r="59" spans="1:35">
      <c r="A59" s="9" t="s">
        <v>50</v>
      </c>
      <c r="B59" s="37"/>
      <c r="C59" s="335">
        <f t="shared" ref="C59:C65" si="50">C35/C$49</f>
        <v>0</v>
      </c>
      <c r="D59" s="335">
        <f t="shared" si="44"/>
        <v>0</v>
      </c>
      <c r="E59" s="335">
        <f t="shared" si="44"/>
        <v>0</v>
      </c>
      <c r="F59" s="335">
        <f t="shared" si="44"/>
        <v>0</v>
      </c>
      <c r="G59" s="335">
        <f t="shared" si="44"/>
        <v>0</v>
      </c>
      <c r="H59" s="395">
        <f>H35/H$49</f>
        <v>1.0785019775052855E-12</v>
      </c>
      <c r="I59" s="116">
        <f t="shared" si="45"/>
        <v>1.1148411954945889E-12</v>
      </c>
      <c r="J59" s="116">
        <f t="shared" si="45"/>
        <v>1.1524048329023237E-12</v>
      </c>
      <c r="K59" s="116">
        <f t="shared" si="45"/>
        <v>1.1912341455120534E-12</v>
      </c>
      <c r="L59" s="116">
        <f t="shared" si="45"/>
        <v>1.2313717791863058E-12</v>
      </c>
      <c r="M59" s="116">
        <f t="shared" si="45"/>
        <v>1.2728618167041167E-12</v>
      </c>
      <c r="N59" s="178">
        <f t="shared" si="45"/>
        <v>1.3157498261767234E-12</v>
      </c>
      <c r="O59" s="116">
        <f t="shared" ref="O59:V59" si="51">N59*$X72</f>
        <v>1.3399588021439308E-12</v>
      </c>
      <c r="P59" s="116">
        <f t="shared" si="51"/>
        <v>1.364613208166093E-12</v>
      </c>
      <c r="Q59" s="116">
        <f t="shared" si="51"/>
        <v>1.3897212398783385E-12</v>
      </c>
      <c r="R59" s="116">
        <f t="shared" si="51"/>
        <v>1.4152912437103689E-12</v>
      </c>
      <c r="S59" s="116">
        <f t="shared" si="51"/>
        <v>1.4413317196609856E-12</v>
      </c>
      <c r="T59" s="116">
        <f t="shared" si="51"/>
        <v>1.4678513241236654E-12</v>
      </c>
      <c r="U59" s="116">
        <f t="shared" si="51"/>
        <v>1.4948588727641243E-12</v>
      </c>
      <c r="V59" s="116">
        <f t="shared" si="51"/>
        <v>1.5223633434508281E-12</v>
      </c>
      <c r="W59" s="116">
        <f>V59*$X72</f>
        <v>1.5503738792394214E-12</v>
      </c>
      <c r="X59" s="178">
        <f t="shared" si="47"/>
        <v>1.5788997914120681E-12</v>
      </c>
      <c r="Y59" s="173">
        <f>X59*$AH72</f>
        <v>1.6034271991731746E-12</v>
      </c>
      <c r="Z59" s="173">
        <f t="shared" ref="Z59:AG59" si="52">Y59*$AH72</f>
        <v>1.6283356277785118E-12</v>
      </c>
      <c r="AA59" s="173">
        <f t="shared" si="52"/>
        <v>1.6536309961937182E-12</v>
      </c>
      <c r="AB59" s="173">
        <f t="shared" si="52"/>
        <v>1.6793193153325626E-12</v>
      </c>
      <c r="AC59" s="173">
        <f t="shared" si="52"/>
        <v>1.7054066894853116E-12</v>
      </c>
      <c r="AD59" s="173">
        <f t="shared" si="52"/>
        <v>1.7318993177692862E-12</v>
      </c>
      <c r="AE59" s="173">
        <f t="shared" si="52"/>
        <v>1.7588034956019521E-12</v>
      </c>
      <c r="AF59" s="173">
        <f t="shared" si="52"/>
        <v>1.7861256161968936E-12</v>
      </c>
      <c r="AG59" s="173">
        <f t="shared" si="52"/>
        <v>1.8138721720830266E-12</v>
      </c>
      <c r="AH59" s="178">
        <f t="shared" si="49"/>
        <v>1.8420497566474129E-12</v>
      </c>
      <c r="AI59" s="127"/>
    </row>
    <row r="60" spans="1:35">
      <c r="A60" s="9" t="s">
        <v>119</v>
      </c>
      <c r="B60" s="37"/>
      <c r="C60" s="335">
        <f t="shared" si="50"/>
        <v>0</v>
      </c>
      <c r="D60" s="335">
        <v>0</v>
      </c>
      <c r="E60" s="335">
        <v>0</v>
      </c>
      <c r="F60" s="335">
        <v>0</v>
      </c>
      <c r="G60" s="335">
        <v>0</v>
      </c>
      <c r="H60" s="395">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5">
        <f t="shared" si="50"/>
        <v>5.6960583276372749E-4</v>
      </c>
      <c r="D61" s="335">
        <f t="shared" ref="D61:M61" si="56">C61*($N74)</f>
        <v>5.8879822272360439E-4</v>
      </c>
      <c r="E61" s="335">
        <f t="shared" si="56"/>
        <v>6.086372841379935E-4</v>
      </c>
      <c r="F61" s="335">
        <f t="shared" si="56"/>
        <v>6.2914480605823003E-4</v>
      </c>
      <c r="G61" s="335">
        <f t="shared" si="56"/>
        <v>6.5034331169942718E-4</v>
      </c>
      <c r="H61" s="395">
        <f t="shared" si="53"/>
        <v>1.236898904640545E-4</v>
      </c>
      <c r="I61" s="116">
        <f t="shared" si="56"/>
        <v>1.2785751740067208E-4</v>
      </c>
      <c r="J61" s="116">
        <f t="shared" si="56"/>
        <v>1.3216556902533532E-4</v>
      </c>
      <c r="K61" s="116">
        <f t="shared" si="56"/>
        <v>1.3661877682992504E-4</v>
      </c>
      <c r="L61" s="116">
        <f t="shared" si="56"/>
        <v>1.4122203172996559E-4</v>
      </c>
      <c r="M61" s="116">
        <f t="shared" si="56"/>
        <v>1.4598038943627067E-4</v>
      </c>
      <c r="N61" s="178">
        <f>M61*($N74)</f>
        <v>1.5089907600758208E-4</v>
      </c>
      <c r="O61" s="116">
        <f t="shared" ref="O61:W61" si="57">N61*$X74</f>
        <v>1.53675524867284E-4</v>
      </c>
      <c r="P61" s="116">
        <f t="shared" si="57"/>
        <v>1.5650305865390853E-4</v>
      </c>
      <c r="Q61" s="116">
        <f t="shared" si="57"/>
        <v>1.5938261729824159E-4</v>
      </c>
      <c r="R61" s="116">
        <f t="shared" si="57"/>
        <v>1.6231515802520916E-4</v>
      </c>
      <c r="S61" s="116">
        <f t="shared" si="57"/>
        <v>1.6530165567207866E-4</v>
      </c>
      <c r="T61" s="116">
        <f t="shared" si="57"/>
        <v>1.6834310301251513E-4</v>
      </c>
      <c r="U61" s="116">
        <f t="shared" si="57"/>
        <v>1.7144051108659964E-4</v>
      </c>
      <c r="V61" s="116">
        <f t="shared" si="57"/>
        <v>1.7459490953692007E-4</v>
      </c>
      <c r="W61" s="116">
        <f t="shared" si="57"/>
        <v>1.7780734695084554E-4</v>
      </c>
      <c r="X61" s="178">
        <f t="shared" si="47"/>
        <v>1.8107889120909851E-4</v>
      </c>
      <c r="Y61" s="173">
        <f t="shared" si="55"/>
        <v>1.8389185997745998E-4</v>
      </c>
      <c r="Z61" s="173">
        <f t="shared" si="55"/>
        <v>1.8674852678946939E-4</v>
      </c>
      <c r="AA61" s="173">
        <f t="shared" si="55"/>
        <v>1.8964957047208004E-4</v>
      </c>
      <c r="AB61" s="173">
        <f t="shared" si="55"/>
        <v>1.9259568039747772E-4</v>
      </c>
      <c r="AC61" s="173">
        <f t="shared" si="55"/>
        <v>1.9558755664689565E-4</v>
      </c>
      <c r="AD61" s="173">
        <f t="shared" si="55"/>
        <v>1.9862591017697406E-4</v>
      </c>
      <c r="AE61" s="173">
        <f t="shared" si="55"/>
        <v>2.0171146298870416E-4</v>
      </c>
      <c r="AF61" s="173">
        <f t="shared" si="55"/>
        <v>2.0484494829899646E-4</v>
      </c>
      <c r="AG61" s="173">
        <f t="shared" si="55"/>
        <v>2.0802711071491448E-4</v>
      </c>
      <c r="AH61" s="178">
        <f t="shared" si="49"/>
        <v>2.1125870641061493E-4</v>
      </c>
      <c r="AI61" s="127"/>
    </row>
    <row r="62" spans="1:35">
      <c r="A62" s="9" t="s">
        <v>347</v>
      </c>
      <c r="B62" s="37"/>
      <c r="C62" s="338">
        <f t="shared" si="50"/>
        <v>0</v>
      </c>
      <c r="D62" s="338">
        <f t="shared" ref="D62:N62" si="58">C62*($N75)</f>
        <v>0</v>
      </c>
      <c r="E62" s="338">
        <f t="shared" si="58"/>
        <v>0</v>
      </c>
      <c r="F62" s="338">
        <f t="shared" si="58"/>
        <v>0</v>
      </c>
      <c r="G62" s="338">
        <f t="shared" si="58"/>
        <v>0</v>
      </c>
      <c r="H62" s="395">
        <f t="shared" si="53"/>
        <v>2.1570039550105709E-6</v>
      </c>
      <c r="I62" s="116">
        <f t="shared" si="58"/>
        <v>2.2296823909891777E-6</v>
      </c>
      <c r="J62" s="116">
        <f t="shared" si="58"/>
        <v>2.3048096658046472E-6</v>
      </c>
      <c r="K62" s="116">
        <f t="shared" si="58"/>
        <v>2.3824682910241065E-6</v>
      </c>
      <c r="L62" s="116">
        <f t="shared" si="58"/>
        <v>2.4627435583726115E-6</v>
      </c>
      <c r="M62" s="116">
        <f t="shared" si="58"/>
        <v>2.5457236334082331E-6</v>
      </c>
      <c r="N62" s="178">
        <f t="shared" si="58"/>
        <v>2.6314996523534462E-6</v>
      </c>
      <c r="O62" s="116">
        <f t="shared" ref="O62:W62" si="59">N62*$X75</f>
        <v>2.679917604287861E-6</v>
      </c>
      <c r="P62" s="116">
        <f t="shared" si="59"/>
        <v>2.7292264163321853E-6</v>
      </c>
      <c r="Q62" s="116">
        <f t="shared" si="59"/>
        <v>2.7794424797566762E-6</v>
      </c>
      <c r="R62" s="116">
        <f t="shared" si="59"/>
        <v>2.8305824874207371E-6</v>
      </c>
      <c r="S62" s="116">
        <f t="shared" si="59"/>
        <v>2.8826634393219708E-6</v>
      </c>
      <c r="T62" s="116">
        <f t="shared" si="59"/>
        <v>2.9357026482473302E-6</v>
      </c>
      <c r="U62" s="116">
        <f t="shared" si="59"/>
        <v>2.9897177455282481E-6</v>
      </c>
      <c r="V62" s="116">
        <f t="shared" si="59"/>
        <v>3.0447266869016558E-6</v>
      </c>
      <c r="W62" s="116">
        <f t="shared" si="59"/>
        <v>3.1007477584788422E-6</v>
      </c>
      <c r="X62" s="178">
        <f t="shared" si="47"/>
        <v>3.1577995828241356E-6</v>
      </c>
      <c r="Y62" s="173">
        <f t="shared" si="55"/>
        <v>3.2068543983463485E-6</v>
      </c>
      <c r="Z62" s="173">
        <f t="shared" si="55"/>
        <v>3.256671255557023E-6</v>
      </c>
      <c r="AA62" s="173">
        <f t="shared" si="55"/>
        <v>3.3072619923874357E-6</v>
      </c>
      <c r="AB62" s="173">
        <f t="shared" si="55"/>
        <v>3.3586386306651246E-6</v>
      </c>
      <c r="AC62" s="173">
        <f t="shared" si="55"/>
        <v>3.4108133789706227E-6</v>
      </c>
      <c r="AD62" s="173">
        <f t="shared" si="55"/>
        <v>3.4637986355385719E-6</v>
      </c>
      <c r="AE62" s="173">
        <f t="shared" si="55"/>
        <v>3.5176069912039038E-6</v>
      </c>
      <c r="AF62" s="173">
        <f t="shared" si="55"/>
        <v>3.5722512323937867E-6</v>
      </c>
      <c r="AG62" s="173">
        <f t="shared" si="55"/>
        <v>3.6277443441660527E-6</v>
      </c>
      <c r="AH62" s="178">
        <f t="shared" si="49"/>
        <v>3.6840995132948253E-6</v>
      </c>
      <c r="AI62" s="127"/>
    </row>
    <row r="63" spans="1:35">
      <c r="A63" s="9" t="s">
        <v>348</v>
      </c>
      <c r="B63" s="37"/>
      <c r="C63" s="338">
        <f t="shared" si="50"/>
        <v>0</v>
      </c>
      <c r="D63" s="338">
        <f t="shared" ref="D63:N63" si="60">C63*($N76)</f>
        <v>0</v>
      </c>
      <c r="E63" s="338">
        <f t="shared" si="60"/>
        <v>0</v>
      </c>
      <c r="F63" s="338">
        <f t="shared" si="60"/>
        <v>0</v>
      </c>
      <c r="G63" s="338">
        <f t="shared" si="60"/>
        <v>0</v>
      </c>
      <c r="H63" s="395">
        <f t="shared" si="53"/>
        <v>1.0785019775052854E-6</v>
      </c>
      <c r="I63" s="116">
        <f t="shared" si="60"/>
        <v>1.1148411954945888E-6</v>
      </c>
      <c r="J63" s="116">
        <f t="shared" si="60"/>
        <v>1.1524048329023236E-6</v>
      </c>
      <c r="K63" s="116">
        <f t="shared" si="60"/>
        <v>1.1912341455120532E-6</v>
      </c>
      <c r="L63" s="116">
        <f t="shared" si="60"/>
        <v>1.2313717791863057E-6</v>
      </c>
      <c r="M63" s="116">
        <f t="shared" si="60"/>
        <v>1.2728618167041166E-6</v>
      </c>
      <c r="N63" s="178">
        <f t="shared" si="60"/>
        <v>1.3157498261767231E-6</v>
      </c>
      <c r="O63" s="116">
        <f t="shared" ref="O63:W63" si="61">N63*$X76</f>
        <v>1.3399588021439305E-6</v>
      </c>
      <c r="P63" s="116">
        <f t="shared" si="61"/>
        <v>1.3646132081660927E-6</v>
      </c>
      <c r="Q63" s="116">
        <f t="shared" si="61"/>
        <v>1.3897212398783381E-6</v>
      </c>
      <c r="R63" s="116">
        <f t="shared" si="61"/>
        <v>1.4152912437103685E-6</v>
      </c>
      <c r="S63" s="116">
        <f t="shared" si="61"/>
        <v>1.4413317196609854E-6</v>
      </c>
      <c r="T63" s="116">
        <f t="shared" si="61"/>
        <v>1.4678513241236651E-6</v>
      </c>
      <c r="U63" s="116">
        <f t="shared" si="61"/>
        <v>1.4948588727641241E-6</v>
      </c>
      <c r="V63" s="116">
        <f t="shared" si="61"/>
        <v>1.5223633434508279E-6</v>
      </c>
      <c r="W63" s="116">
        <f t="shared" si="61"/>
        <v>1.5503738792394211E-6</v>
      </c>
      <c r="X63" s="178">
        <f t="shared" si="47"/>
        <v>1.5788997914120678E-6</v>
      </c>
      <c r="Y63" s="173">
        <f t="shared" si="55"/>
        <v>1.6034271991731743E-6</v>
      </c>
      <c r="Z63" s="173">
        <f t="shared" si="55"/>
        <v>1.6283356277785115E-6</v>
      </c>
      <c r="AA63" s="173">
        <f t="shared" si="55"/>
        <v>1.6536309961937178E-6</v>
      </c>
      <c r="AB63" s="173">
        <f t="shared" si="55"/>
        <v>1.6793193153325623E-6</v>
      </c>
      <c r="AC63" s="173">
        <f t="shared" si="55"/>
        <v>1.7054066894853114E-6</v>
      </c>
      <c r="AD63" s="173">
        <f t="shared" si="55"/>
        <v>1.731899317769286E-6</v>
      </c>
      <c r="AE63" s="173">
        <f t="shared" si="55"/>
        <v>1.7588034956019519E-6</v>
      </c>
      <c r="AF63" s="173">
        <f t="shared" si="55"/>
        <v>1.7861256161968933E-6</v>
      </c>
      <c r="AG63" s="173">
        <f t="shared" si="55"/>
        <v>1.8138721720830263E-6</v>
      </c>
      <c r="AH63" s="178">
        <f t="shared" si="49"/>
        <v>1.8420497566474127E-6</v>
      </c>
      <c r="AI63" s="127"/>
    </row>
    <row r="64" spans="1:35">
      <c r="A64" s="9" t="s">
        <v>344</v>
      </c>
      <c r="B64" s="37"/>
      <c r="C64" s="335">
        <f t="shared" si="50"/>
        <v>1.139211665527455E-7</v>
      </c>
      <c r="D64" s="335">
        <f t="shared" ref="D64:N64" si="62">C64*($N77)</f>
        <v>1.1775964454472088E-7</v>
      </c>
      <c r="E64" s="335">
        <f t="shared" si="62"/>
        <v>1.217274568275987E-7</v>
      </c>
      <c r="F64" s="335">
        <f t="shared" si="62"/>
        <v>1.2582896121164603E-7</v>
      </c>
      <c r="G64" s="335">
        <f t="shared" si="62"/>
        <v>1.3006866233988546E-7</v>
      </c>
      <c r="H64" s="395">
        <f t="shared" si="53"/>
        <v>1.0785019775052854E-7</v>
      </c>
      <c r="I64" s="116">
        <f t="shared" si="62"/>
        <v>1.1148411954945888E-7</v>
      </c>
      <c r="J64" s="116">
        <f t="shared" si="62"/>
        <v>1.1524048329023236E-7</v>
      </c>
      <c r="K64" s="116">
        <f t="shared" si="62"/>
        <v>1.1912341455120532E-7</v>
      </c>
      <c r="L64" s="116">
        <f t="shared" si="62"/>
        <v>1.2313717791863058E-7</v>
      </c>
      <c r="M64" s="116">
        <f t="shared" si="62"/>
        <v>1.2728618167041166E-7</v>
      </c>
      <c r="N64" s="178">
        <f t="shared" si="62"/>
        <v>1.3157498261767233E-7</v>
      </c>
      <c r="O64" s="116">
        <f t="shared" ref="O64:W64" si="63">N64*$X77</f>
        <v>1.3399588021439306E-7</v>
      </c>
      <c r="P64" s="116">
        <f t="shared" si="63"/>
        <v>1.3646132081660929E-7</v>
      </c>
      <c r="Q64" s="116">
        <f t="shared" si="63"/>
        <v>1.3897212398783384E-7</v>
      </c>
      <c r="R64" s="116">
        <f t="shared" si="63"/>
        <v>1.4152912437103688E-7</v>
      </c>
      <c r="S64" s="116">
        <f t="shared" si="63"/>
        <v>1.4413317196609856E-7</v>
      </c>
      <c r="T64" s="116">
        <f t="shared" si="63"/>
        <v>1.4678513241236653E-7</v>
      </c>
      <c r="U64" s="116">
        <f t="shared" si="63"/>
        <v>1.4948588727641243E-7</v>
      </c>
      <c r="V64" s="116">
        <f t="shared" si="63"/>
        <v>1.5223633434508279E-7</v>
      </c>
      <c r="W64" s="116">
        <f t="shared" si="63"/>
        <v>1.5503738792394212E-7</v>
      </c>
      <c r="X64" s="178">
        <f t="shared" si="47"/>
        <v>1.5788997914120677E-7</v>
      </c>
      <c r="Y64" s="173">
        <f t="shared" si="55"/>
        <v>1.6034271991731742E-7</v>
      </c>
      <c r="Z64" s="173">
        <f t="shared" si="55"/>
        <v>1.6283356277785115E-7</v>
      </c>
      <c r="AA64" s="173">
        <f t="shared" si="55"/>
        <v>1.6536309961937178E-7</v>
      </c>
      <c r="AB64" s="173">
        <f t="shared" si="55"/>
        <v>1.6793193153325622E-7</v>
      </c>
      <c r="AC64" s="173">
        <f t="shared" si="55"/>
        <v>1.7054066894853111E-7</v>
      </c>
      <c r="AD64" s="173">
        <f t="shared" si="55"/>
        <v>1.7318993177692858E-7</v>
      </c>
      <c r="AE64" s="173">
        <f t="shared" si="55"/>
        <v>1.7588034956019517E-7</v>
      </c>
      <c r="AF64" s="173">
        <f t="shared" si="55"/>
        <v>1.7861256161968931E-7</v>
      </c>
      <c r="AG64" s="173">
        <f t="shared" si="55"/>
        <v>1.8138721720830261E-7</v>
      </c>
      <c r="AH64" s="178">
        <f t="shared" si="49"/>
        <v>1.8420497566474126E-7</v>
      </c>
      <c r="AI64" s="127"/>
    </row>
    <row r="65" spans="1:35">
      <c r="A65" s="9" t="s">
        <v>120</v>
      </c>
      <c r="B65" s="37"/>
      <c r="C65" s="335">
        <f t="shared" si="50"/>
        <v>0</v>
      </c>
      <c r="D65" s="335">
        <v>0</v>
      </c>
      <c r="E65" s="335">
        <v>0</v>
      </c>
      <c r="F65" s="335">
        <v>0</v>
      </c>
      <c r="G65" s="335">
        <v>0</v>
      </c>
      <c r="H65" s="395">
        <f t="shared" si="53"/>
        <v>1.0785019775052854E-5</v>
      </c>
      <c r="I65" s="173">
        <v>0</v>
      </c>
      <c r="J65" s="173">
        <v>0</v>
      </c>
      <c r="K65" s="173">
        <v>0</v>
      </c>
      <c r="L65" s="173">
        <v>0</v>
      </c>
      <c r="M65" s="173">
        <v>0</v>
      </c>
      <c r="N65" s="178">
        <v>0</v>
      </c>
      <c r="O65" s="116">
        <f t="shared" ref="O65:AG65" si="64">O41/O$49</f>
        <v>8.2219062746075676E-5</v>
      </c>
      <c r="P65" s="116">
        <f t="shared" si="64"/>
        <v>9.1403520630886851E-5</v>
      </c>
      <c r="Q65" s="116">
        <f t="shared" si="64"/>
        <v>1.0205678116297952E-4</v>
      </c>
      <c r="R65" s="116">
        <f t="shared" si="64"/>
        <v>1.1074757960147416E-4</v>
      </c>
      <c r="S65" s="116">
        <f t="shared" si="64"/>
        <v>1.198995120855485E-4</v>
      </c>
      <c r="T65" s="116">
        <f t="shared" si="64"/>
        <v>1.29146401846504E-4</v>
      </c>
      <c r="U65" s="116">
        <f t="shared" si="64"/>
        <v>1.3815547393624392E-4</v>
      </c>
      <c r="V65" s="116">
        <f t="shared" si="64"/>
        <v>1.4691423661654417E-4</v>
      </c>
      <c r="W65" s="116">
        <f t="shared" si="64"/>
        <v>1.5432574326604853E-4</v>
      </c>
      <c r="X65" s="178">
        <f t="shared" si="47"/>
        <v>1.6329984451887207E-4</v>
      </c>
      <c r="Y65" s="173">
        <f t="shared" si="64"/>
        <v>1.7230717297368777E-4</v>
      </c>
      <c r="Z65" s="173">
        <f t="shared" si="64"/>
        <v>1.8241852937679213E-4</v>
      </c>
      <c r="AA65" s="173">
        <f t="shared" si="64"/>
        <v>1.9137803689464036E-4</v>
      </c>
      <c r="AB65" s="173">
        <f t="shared" si="64"/>
        <v>2.0035995828379013E-4</v>
      </c>
      <c r="AC65" s="173">
        <f t="shared" si="64"/>
        <v>2.0954031276773055E-4</v>
      </c>
      <c r="AD65" s="173">
        <f t="shared" si="64"/>
        <v>2.1893328294203212E-4</v>
      </c>
      <c r="AE65" s="173">
        <f t="shared" si="64"/>
        <v>2.2831637593604288E-4</v>
      </c>
      <c r="AF65" s="173">
        <f t="shared" si="64"/>
        <v>2.3814371922426241E-4</v>
      </c>
      <c r="AG65" s="173">
        <f t="shared" si="64"/>
        <v>2.4692768278316798E-4</v>
      </c>
      <c r="AH65" s="178">
        <f t="shared" si="49"/>
        <v>2.5363081883545736E-4</v>
      </c>
      <c r="AI65" s="127"/>
    </row>
    <row r="66" spans="1:35">
      <c r="A66" s="9" t="s">
        <v>53</v>
      </c>
      <c r="B66" s="37"/>
      <c r="C66" s="335">
        <f>C42/C$49</f>
        <v>5.6846662109820006E-3</v>
      </c>
      <c r="D66" s="335">
        <f t="shared" ref="D66:N66" si="65">C66*($N79)</f>
        <v>5.9522330861057661E-3</v>
      </c>
      <c r="E66" s="335">
        <f t="shared" si="65"/>
        <v>6.2323938462539846E-3</v>
      </c>
      <c r="F66" s="335">
        <f t="shared" si="65"/>
        <v>6.5257412626354818E-3</v>
      </c>
      <c r="G66" s="335">
        <f t="shared" si="65"/>
        <v>6.8328960071192338E-3</v>
      </c>
      <c r="H66" s="395">
        <f t="shared" si="53"/>
        <v>2.845291622131901E-2</v>
      </c>
      <c r="I66" s="116">
        <f t="shared" si="65"/>
        <v>2.9792143116785491E-2</v>
      </c>
      <c r="J66" s="116">
        <f t="shared" si="65"/>
        <v>3.1194404980744831E-2</v>
      </c>
      <c r="K66" s="116">
        <f t="shared" si="65"/>
        <v>3.2662668754248128E-2</v>
      </c>
      <c r="L66" s="116">
        <f t="shared" si="65"/>
        <v>3.4200041026852881E-2</v>
      </c>
      <c r="M66" s="116">
        <f t="shared" si="65"/>
        <v>3.5809774609623583E-2</v>
      </c>
      <c r="N66" s="178">
        <f t="shared" si="65"/>
        <v>3.7495275417511506E-2</v>
      </c>
      <c r="O66" s="116">
        <f t="shared" ref="O66:W66" si="66">N66*$X79</f>
        <v>3.818516509365457E-2</v>
      </c>
      <c r="P66" s="116">
        <f t="shared" si="66"/>
        <v>3.8887748309448938E-2</v>
      </c>
      <c r="Q66" s="116">
        <f t="shared" si="66"/>
        <v>3.9603258618105298E-2</v>
      </c>
      <c r="R66" s="116">
        <f t="shared" si="66"/>
        <v>4.0331933870067699E-2</v>
      </c>
      <c r="S66" s="116">
        <f t="shared" si="66"/>
        <v>4.1074016292079983E-2</v>
      </c>
      <c r="T66" s="116">
        <f t="shared" si="66"/>
        <v>4.1829752567706963E-2</v>
      </c>
      <c r="U66" s="116">
        <f t="shared" si="66"/>
        <v>4.2599393919337154E-2</v>
      </c>
      <c r="V66" s="116">
        <f t="shared" si="66"/>
        <v>4.3383196191694298E-2</v>
      </c>
      <c r="W66" s="116">
        <f t="shared" si="66"/>
        <v>4.418141993688543E-2</v>
      </c>
      <c r="X66" s="178">
        <f t="shared" si="47"/>
        <v>4.4994330501013792E-2</v>
      </c>
      <c r="Y66" s="173">
        <f t="shared" si="55"/>
        <v>4.5693294613327322E-2</v>
      </c>
      <c r="Z66" s="173">
        <f t="shared" si="55"/>
        <v>4.640311677875248E-2</v>
      </c>
      <c r="AA66" s="173">
        <f t="shared" si="55"/>
        <v>4.7123965671639352E-2</v>
      </c>
      <c r="AB66" s="173">
        <f t="shared" si="55"/>
        <v>4.7856012586608529E-2</v>
      </c>
      <c r="AC66" s="173">
        <f t="shared" si="55"/>
        <v>4.8599431479255689E-2</v>
      </c>
      <c r="AD66" s="173">
        <f t="shared" si="55"/>
        <v>4.9354399007488496E-2</v>
      </c>
      <c r="AE66" s="173">
        <f t="shared" si="55"/>
        <v>5.0121094573505637E-2</v>
      </c>
      <c r="AF66" s="173">
        <f t="shared" si="55"/>
        <v>5.0899700366428005E-2</v>
      </c>
      <c r="AG66" s="173">
        <f t="shared" si="55"/>
        <v>5.1690401405592119E-2</v>
      </c>
      <c r="AH66" s="178">
        <f t="shared" si="49"/>
        <v>5.2493385584516099E-2</v>
      </c>
      <c r="AI66" s="127"/>
    </row>
    <row r="67" spans="1:35" s="1" customFormat="1">
      <c r="A67" s="11" t="s">
        <v>541</v>
      </c>
      <c r="B67" s="36"/>
      <c r="C67" s="339">
        <f t="shared" ref="C67:AG67" si="67">SUM(C58:C66)</f>
        <v>6.27717019822283E-3</v>
      </c>
      <c r="D67" s="339">
        <f t="shared" si="67"/>
        <v>6.5827994326807656E-3</v>
      </c>
      <c r="E67" s="339">
        <f t="shared" si="67"/>
        <v>6.9172911599333477E-3</v>
      </c>
      <c r="F67" s="339">
        <f t="shared" si="67"/>
        <v>7.2941953394977561E-3</v>
      </c>
      <c r="G67" s="339">
        <f t="shared" si="67"/>
        <v>7.7378015189160715E-3</v>
      </c>
      <c r="H67" s="402">
        <f t="shared" si="67"/>
        <v>2.8921676379620908E-2</v>
      </c>
      <c r="I67" s="85">
        <f t="shared" si="67"/>
        <v>3.0528429832032088E-2</v>
      </c>
      <c r="J67" s="85">
        <f t="shared" si="67"/>
        <v>3.2436054857966169E-2</v>
      </c>
      <c r="K67" s="85">
        <f t="shared" si="67"/>
        <v>3.4824625361101952E-2</v>
      </c>
      <c r="L67" s="85">
        <f t="shared" si="67"/>
        <v>3.8040717094286094E-2</v>
      </c>
      <c r="M67" s="85">
        <f t="shared" si="67"/>
        <v>4.2715452353558066E-2</v>
      </c>
      <c r="N67" s="183">
        <f>SUM(N58:N66)</f>
        <v>5.000000000000001E-2</v>
      </c>
      <c r="O67" s="85">
        <f t="shared" si="67"/>
        <v>5.1002187870097297E-2</v>
      </c>
      <c r="P67" s="85">
        <f t="shared" si="67"/>
        <v>5.1948267987463305E-2</v>
      </c>
      <c r="Q67" s="85">
        <f t="shared" si="67"/>
        <v>5.2913055203125905E-2</v>
      </c>
      <c r="R67" s="85">
        <f t="shared" si="67"/>
        <v>5.3893435426229999E-2</v>
      </c>
      <c r="S67" s="85">
        <f t="shared" si="67"/>
        <v>5.4892155262602188E-2</v>
      </c>
      <c r="T67" s="85">
        <f t="shared" si="67"/>
        <v>5.5909177488337902E-2</v>
      </c>
      <c r="U67" s="85">
        <f t="shared" si="67"/>
        <v>5.6944504333880701E-2</v>
      </c>
      <c r="V67" s="85">
        <f t="shared" si="67"/>
        <v>5.7998464476774203E-2</v>
      </c>
      <c r="W67" s="85">
        <f t="shared" si="67"/>
        <v>5.9070308416980841E-2</v>
      </c>
      <c r="X67" s="183">
        <f t="shared" si="67"/>
        <v>6.0163299844518875E-2</v>
      </c>
      <c r="Y67" s="85">
        <f t="shared" si="67"/>
        <v>6.1104376753114829E-2</v>
      </c>
      <c r="Z67" s="85">
        <f t="shared" si="67"/>
        <v>6.2061036918029486E-2</v>
      </c>
      <c r="AA67" s="85">
        <f t="shared" si="67"/>
        <v>6.3031249389901095E-2</v>
      </c>
      <c r="AB67" s="85">
        <f t="shared" si="67"/>
        <v>6.4016416853092256E-2</v>
      </c>
      <c r="AC67" s="85">
        <f t="shared" si="67"/>
        <v>6.5016947296846317E-2</v>
      </c>
      <c r="AD67" s="85">
        <f t="shared" si="67"/>
        <v>6.6033090477315398E-2</v>
      </c>
      <c r="AE67" s="85">
        <f t="shared" si="67"/>
        <v>6.7064863134701128E-2</v>
      </c>
      <c r="AF67" s="85">
        <f t="shared" si="67"/>
        <v>6.8112962345914782E-2</v>
      </c>
      <c r="AG67" s="85">
        <f t="shared" si="67"/>
        <v>6.9176147204465965E-2</v>
      </c>
      <c r="AH67" s="183">
        <f>SUM(AH58:AH66)</f>
        <v>7.0253630818835483E-2</v>
      </c>
      <c r="AI67" s="195"/>
    </row>
    <row r="68" spans="1:35" s="251" customFormat="1">
      <c r="A68" s="10" t="s">
        <v>549</v>
      </c>
      <c r="B68" s="37"/>
      <c r="C68" s="331"/>
      <c r="D68" s="331">
        <f>D67/C67-1</f>
        <v>4.8689015082698406E-2</v>
      </c>
      <c r="E68" s="331">
        <f t="shared" ref="E68:W68" si="68">E67/D67-1</f>
        <v>5.0812990836690997E-2</v>
      </c>
      <c r="F68" s="331">
        <f t="shared" si="68"/>
        <v>5.4487250984537106E-2</v>
      </c>
      <c r="G68" s="331">
        <f t="shared" si="68"/>
        <v>6.0816328432583555E-2</v>
      </c>
      <c r="H68" s="283"/>
      <c r="I68" s="283">
        <f t="shared" si="68"/>
        <v>5.5555336119566867E-2</v>
      </c>
      <c r="J68" s="283">
        <f t="shared" si="68"/>
        <v>6.2486837234337456E-2</v>
      </c>
      <c r="K68" s="283">
        <f t="shared" si="68"/>
        <v>7.3639365625538078E-2</v>
      </c>
      <c r="L68" s="283">
        <f t="shared" si="68"/>
        <v>9.2351079152639404E-2</v>
      </c>
      <c r="M68" s="283">
        <f t="shared" si="68"/>
        <v>0.12288767448009374</v>
      </c>
      <c r="N68" s="282">
        <f t="shared" si="68"/>
        <v>0.1705365914458159</v>
      </c>
      <c r="O68" s="283">
        <f t="shared" si="68"/>
        <v>2.0043757401945639E-2</v>
      </c>
      <c r="P68" s="283">
        <f t="shared" si="68"/>
        <v>1.8549794761269389E-2</v>
      </c>
      <c r="Q68" s="283">
        <f t="shared" si="68"/>
        <v>1.8572076664720161E-2</v>
      </c>
      <c r="R68" s="283">
        <f t="shared" si="68"/>
        <v>1.8528134868428081E-2</v>
      </c>
      <c r="S68" s="283">
        <f t="shared" si="68"/>
        <v>1.8531381947978653E-2</v>
      </c>
      <c r="T68" s="283">
        <f t="shared" si="68"/>
        <v>1.8527642444905235E-2</v>
      </c>
      <c r="U68" s="283">
        <f t="shared" si="68"/>
        <v>1.8518012463316191E-2</v>
      </c>
      <c r="V68" s="283">
        <f t="shared" si="68"/>
        <v>1.8508548897253618E-2</v>
      </c>
      <c r="W68" s="283">
        <f t="shared" si="68"/>
        <v>1.8480557198818026E-2</v>
      </c>
      <c r="X68" s="283">
        <f>X67/W67-1</f>
        <v>1.8503228725716969E-2</v>
      </c>
      <c r="Y68" s="288">
        <f t="shared" ref="Y68:AG68" si="69">Y67/X67-1</f>
        <v>1.564204275742842E-2</v>
      </c>
      <c r="Z68" s="288">
        <f t="shared" si="69"/>
        <v>1.5656164349403756E-2</v>
      </c>
      <c r="AA68" s="288">
        <f t="shared" si="69"/>
        <v>1.5633197897628959E-2</v>
      </c>
      <c r="AB68" s="288">
        <f t="shared" si="69"/>
        <v>1.5629826042271144E-2</v>
      </c>
      <c r="AC68" s="288">
        <f t="shared" si="69"/>
        <v>1.5629279065245472E-2</v>
      </c>
      <c r="AD68" s="288">
        <f t="shared" si="69"/>
        <v>1.5628897121695129E-2</v>
      </c>
      <c r="AE68" s="288">
        <f t="shared" si="69"/>
        <v>1.562508508881888E-2</v>
      </c>
      <c r="AF68" s="288">
        <f t="shared" si="69"/>
        <v>1.562814210339214E-2</v>
      </c>
      <c r="AG68" s="288">
        <f t="shared" si="69"/>
        <v>1.5609141372412427E-2</v>
      </c>
      <c r="AH68" s="282">
        <f>AH67/AG67-1</f>
        <v>1.5575941388940917E-2</v>
      </c>
      <c r="AI68" s="291"/>
    </row>
    <row r="69" spans="1:35">
      <c r="A69" s="10"/>
      <c r="B69" s="37"/>
      <c r="C69" s="331"/>
      <c r="D69" s="331"/>
      <c r="E69" s="331"/>
      <c r="F69" s="331"/>
      <c r="G69" s="331"/>
      <c r="H69" s="283"/>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8"/>
      <c r="AI69" s="127"/>
    </row>
    <row r="70" spans="1:35">
      <c r="A70" s="11" t="s">
        <v>546</v>
      </c>
      <c r="B70" s="37"/>
      <c r="C70" s="331"/>
      <c r="D70" s="331"/>
      <c r="E70" s="331"/>
      <c r="F70" s="331"/>
      <c r="G70" s="331"/>
      <c r="H70" s="283"/>
      <c r="I70" s="164"/>
      <c r="J70" s="164"/>
      <c r="K70" s="164"/>
      <c r="L70" s="164"/>
      <c r="M70" s="164"/>
      <c r="N70" s="198" t="s">
        <v>712</v>
      </c>
      <c r="O70" s="164"/>
      <c r="P70" s="164"/>
      <c r="Q70" s="164"/>
      <c r="R70" s="164"/>
      <c r="S70" s="164"/>
      <c r="T70" s="164"/>
      <c r="U70" s="164"/>
      <c r="V70" s="164"/>
      <c r="W70" s="164"/>
      <c r="X70" s="198" t="s">
        <v>547</v>
      </c>
      <c r="Y70" s="20"/>
      <c r="Z70" s="20"/>
      <c r="AA70" s="20"/>
      <c r="AB70" s="20"/>
      <c r="AC70" s="20"/>
      <c r="AD70" s="20"/>
      <c r="AE70" s="20"/>
      <c r="AF70" s="20"/>
      <c r="AG70" s="20"/>
      <c r="AH70" s="278" t="s">
        <v>709</v>
      </c>
      <c r="AI70" s="127"/>
    </row>
    <row r="71" spans="1:35">
      <c r="A71" s="9" t="s">
        <v>121</v>
      </c>
      <c r="B71" s="37"/>
      <c r="C71" s="331"/>
      <c r="D71" s="331"/>
      <c r="E71" s="331"/>
      <c r="F71" s="331"/>
      <c r="G71" s="331"/>
      <c r="H71" s="283"/>
      <c r="I71" s="164"/>
      <c r="J71" s="164"/>
      <c r="K71" s="394"/>
      <c r="L71" s="394"/>
      <c r="M71" s="164"/>
      <c r="N71" s="186">
        <f>(N86/H86)^(1/6)</f>
        <v>1.8280344850386543</v>
      </c>
      <c r="O71" s="164"/>
      <c r="P71" s="164"/>
      <c r="Q71" s="164"/>
      <c r="R71" s="164"/>
      <c r="S71" s="164"/>
      <c r="T71" s="164"/>
      <c r="U71" s="164"/>
      <c r="V71" s="164"/>
      <c r="W71" s="164"/>
      <c r="X71" s="186">
        <f>(X86/N86)^(1/10)</f>
        <v>1.0183993761470242</v>
      </c>
      <c r="Y71" s="20"/>
      <c r="Z71" s="20"/>
      <c r="AA71" s="20"/>
      <c r="AB71" s="20"/>
      <c r="AC71" s="20"/>
      <c r="AD71" s="20"/>
      <c r="AE71" s="20"/>
      <c r="AF71" s="20"/>
      <c r="AG71" s="20"/>
      <c r="AH71" s="186">
        <f>(AH86/X86)^(1/10)</f>
        <v>1.0155344930023524</v>
      </c>
      <c r="AI71" s="127"/>
    </row>
    <row r="72" spans="1:35">
      <c r="A72" s="9" t="s">
        <v>50</v>
      </c>
      <c r="B72" s="37"/>
      <c r="C72" s="331"/>
      <c r="D72" s="331"/>
      <c r="E72" s="331"/>
      <c r="F72" s="331"/>
      <c r="G72" s="331"/>
      <c r="H72" s="283"/>
      <c r="I72" s="164"/>
      <c r="J72" s="164"/>
      <c r="K72" s="394"/>
      <c r="L72" s="394"/>
      <c r="M72" s="164"/>
      <c r="N72" s="186">
        <f>(N87/H87)^(1/6)</f>
        <v>1.0336941598135598</v>
      </c>
      <c r="O72" s="164"/>
      <c r="P72" s="164"/>
      <c r="Q72" s="164"/>
      <c r="R72" s="164"/>
      <c r="S72" s="164"/>
      <c r="T72" s="164"/>
      <c r="U72" s="164"/>
      <c r="V72" s="164"/>
      <c r="W72" s="164"/>
      <c r="X72" s="186">
        <f>(X87/N87)^(1/10)</f>
        <v>1.0183993761470242</v>
      </c>
      <c r="Y72" s="20"/>
      <c r="Z72" s="20"/>
      <c r="AA72" s="20"/>
      <c r="AB72" s="20"/>
      <c r="AC72" s="20"/>
      <c r="AD72" s="20"/>
      <c r="AE72" s="20"/>
      <c r="AF72" s="20"/>
      <c r="AG72" s="20"/>
      <c r="AH72" s="186">
        <f>(AH87/X87)^(1/10)</f>
        <v>1.0155344930023524</v>
      </c>
      <c r="AI72" s="127"/>
    </row>
    <row r="73" spans="1:35">
      <c r="A73" s="9" t="s">
        <v>119</v>
      </c>
      <c r="B73" s="37"/>
      <c r="C73" s="331"/>
      <c r="D73" s="331"/>
      <c r="E73" s="331"/>
      <c r="F73" s="331"/>
      <c r="G73" s="331"/>
      <c r="H73" s="283"/>
      <c r="I73" s="164"/>
      <c r="J73" s="164"/>
      <c r="K73" s="394"/>
      <c r="L73" s="394"/>
      <c r="M73" s="164"/>
      <c r="N73" s="186"/>
      <c r="O73" s="164"/>
      <c r="P73" s="164"/>
      <c r="Q73" s="164"/>
      <c r="R73" s="164"/>
      <c r="S73" s="164"/>
      <c r="T73" s="164"/>
      <c r="U73" s="164"/>
      <c r="V73" s="164"/>
      <c r="W73" s="164"/>
      <c r="X73" s="186"/>
      <c r="AH73" s="186"/>
      <c r="AI73" s="127"/>
    </row>
    <row r="74" spans="1:35">
      <c r="A74" s="9" t="s">
        <v>51</v>
      </c>
      <c r="B74" s="37"/>
      <c r="C74" s="331"/>
      <c r="D74" s="331"/>
      <c r="E74" s="331"/>
      <c r="F74" s="331"/>
      <c r="G74" s="331"/>
      <c r="H74" s="283"/>
      <c r="I74" s="164"/>
      <c r="J74" s="164"/>
      <c r="K74" s="394"/>
      <c r="L74" s="394"/>
      <c r="M74" s="164"/>
      <c r="N74" s="179">
        <f>(N89/H89)^(1/6)</f>
        <v>1.0336941598135598</v>
      </c>
      <c r="O74" s="164"/>
      <c r="P74" s="164"/>
      <c r="Q74" s="164"/>
      <c r="R74" s="164"/>
      <c r="S74" s="164"/>
      <c r="T74" s="164"/>
      <c r="U74" s="164"/>
      <c r="V74" s="164"/>
      <c r="W74" s="164"/>
      <c r="X74" s="186">
        <f>(X89/N89)^(1/10)</f>
        <v>1.0183993761470242</v>
      </c>
      <c r="AH74" s="186">
        <f>(AH89/X89)^(1/10)</f>
        <v>1.0155344930023524</v>
      </c>
      <c r="AI74" s="127"/>
    </row>
    <row r="75" spans="1:35">
      <c r="A75" s="9" t="s">
        <v>347</v>
      </c>
      <c r="B75" s="37"/>
      <c r="C75" s="331"/>
      <c r="D75" s="331"/>
      <c r="E75" s="331"/>
      <c r="F75" s="331"/>
      <c r="G75" s="331"/>
      <c r="H75" s="283"/>
      <c r="I75" s="164"/>
      <c r="J75" s="164"/>
      <c r="K75" s="394"/>
      <c r="L75" s="394"/>
      <c r="M75" s="164"/>
      <c r="N75" s="179">
        <f>(N90/H90)^(1/6)</f>
        <v>1.0336941598135598</v>
      </c>
      <c r="O75" s="164"/>
      <c r="P75" s="164"/>
      <c r="Q75" s="164"/>
      <c r="R75" s="164"/>
      <c r="S75" s="164"/>
      <c r="T75" s="164"/>
      <c r="U75" s="164"/>
      <c r="V75" s="164"/>
      <c r="W75" s="164"/>
      <c r="X75" s="186">
        <f>(X90/N90)^(1/10)</f>
        <v>1.0183993761470242</v>
      </c>
      <c r="AH75" s="186">
        <f>(AH90/X90)^(1/10)</f>
        <v>1.0155344930023524</v>
      </c>
      <c r="AI75" s="127"/>
    </row>
    <row r="76" spans="1:35">
      <c r="A76" s="9" t="s">
        <v>348</v>
      </c>
      <c r="B76" s="37"/>
      <c r="C76" s="331"/>
      <c r="D76" s="331"/>
      <c r="E76" s="331"/>
      <c r="F76" s="331"/>
      <c r="G76" s="331"/>
      <c r="H76" s="283"/>
      <c r="I76" s="164"/>
      <c r="J76" s="164"/>
      <c r="K76" s="394"/>
      <c r="L76" s="394"/>
      <c r="M76" s="164"/>
      <c r="N76" s="179">
        <f>(N91/H91)^(1/6)</f>
        <v>1.0336941598135598</v>
      </c>
      <c r="O76" s="164"/>
      <c r="P76" s="164"/>
      <c r="Q76" s="164"/>
      <c r="R76" s="164"/>
      <c r="S76" s="164"/>
      <c r="T76" s="164"/>
      <c r="U76" s="164"/>
      <c r="V76" s="164"/>
      <c r="W76" s="164"/>
      <c r="X76" s="186">
        <f>(X91/N91)^(1/10)</f>
        <v>1.0183993761470242</v>
      </c>
      <c r="AH76" s="186">
        <f>(AH91/X91)^(1/10)</f>
        <v>1.0155344930023524</v>
      </c>
      <c r="AI76" s="127"/>
    </row>
    <row r="77" spans="1:35">
      <c r="A77" s="9" t="s">
        <v>344</v>
      </c>
      <c r="B77" s="37"/>
      <c r="C77" s="331"/>
      <c r="D77" s="331"/>
      <c r="E77" s="331"/>
      <c r="F77" s="331"/>
      <c r="G77" s="331"/>
      <c r="H77" s="283"/>
      <c r="I77" s="164"/>
      <c r="J77" s="164"/>
      <c r="K77" s="394"/>
      <c r="L77" s="394"/>
      <c r="M77" s="164"/>
      <c r="N77" s="179">
        <f>(N92/H92)^(1/6)</f>
        <v>1.0336941598135598</v>
      </c>
      <c r="O77" s="164"/>
      <c r="P77" s="164"/>
      <c r="Q77" s="164"/>
      <c r="R77" s="164"/>
      <c r="S77" s="164"/>
      <c r="T77" s="164"/>
      <c r="U77" s="164"/>
      <c r="V77" s="164"/>
      <c r="W77" s="164"/>
      <c r="X77" s="186">
        <f>(X92/N92)^(1/10)</f>
        <v>1.0183993761470242</v>
      </c>
      <c r="AH77" s="186">
        <f>(AH92/X92)^(1/10)</f>
        <v>1.0155344930023524</v>
      </c>
      <c r="AI77" s="127"/>
    </row>
    <row r="78" spans="1:35">
      <c r="A78" s="9" t="s">
        <v>120</v>
      </c>
      <c r="B78" s="37"/>
      <c r="C78" s="331"/>
      <c r="D78" s="331"/>
      <c r="E78" s="331"/>
      <c r="F78" s="331"/>
      <c r="G78" s="331"/>
      <c r="H78" s="283"/>
      <c r="I78" s="164"/>
      <c r="J78" s="164"/>
      <c r="K78" s="394"/>
      <c r="L78" s="394"/>
      <c r="M78" s="164"/>
      <c r="N78" s="186">
        <f t="shared" ref="N78:N79" si="70">(N93/H93)^(1/6)</f>
        <v>1.3746110903030484</v>
      </c>
      <c r="O78" s="164"/>
      <c r="P78" s="164"/>
      <c r="Q78" s="164"/>
      <c r="R78" s="164"/>
      <c r="S78" s="164"/>
      <c r="T78" s="164"/>
      <c r="U78" s="164"/>
      <c r="V78" s="164"/>
      <c r="W78" s="164"/>
      <c r="X78" s="186">
        <f t="shared" ref="X78:X79" si="71">(X93/N93)^(1/10)</f>
        <v>1.0841979367516841</v>
      </c>
      <c r="AH78" s="186">
        <f t="shared" ref="AH78:AH79" si="72">(AH93/X93)^(1/10)</f>
        <v>1.045012836705409</v>
      </c>
      <c r="AI78" s="127"/>
    </row>
    <row r="79" spans="1:35">
      <c r="A79" s="9" t="s">
        <v>53</v>
      </c>
      <c r="B79" s="37"/>
      <c r="C79" s="331"/>
      <c r="D79" s="331"/>
      <c r="E79" s="331"/>
      <c r="F79" s="331"/>
      <c r="G79" s="331"/>
      <c r="H79" s="283"/>
      <c r="I79" s="164"/>
      <c r="J79" s="164"/>
      <c r="K79" s="394"/>
      <c r="L79" s="394"/>
      <c r="M79" s="164"/>
      <c r="N79" s="186">
        <f t="shared" si="70"/>
        <v>1.0470681769506296</v>
      </c>
      <c r="O79" s="164"/>
      <c r="P79" s="164"/>
      <c r="Q79" s="164"/>
      <c r="R79" s="164"/>
      <c r="S79" s="164"/>
      <c r="T79" s="164"/>
      <c r="U79" s="164"/>
      <c r="V79" s="164"/>
      <c r="W79" s="164"/>
      <c r="X79" s="186">
        <f t="shared" si="71"/>
        <v>1.0183993761470242</v>
      </c>
      <c r="AH79" s="186">
        <f t="shared" si="72"/>
        <v>1.0155344930023524</v>
      </c>
      <c r="AI79" s="127"/>
    </row>
    <row r="80" spans="1:35">
      <c r="A80" s="10"/>
      <c r="B80" s="37"/>
      <c r="C80" s="331"/>
      <c r="D80" s="331"/>
      <c r="E80" s="331"/>
      <c r="F80" s="331"/>
      <c r="G80" s="331"/>
      <c r="H80" s="283"/>
      <c r="I80" s="164"/>
      <c r="J80" s="164"/>
      <c r="K80" s="164"/>
      <c r="L80" s="164"/>
      <c r="M80" s="164"/>
      <c r="N80" s="180"/>
      <c r="O80" s="164"/>
      <c r="P80" s="164"/>
      <c r="Q80" s="164"/>
      <c r="R80" s="164"/>
      <c r="S80" s="164"/>
      <c r="T80" s="164"/>
      <c r="U80" s="164"/>
      <c r="V80" s="164"/>
      <c r="W80" s="164"/>
      <c r="X80" s="185"/>
      <c r="AI80" s="127"/>
    </row>
    <row r="81" spans="1:35">
      <c r="A81" s="1" t="s">
        <v>548</v>
      </c>
      <c r="B81" s="37"/>
      <c r="C81" s="331"/>
      <c r="D81" s="331"/>
      <c r="E81" s="331"/>
      <c r="F81" s="331"/>
      <c r="G81" s="331"/>
      <c r="H81" s="283"/>
      <c r="I81" s="164"/>
      <c r="J81" s="164"/>
      <c r="K81" s="164"/>
      <c r="L81" s="164"/>
      <c r="M81" s="164"/>
      <c r="N81" s="184" t="s">
        <v>0</v>
      </c>
      <c r="O81" s="164"/>
      <c r="P81" s="164"/>
      <c r="Q81" s="164"/>
      <c r="R81" s="164"/>
      <c r="S81" s="164"/>
      <c r="T81" s="164"/>
      <c r="U81" s="164"/>
      <c r="V81" s="164"/>
      <c r="W81" s="164"/>
      <c r="X81" s="185"/>
      <c r="AI81" s="127"/>
    </row>
    <row r="82" spans="1:35">
      <c r="A82" s="9" t="s">
        <v>282</v>
      </c>
      <c r="B82" s="37"/>
      <c r="C82" s="331"/>
      <c r="D82" s="331"/>
      <c r="E82" s="331"/>
      <c r="F82" s="331"/>
      <c r="G82" s="331"/>
      <c r="H82" s="283"/>
      <c r="I82" s="164"/>
      <c r="J82" s="164"/>
      <c r="K82" s="164"/>
      <c r="L82" s="164"/>
      <c r="M82" s="164"/>
      <c r="N82" s="185" t="s">
        <v>0</v>
      </c>
      <c r="O82" s="164"/>
      <c r="P82" s="164"/>
      <c r="Q82" s="164"/>
      <c r="R82" s="164"/>
      <c r="S82" s="164"/>
      <c r="T82" s="164"/>
      <c r="U82" s="164"/>
      <c r="V82" s="164"/>
      <c r="W82" s="164"/>
      <c r="X82" s="185"/>
      <c r="AI82" s="127"/>
    </row>
    <row r="83" spans="1:35">
      <c r="A83" s="20" t="s">
        <v>122</v>
      </c>
      <c r="B83" s="37"/>
      <c r="C83" s="331"/>
      <c r="D83" s="331"/>
      <c r="E83" s="331"/>
      <c r="F83" s="331"/>
      <c r="G83" s="331"/>
      <c r="H83" s="283"/>
      <c r="I83" s="164"/>
      <c r="J83" s="164"/>
      <c r="K83" s="164"/>
      <c r="L83" s="164"/>
      <c r="M83" s="164"/>
      <c r="N83" s="180"/>
      <c r="O83" s="164"/>
      <c r="P83" s="164"/>
      <c r="Q83" s="164"/>
      <c r="R83" s="164"/>
      <c r="S83" s="164"/>
      <c r="T83" s="164"/>
      <c r="U83" s="164"/>
      <c r="V83" s="164"/>
      <c r="W83" s="164"/>
      <c r="X83" s="185"/>
      <c r="AI83" s="127"/>
    </row>
    <row r="84" spans="1:35">
      <c r="A84" s="9" t="s">
        <v>49</v>
      </c>
      <c r="B84" s="37"/>
      <c r="C84" s="335">
        <f t="shared" ref="C84:AH84" si="73">C31/C$49</f>
        <v>2.0699362041467304E-2</v>
      </c>
      <c r="D84" s="335">
        <f t="shared" si="73"/>
        <v>2.161648718397971E-2</v>
      </c>
      <c r="E84" s="335">
        <f t="shared" si="73"/>
        <v>2.253361232649212E-2</v>
      </c>
      <c r="F84" s="335">
        <f t="shared" si="73"/>
        <v>2.3450737469004525E-2</v>
      </c>
      <c r="G84" s="335">
        <f t="shared" si="73"/>
        <v>2.4367862611516931E-2</v>
      </c>
      <c r="H84" s="395">
        <f t="shared" si="73"/>
        <v>1.799129820624484E-2</v>
      </c>
      <c r="I84" s="116">
        <f t="shared" si="73"/>
        <v>2.0124038273387997E-2</v>
      </c>
      <c r="J84" s="116">
        <f t="shared" si="73"/>
        <v>2.2256778340531153E-2</v>
      </c>
      <c r="K84" s="116">
        <f t="shared" si="73"/>
        <v>2.438951840767431E-2</v>
      </c>
      <c r="L84" s="116">
        <f t="shared" si="73"/>
        <v>2.6522258474817463E-2</v>
      </c>
      <c r="M84" s="116">
        <f t="shared" si="73"/>
        <v>2.865499854196062E-2</v>
      </c>
      <c r="N84" s="178">
        <f t="shared" si="73"/>
        <v>3.0787738609103787E-2</v>
      </c>
      <c r="O84" s="116">
        <f t="shared" si="73"/>
        <v>3.059572827414293E-2</v>
      </c>
      <c r="P84" s="116">
        <f t="shared" si="73"/>
        <v>3.0403717939182073E-2</v>
      </c>
      <c r="Q84" s="116">
        <f t="shared" si="73"/>
        <v>3.0211707604221216E-2</v>
      </c>
      <c r="R84" s="116">
        <f t="shared" si="73"/>
        <v>3.0019697269260355E-2</v>
      </c>
      <c r="S84" s="116">
        <f t="shared" si="73"/>
        <v>2.9827686934299498E-2</v>
      </c>
      <c r="T84" s="116">
        <f t="shared" si="73"/>
        <v>2.9635676599338641E-2</v>
      </c>
      <c r="U84" s="116">
        <f t="shared" si="73"/>
        <v>2.9443666264377784E-2</v>
      </c>
      <c r="V84" s="116">
        <f t="shared" si="73"/>
        <v>2.925165592941693E-2</v>
      </c>
      <c r="W84" s="116">
        <f t="shared" si="73"/>
        <v>2.9059645594456073E-2</v>
      </c>
      <c r="X84" s="178">
        <f t="shared" si="73"/>
        <v>2.8867635259495199E-2</v>
      </c>
      <c r="Y84" s="173">
        <f t="shared" si="73"/>
        <v>3.0683986616205316E-2</v>
      </c>
      <c r="Z84" s="173">
        <f t="shared" si="73"/>
        <v>3.2500337972915433E-2</v>
      </c>
      <c r="AA84" s="173">
        <f t="shared" si="73"/>
        <v>3.4316689329625547E-2</v>
      </c>
      <c r="AB84" s="173">
        <f t="shared" si="73"/>
        <v>3.613304068633566E-2</v>
      </c>
      <c r="AC84" s="173">
        <f t="shared" si="73"/>
        <v>3.7949392043045774E-2</v>
      </c>
      <c r="AD84" s="173">
        <f t="shared" si="73"/>
        <v>3.9765743399755887E-2</v>
      </c>
      <c r="AE84" s="173">
        <f t="shared" si="73"/>
        <v>4.1582094756466001E-2</v>
      </c>
      <c r="AF84" s="173">
        <f t="shared" si="73"/>
        <v>4.3398446113176115E-2</v>
      </c>
      <c r="AG84" s="173">
        <f t="shared" si="73"/>
        <v>4.5214797469886228E-2</v>
      </c>
      <c r="AH84" s="178">
        <f t="shared" si="73"/>
        <v>4.7031148826596342E-2</v>
      </c>
      <c r="AI84" s="127"/>
    </row>
    <row r="85" spans="1:35">
      <c r="A85" s="9" t="s">
        <v>59</v>
      </c>
      <c r="B85" s="37"/>
      <c r="C85" s="335">
        <f t="shared" ref="C85:AH85" si="74">C32/C$49</f>
        <v>0.11673501936659832</v>
      </c>
      <c r="D85" s="335">
        <f t="shared" si="74"/>
        <v>0.11522612176590669</v>
      </c>
      <c r="E85" s="335">
        <f t="shared" si="74"/>
        <v>0.11371722416521508</v>
      </c>
      <c r="F85" s="335">
        <f t="shared" si="74"/>
        <v>0.11220832656452348</v>
      </c>
      <c r="G85" s="335">
        <f t="shared" si="74"/>
        <v>0.11069942896383185</v>
      </c>
      <c r="H85" s="395">
        <f t="shared" si="74"/>
        <v>0.10042613957202286</v>
      </c>
      <c r="I85" s="116">
        <f t="shared" si="74"/>
        <v>0.10037797393651746</v>
      </c>
      <c r="J85" s="116">
        <f t="shared" si="74"/>
        <v>0.10032980830101207</v>
      </c>
      <c r="K85" s="116">
        <f t="shared" si="74"/>
        <v>0.10028164266550667</v>
      </c>
      <c r="L85" s="116">
        <f t="shared" si="74"/>
        <v>0.10023347703000125</v>
      </c>
      <c r="M85" s="116">
        <f t="shared" si="74"/>
        <v>0.10018531139449587</v>
      </c>
      <c r="N85" s="178">
        <f t="shared" si="74"/>
        <v>0.10013714575899048</v>
      </c>
      <c r="O85" s="116">
        <f t="shared" si="74"/>
        <v>9.9512631982797681E-2</v>
      </c>
      <c r="P85" s="116">
        <f t="shared" si="74"/>
        <v>9.8888118206604883E-2</v>
      </c>
      <c r="Q85" s="116">
        <f t="shared" si="74"/>
        <v>9.8263604430412099E-2</v>
      </c>
      <c r="R85" s="116">
        <f t="shared" si="74"/>
        <v>9.7639090654219288E-2</v>
      </c>
      <c r="S85" s="116">
        <f t="shared" si="74"/>
        <v>9.701457687802649E-2</v>
      </c>
      <c r="T85" s="116">
        <f t="shared" si="74"/>
        <v>9.6390063101833692E-2</v>
      </c>
      <c r="U85" s="116">
        <f t="shared" si="74"/>
        <v>9.5765549325640895E-2</v>
      </c>
      <c r="V85" s="116">
        <f t="shared" si="74"/>
        <v>9.5141035549448097E-2</v>
      </c>
      <c r="W85" s="116">
        <f t="shared" si="74"/>
        <v>9.4516521773255299E-2</v>
      </c>
      <c r="X85" s="178">
        <f t="shared" si="74"/>
        <v>9.3892007997062543E-2</v>
      </c>
      <c r="Y85" s="173">
        <f t="shared" si="74"/>
        <v>9.9799692314696653E-2</v>
      </c>
      <c r="Z85" s="173">
        <f t="shared" si="74"/>
        <v>0.10570737663233076</v>
      </c>
      <c r="AA85" s="173">
        <f t="shared" si="74"/>
        <v>0.11161506094996487</v>
      </c>
      <c r="AB85" s="173">
        <f t="shared" si="74"/>
        <v>0.11752274526759898</v>
      </c>
      <c r="AC85" s="173">
        <f t="shared" si="74"/>
        <v>0.12343042958523309</v>
      </c>
      <c r="AD85" s="173">
        <f t="shared" si="74"/>
        <v>0.1293381139028672</v>
      </c>
      <c r="AE85" s="173">
        <f t="shared" si="74"/>
        <v>0.13524579822050131</v>
      </c>
      <c r="AF85" s="173">
        <f t="shared" si="74"/>
        <v>0.14115348253813542</v>
      </c>
      <c r="AG85" s="173">
        <f t="shared" si="74"/>
        <v>0.14706116685576953</v>
      </c>
      <c r="AH85" s="178">
        <f t="shared" si="74"/>
        <v>0.15296885117340367</v>
      </c>
      <c r="AI85" s="127"/>
    </row>
    <row r="86" spans="1:35" s="251" customFormat="1">
      <c r="A86" s="10" t="s">
        <v>121</v>
      </c>
      <c r="B86" s="37"/>
      <c r="C86" s="409">
        <f t="shared" ref="C86:AH86" si="75">C34/C$49</f>
        <v>2.27842333105491E-5</v>
      </c>
      <c r="D86" s="335">
        <f t="shared" si="75"/>
        <v>4.1650364206850181E-5</v>
      </c>
      <c r="E86" s="335">
        <f t="shared" si="75"/>
        <v>7.613830208454177E-5</v>
      </c>
      <c r="F86" s="335">
        <f t="shared" si="75"/>
        <v>1.391834418428328E-4</v>
      </c>
      <c r="G86" s="335">
        <f t="shared" si="75"/>
        <v>3.409741355732562E-4</v>
      </c>
      <c r="H86" s="408">
        <f t="shared" si="75"/>
        <v>3.3094189085402267E-4</v>
      </c>
      <c r="I86" s="395">
        <f t="shared" si="75"/>
        <v>6.0497318902505187E-4</v>
      </c>
      <c r="J86" s="395">
        <f t="shared" si="75"/>
        <v>1.1059118520616031E-3</v>
      </c>
      <c r="K86" s="395">
        <f t="shared" si="75"/>
        <v>2.0216450029815771E-3</v>
      </c>
      <c r="L86" s="395">
        <f t="shared" si="75"/>
        <v>3.6956367819563954E-3</v>
      </c>
      <c r="M86" s="395">
        <f t="shared" si="75"/>
        <v>6.7557514815935697E-3</v>
      </c>
      <c r="N86" s="396">
        <f>N34/N$49</f>
        <v>1.2349746680704028E-2</v>
      </c>
      <c r="O86" s="395">
        <f t="shared" si="75"/>
        <v>1.2576974315202764E-2</v>
      </c>
      <c r="P86" s="395">
        <f t="shared" si="75"/>
        <v>1.2808382796419642E-2</v>
      </c>
      <c r="Q86" s="395">
        <f t="shared" si="75"/>
        <v>1.3044049049326042E-2</v>
      </c>
      <c r="R86" s="395">
        <f t="shared" si="75"/>
        <v>1.3284051414264825E-2</v>
      </c>
      <c r="S86" s="395">
        <f t="shared" si="75"/>
        <v>1.3528469672992293E-2</v>
      </c>
      <c r="T86" s="395">
        <f t="shared" si="75"/>
        <v>1.3777385075199289E-2</v>
      </c>
      <c r="U86" s="395">
        <f t="shared" si="75"/>
        <v>1.4030880365520276E-2</v>
      </c>
      <c r="V86" s="395">
        <f t="shared" si="75"/>
        <v>1.4289039811039383E-2</v>
      </c>
      <c r="W86" s="395">
        <f t="shared" si="75"/>
        <v>1.45519492293025E-2</v>
      </c>
      <c r="X86" s="396">
        <f t="shared" si="75"/>
        <v>1.4819696016844833E-2</v>
      </c>
      <c r="Y86" s="395">
        <f>Y34/Y$49</f>
        <v>1.5503768847692407E-2</v>
      </c>
      <c r="Z86" s="395">
        <f t="shared" si="75"/>
        <v>1.6081594914928353E-2</v>
      </c>
      <c r="AA86" s="395">
        <f t="shared" si="75"/>
        <v>1.6013652160665335E-2</v>
      </c>
      <c r="AB86" s="395">
        <f t="shared" si="75"/>
        <v>1.5954179751953207E-2</v>
      </c>
      <c r="AC86" s="395">
        <f t="shared" si="75"/>
        <v>1.6088356345438693E-2</v>
      </c>
      <c r="AD86" s="395">
        <f t="shared" si="75"/>
        <v>1.6255763387090911E-2</v>
      </c>
      <c r="AE86" s="395">
        <f t="shared" si="75"/>
        <v>1.6508288429675572E-2</v>
      </c>
      <c r="AF86" s="395">
        <f t="shared" si="75"/>
        <v>1.6764736320767182E-2</v>
      </c>
      <c r="AG86" s="395">
        <f t="shared" si="75"/>
        <v>1.7025167999828426E-2</v>
      </c>
      <c r="AH86" s="396">
        <f t="shared" si="75"/>
        <v>1.7289645352985644E-2</v>
      </c>
      <c r="AI86" s="291"/>
    </row>
    <row r="87" spans="1:35">
      <c r="A87" s="9" t="s">
        <v>50</v>
      </c>
      <c r="B87" s="37"/>
      <c r="C87" s="409">
        <f t="shared" ref="C87:AH87" si="76">C35/C$49</f>
        <v>0</v>
      </c>
      <c r="D87" s="335">
        <f t="shared" si="76"/>
        <v>0</v>
      </c>
      <c r="E87" s="335">
        <f t="shared" si="76"/>
        <v>1.0633083863417788E-12</v>
      </c>
      <c r="F87" s="335">
        <f t="shared" si="76"/>
        <v>1.1040722301882675E-12</v>
      </c>
      <c r="G87" s="335">
        <f t="shared" si="76"/>
        <v>1.0959763546001752E-12</v>
      </c>
      <c r="H87" s="408">
        <f t="shared" si="76"/>
        <v>1.0785019775052855E-12</v>
      </c>
      <c r="I87" s="116">
        <f t="shared" si="76"/>
        <v>1.1148411954945889E-12</v>
      </c>
      <c r="J87" s="116">
        <f>J35/J$49</f>
        <v>1.1524048329023237E-12</v>
      </c>
      <c r="K87" s="116">
        <f t="shared" si="76"/>
        <v>1.1912341455120534E-12</v>
      </c>
      <c r="L87" s="116">
        <f t="shared" si="76"/>
        <v>1.2313717791863058E-12</v>
      </c>
      <c r="M87" s="116">
        <f t="shared" si="76"/>
        <v>1.2728618167041167E-12</v>
      </c>
      <c r="N87" s="178">
        <f t="shared" si="76"/>
        <v>1.3157498261767234E-12</v>
      </c>
      <c r="O87" s="116">
        <f t="shared" si="76"/>
        <v>1.3399588021439308E-12</v>
      </c>
      <c r="P87" s="116">
        <f t="shared" si="76"/>
        <v>1.364613208166093E-12</v>
      </c>
      <c r="Q87" s="116">
        <f t="shared" si="76"/>
        <v>1.3897212398783387E-12</v>
      </c>
      <c r="R87" s="116">
        <f t="shared" si="76"/>
        <v>1.4152912437103689E-12</v>
      </c>
      <c r="S87" s="116">
        <f t="shared" si="76"/>
        <v>1.4413317196609856E-12</v>
      </c>
      <c r="T87" s="116">
        <f t="shared" si="76"/>
        <v>1.4678513241236652E-12</v>
      </c>
      <c r="U87" s="116">
        <f t="shared" si="76"/>
        <v>1.4948588727641243E-12</v>
      </c>
      <c r="V87" s="116">
        <f t="shared" si="76"/>
        <v>1.5223633434508281E-12</v>
      </c>
      <c r="W87" s="116">
        <f t="shared" si="76"/>
        <v>1.5503738792394212E-12</v>
      </c>
      <c r="X87" s="178">
        <f t="shared" si="76"/>
        <v>1.5788997914120681E-12</v>
      </c>
      <c r="Y87" s="173">
        <f t="shared" si="76"/>
        <v>1.6034271991731748E-12</v>
      </c>
      <c r="Z87" s="173">
        <f t="shared" si="76"/>
        <v>1.6283356277785118E-12</v>
      </c>
      <c r="AA87" s="173">
        <f t="shared" si="76"/>
        <v>1.6536309961937182E-12</v>
      </c>
      <c r="AB87" s="173">
        <f t="shared" si="76"/>
        <v>1.6793193153325626E-12</v>
      </c>
      <c r="AC87" s="173">
        <f t="shared" si="76"/>
        <v>1.7054066894853116E-12</v>
      </c>
      <c r="AD87" s="173">
        <f t="shared" si="76"/>
        <v>1.7318993177692862E-12</v>
      </c>
      <c r="AE87" s="173">
        <f t="shared" si="76"/>
        <v>1.7588034956019521E-12</v>
      </c>
      <c r="AF87" s="173">
        <f t="shared" si="76"/>
        <v>1.7861256161968936E-12</v>
      </c>
      <c r="AG87" s="173">
        <f t="shared" si="76"/>
        <v>1.8138721720830266E-12</v>
      </c>
      <c r="AH87" s="178">
        <f t="shared" si="76"/>
        <v>1.8420497566474129E-12</v>
      </c>
      <c r="AI87" s="127"/>
    </row>
    <row r="88" spans="1:35">
      <c r="A88" s="9" t="s">
        <v>119</v>
      </c>
      <c r="B88" s="37"/>
      <c r="C88" s="409">
        <f t="shared" ref="C88:AH88" si="77">C36/C$49</f>
        <v>0</v>
      </c>
      <c r="D88" s="335">
        <f t="shared" si="77"/>
        <v>0</v>
      </c>
      <c r="E88" s="335">
        <f t="shared" si="77"/>
        <v>0</v>
      </c>
      <c r="F88" s="335">
        <f t="shared" si="77"/>
        <v>0</v>
      </c>
      <c r="G88" s="335">
        <f t="shared" si="77"/>
        <v>0</v>
      </c>
      <c r="H88" s="408">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09">
        <f t="shared" ref="C89:AH89" si="78">C37/C$49</f>
        <v>5.6960583276372749E-4</v>
      </c>
      <c r="D89" s="335">
        <f t="shared" si="78"/>
        <v>6.3444835809140442E-4</v>
      </c>
      <c r="E89" s="335">
        <f t="shared" si="78"/>
        <v>6.086372841379935E-4</v>
      </c>
      <c r="F89" s="335">
        <f t="shared" si="78"/>
        <v>6.2914480605823003E-4</v>
      </c>
      <c r="G89" s="335">
        <f t="shared" si="78"/>
        <v>6.5034331169942718E-4</v>
      </c>
      <c r="H89" s="408">
        <f t="shared" si="78"/>
        <v>1.236898904640545E-4</v>
      </c>
      <c r="I89" s="116">
        <f t="shared" si="78"/>
        <v>1.2785751740067208E-4</v>
      </c>
      <c r="J89" s="116">
        <f t="shared" si="78"/>
        <v>1.3216556902533532E-4</v>
      </c>
      <c r="K89" s="116">
        <f t="shared" si="78"/>
        <v>1.3661877682992504E-4</v>
      </c>
      <c r="L89" s="116">
        <f t="shared" si="78"/>
        <v>1.4122203172996559E-4</v>
      </c>
      <c r="M89" s="116">
        <f t="shared" si="78"/>
        <v>1.4598038943627067E-4</v>
      </c>
      <c r="N89" s="178">
        <f t="shared" si="78"/>
        <v>1.5089907600758208E-4</v>
      </c>
      <c r="O89" s="116">
        <f t="shared" si="78"/>
        <v>1.53675524867284E-4</v>
      </c>
      <c r="P89" s="116">
        <f t="shared" si="78"/>
        <v>1.5650305865390853E-4</v>
      </c>
      <c r="Q89" s="116">
        <f t="shared" si="78"/>
        <v>1.5938261729824159E-4</v>
      </c>
      <c r="R89" s="116">
        <f t="shared" si="78"/>
        <v>1.6231515802520919E-4</v>
      </c>
      <c r="S89" s="116">
        <f t="shared" si="78"/>
        <v>1.6530165567207866E-4</v>
      </c>
      <c r="T89" s="116">
        <f t="shared" si="78"/>
        <v>1.6834310301251513E-4</v>
      </c>
      <c r="U89" s="116">
        <f t="shared" si="78"/>
        <v>1.7144051108659961E-4</v>
      </c>
      <c r="V89" s="116">
        <f t="shared" si="78"/>
        <v>1.7459490953692009E-4</v>
      </c>
      <c r="W89" s="116">
        <f t="shared" si="78"/>
        <v>1.7780734695084554E-4</v>
      </c>
      <c r="X89" s="178">
        <f t="shared" si="78"/>
        <v>1.8107889120909851E-4</v>
      </c>
      <c r="Y89" s="173">
        <f t="shared" si="78"/>
        <v>1.8389185997745998E-4</v>
      </c>
      <c r="Z89" s="173">
        <f t="shared" si="78"/>
        <v>1.8674852678946942E-4</v>
      </c>
      <c r="AA89" s="173">
        <f t="shared" si="78"/>
        <v>1.8964957047208004E-4</v>
      </c>
      <c r="AB89" s="173">
        <f t="shared" si="78"/>
        <v>1.9259568039747772E-4</v>
      </c>
      <c r="AC89" s="173">
        <f t="shared" si="78"/>
        <v>1.9558755664689565E-4</v>
      </c>
      <c r="AD89" s="173">
        <f t="shared" si="78"/>
        <v>1.9862591017697406E-4</v>
      </c>
      <c r="AE89" s="173">
        <f t="shared" si="78"/>
        <v>2.0171146298870416E-4</v>
      </c>
      <c r="AF89" s="173">
        <f t="shared" si="78"/>
        <v>2.0484494829899646E-4</v>
      </c>
      <c r="AG89" s="173">
        <f t="shared" si="78"/>
        <v>2.0802711071491448E-4</v>
      </c>
      <c r="AH89" s="178">
        <f t="shared" si="78"/>
        <v>2.1125870641061493E-4</v>
      </c>
      <c r="AI89" s="127"/>
    </row>
    <row r="90" spans="1:35" s="251" customFormat="1">
      <c r="A90" s="10" t="s">
        <v>347</v>
      </c>
      <c r="B90" s="37"/>
      <c r="C90" s="409">
        <f t="shared" ref="C90:AH90" si="79">C38/C$49</f>
        <v>0</v>
      </c>
      <c r="D90" s="335">
        <f t="shared" si="79"/>
        <v>0</v>
      </c>
      <c r="E90" s="335">
        <f t="shared" si="79"/>
        <v>2.1266167726835577E-6</v>
      </c>
      <c r="F90" s="335">
        <f t="shared" si="79"/>
        <v>2.2081444603765345E-6</v>
      </c>
      <c r="G90" s="335">
        <f t="shared" si="79"/>
        <v>2.1919527092003506E-6</v>
      </c>
      <c r="H90" s="408">
        <f t="shared" si="79"/>
        <v>2.1570039550105709E-6</v>
      </c>
      <c r="I90" s="395">
        <f t="shared" si="79"/>
        <v>2.2296823909891777E-6</v>
      </c>
      <c r="J90" s="395">
        <f t="shared" si="79"/>
        <v>2.3048096658046472E-6</v>
      </c>
      <c r="K90" s="395">
        <f t="shared" si="79"/>
        <v>2.3824682910241065E-6</v>
      </c>
      <c r="L90" s="395">
        <f t="shared" si="79"/>
        <v>2.4627435583726115E-6</v>
      </c>
      <c r="M90" s="395">
        <f t="shared" si="79"/>
        <v>2.5457236334082331E-6</v>
      </c>
      <c r="N90" s="396">
        <f t="shared" si="79"/>
        <v>2.6314996523534458E-6</v>
      </c>
      <c r="O90" s="395">
        <f t="shared" si="79"/>
        <v>2.6799176042878615E-6</v>
      </c>
      <c r="P90" s="395">
        <f t="shared" si="79"/>
        <v>2.7292264163321853E-6</v>
      </c>
      <c r="Q90" s="395">
        <f t="shared" si="79"/>
        <v>2.7794424797566762E-6</v>
      </c>
      <c r="R90" s="395">
        <f t="shared" si="79"/>
        <v>2.8305824874207371E-6</v>
      </c>
      <c r="S90" s="395">
        <f t="shared" si="79"/>
        <v>2.8826634393219708E-6</v>
      </c>
      <c r="T90" s="395">
        <f t="shared" si="79"/>
        <v>2.9357026482473302E-6</v>
      </c>
      <c r="U90" s="395">
        <f t="shared" si="79"/>
        <v>2.9897177455282481E-6</v>
      </c>
      <c r="V90" s="395">
        <f t="shared" si="79"/>
        <v>3.0447266869016558E-6</v>
      </c>
      <c r="W90" s="395">
        <f t="shared" si="79"/>
        <v>3.1007477584788422E-6</v>
      </c>
      <c r="X90" s="396">
        <f t="shared" si="79"/>
        <v>3.1577995828241356E-6</v>
      </c>
      <c r="Y90" s="395">
        <f t="shared" si="79"/>
        <v>3.2068543983463485E-6</v>
      </c>
      <c r="Z90" s="395">
        <f t="shared" si="79"/>
        <v>3.256671255557023E-6</v>
      </c>
      <c r="AA90" s="395">
        <f t="shared" si="79"/>
        <v>3.3072619923874357E-6</v>
      </c>
      <c r="AB90" s="395">
        <f t="shared" si="79"/>
        <v>3.3586386306651246E-6</v>
      </c>
      <c r="AC90" s="395">
        <f t="shared" si="79"/>
        <v>3.4108133789706227E-6</v>
      </c>
      <c r="AD90" s="395">
        <f t="shared" si="79"/>
        <v>3.4637986355385715E-6</v>
      </c>
      <c r="AE90" s="395">
        <f t="shared" si="79"/>
        <v>3.5176069912039038E-6</v>
      </c>
      <c r="AF90" s="395">
        <f t="shared" si="79"/>
        <v>3.5722512323937867E-6</v>
      </c>
      <c r="AG90" s="395">
        <f t="shared" si="79"/>
        <v>3.6277443441660527E-6</v>
      </c>
      <c r="AH90" s="396">
        <f t="shared" si="79"/>
        <v>3.6840995132948253E-6</v>
      </c>
      <c r="AI90" s="291"/>
    </row>
    <row r="91" spans="1:35" s="251" customFormat="1">
      <c r="A91" s="10" t="s">
        <v>348</v>
      </c>
      <c r="B91" s="37"/>
      <c r="C91" s="409">
        <f t="shared" ref="C91:AH91" si="80">C39/C$49</f>
        <v>0</v>
      </c>
      <c r="D91" s="335">
        <f t="shared" si="80"/>
        <v>0</v>
      </c>
      <c r="E91" s="335">
        <f t="shared" si="80"/>
        <v>1.0633083863417788E-6</v>
      </c>
      <c r="F91" s="335">
        <f t="shared" si="80"/>
        <v>1.1040722301882673E-6</v>
      </c>
      <c r="G91" s="335">
        <f t="shared" si="80"/>
        <v>1.0959763546001753E-6</v>
      </c>
      <c r="H91" s="408">
        <f t="shared" si="80"/>
        <v>1.0785019775052854E-6</v>
      </c>
      <c r="I91" s="395">
        <f t="shared" si="80"/>
        <v>1.1148411954945888E-6</v>
      </c>
      <c r="J91" s="395">
        <f t="shared" si="80"/>
        <v>1.1524048329023236E-6</v>
      </c>
      <c r="K91" s="395">
        <f t="shared" si="80"/>
        <v>1.1912341455120532E-6</v>
      </c>
      <c r="L91" s="395">
        <f t="shared" si="80"/>
        <v>1.2313717791863057E-6</v>
      </c>
      <c r="M91" s="395">
        <f t="shared" si="80"/>
        <v>1.2728618167041166E-6</v>
      </c>
      <c r="N91" s="396">
        <f t="shared" si="80"/>
        <v>1.3157498261767229E-6</v>
      </c>
      <c r="O91" s="395">
        <f t="shared" si="80"/>
        <v>1.3399588021439307E-6</v>
      </c>
      <c r="P91" s="395">
        <f t="shared" si="80"/>
        <v>1.3646132081660927E-6</v>
      </c>
      <c r="Q91" s="395">
        <f t="shared" si="80"/>
        <v>1.3897212398783381E-6</v>
      </c>
      <c r="R91" s="395">
        <f t="shared" si="80"/>
        <v>1.4152912437103685E-6</v>
      </c>
      <c r="S91" s="395">
        <f t="shared" si="80"/>
        <v>1.4413317196609854E-6</v>
      </c>
      <c r="T91" s="395">
        <f t="shared" si="80"/>
        <v>1.4678513241236651E-6</v>
      </c>
      <c r="U91" s="395">
        <f t="shared" si="80"/>
        <v>1.4948588727641241E-6</v>
      </c>
      <c r="V91" s="395">
        <f t="shared" si="80"/>
        <v>1.5223633434508279E-6</v>
      </c>
      <c r="W91" s="395">
        <f t="shared" si="80"/>
        <v>1.5503738792394211E-6</v>
      </c>
      <c r="X91" s="396">
        <f t="shared" si="80"/>
        <v>1.5788997914120678E-6</v>
      </c>
      <c r="Y91" s="395">
        <f t="shared" si="80"/>
        <v>1.6034271991731743E-6</v>
      </c>
      <c r="Z91" s="395">
        <f t="shared" si="80"/>
        <v>1.6283356277785115E-6</v>
      </c>
      <c r="AA91" s="395">
        <f t="shared" si="80"/>
        <v>1.6536309961937178E-6</v>
      </c>
      <c r="AB91" s="395">
        <f t="shared" si="80"/>
        <v>1.6793193153325623E-6</v>
      </c>
      <c r="AC91" s="395">
        <f t="shared" si="80"/>
        <v>1.7054066894853114E-6</v>
      </c>
      <c r="AD91" s="395">
        <f t="shared" si="80"/>
        <v>1.7318993177692858E-6</v>
      </c>
      <c r="AE91" s="395">
        <f t="shared" si="80"/>
        <v>1.7588034956019519E-6</v>
      </c>
      <c r="AF91" s="395">
        <f t="shared" si="80"/>
        <v>1.7861256161968933E-6</v>
      </c>
      <c r="AG91" s="395">
        <f t="shared" si="80"/>
        <v>1.8138721720830263E-6</v>
      </c>
      <c r="AH91" s="396">
        <f t="shared" si="80"/>
        <v>1.8420497566474127E-6</v>
      </c>
      <c r="AI91" s="291"/>
    </row>
    <row r="92" spans="1:35">
      <c r="A92" s="9" t="s">
        <v>344</v>
      </c>
      <c r="B92" s="37"/>
      <c r="C92" s="409">
        <f t="shared" ref="C92:AH92" si="81">C40/C$49</f>
        <v>1.139211665527455E-7</v>
      </c>
      <c r="D92" s="335">
        <f t="shared" si="81"/>
        <v>1.1775964454472086E-7</v>
      </c>
      <c r="E92" s="335">
        <f t="shared" si="81"/>
        <v>1.217274568275987E-7</v>
      </c>
      <c r="F92" s="335">
        <f t="shared" si="81"/>
        <v>1.2582896121164603E-7</v>
      </c>
      <c r="G92" s="335">
        <f t="shared" si="81"/>
        <v>1.3006866233988546E-7</v>
      </c>
      <c r="H92" s="408">
        <f t="shared" si="81"/>
        <v>1.0785019775052854E-7</v>
      </c>
      <c r="I92" s="116">
        <f t="shared" si="81"/>
        <v>1.1148411954945888E-7</v>
      </c>
      <c r="J92" s="116">
        <f t="shared" si="81"/>
        <v>1.1524048329023236E-7</v>
      </c>
      <c r="K92" s="116">
        <f t="shared" si="81"/>
        <v>1.1912341455120532E-7</v>
      </c>
      <c r="L92" s="116">
        <f t="shared" si="81"/>
        <v>1.2313717791863058E-7</v>
      </c>
      <c r="M92" s="116">
        <f t="shared" si="81"/>
        <v>1.2728618167041166E-7</v>
      </c>
      <c r="N92" s="178">
        <f t="shared" si="81"/>
        <v>1.3157498261767233E-7</v>
      </c>
      <c r="O92" s="116">
        <f t="shared" si="81"/>
        <v>1.3399588021439306E-7</v>
      </c>
      <c r="P92" s="116">
        <f t="shared" si="81"/>
        <v>1.3646132081660929E-7</v>
      </c>
      <c r="Q92" s="116">
        <f t="shared" si="81"/>
        <v>1.3897212398783384E-7</v>
      </c>
      <c r="R92" s="116">
        <f t="shared" si="81"/>
        <v>1.4152912437103688E-7</v>
      </c>
      <c r="S92" s="116">
        <f t="shared" si="81"/>
        <v>1.4413317196609856E-7</v>
      </c>
      <c r="T92" s="116">
        <f t="shared" si="81"/>
        <v>1.4678513241236653E-7</v>
      </c>
      <c r="U92" s="116">
        <f t="shared" si="81"/>
        <v>1.4948588727641243E-7</v>
      </c>
      <c r="V92" s="116">
        <f t="shared" si="81"/>
        <v>1.5223633434508279E-7</v>
      </c>
      <c r="W92" s="116">
        <f t="shared" si="81"/>
        <v>1.5503738792394215E-7</v>
      </c>
      <c r="X92" s="178">
        <f t="shared" si="81"/>
        <v>1.5788997914120677E-7</v>
      </c>
      <c r="Y92" s="173">
        <f t="shared" si="81"/>
        <v>1.6034271991731739E-7</v>
      </c>
      <c r="Z92" s="173">
        <f t="shared" si="81"/>
        <v>1.6283356277785112E-7</v>
      </c>
      <c r="AA92" s="173">
        <f t="shared" si="81"/>
        <v>1.6536309961937178E-7</v>
      </c>
      <c r="AB92" s="173">
        <f t="shared" si="81"/>
        <v>1.6793193153325622E-7</v>
      </c>
      <c r="AC92" s="173">
        <f t="shared" si="81"/>
        <v>1.7054066894853111E-7</v>
      </c>
      <c r="AD92" s="173">
        <f t="shared" si="81"/>
        <v>1.7318993177692858E-7</v>
      </c>
      <c r="AE92" s="173">
        <f t="shared" si="81"/>
        <v>1.7588034956019517E-7</v>
      </c>
      <c r="AF92" s="173">
        <f t="shared" si="81"/>
        <v>1.7861256161968934E-7</v>
      </c>
      <c r="AG92" s="173">
        <f t="shared" si="81"/>
        <v>1.8138721720830261E-7</v>
      </c>
      <c r="AH92" s="178">
        <f t="shared" si="81"/>
        <v>1.8420497566474126E-7</v>
      </c>
      <c r="AI92" s="127"/>
    </row>
    <row r="93" spans="1:35">
      <c r="A93" s="9" t="s">
        <v>120</v>
      </c>
      <c r="B93" s="37"/>
      <c r="C93" s="409">
        <f t="shared" ref="C93:AH93" si="82">C41/C$49</f>
        <v>0</v>
      </c>
      <c r="D93" s="335">
        <f t="shared" si="82"/>
        <v>0</v>
      </c>
      <c r="E93" s="335">
        <f t="shared" si="82"/>
        <v>0</v>
      </c>
      <c r="F93" s="335">
        <f t="shared" si="82"/>
        <v>0</v>
      </c>
      <c r="G93" s="335">
        <f t="shared" si="82"/>
        <v>0</v>
      </c>
      <c r="H93" s="408">
        <f t="shared" si="82"/>
        <v>1.0785019775052854E-5</v>
      </c>
      <c r="I93" s="116">
        <f t="shared" si="82"/>
        <v>2.0823534705140981E-5</v>
      </c>
      <c r="J93" s="116">
        <f t="shared" si="82"/>
        <v>3.2644324048586258E-5</v>
      </c>
      <c r="K93" s="116">
        <f t="shared" si="82"/>
        <v>4.2585717412606352E-5</v>
      </c>
      <c r="L93" s="116">
        <f t="shared" si="82"/>
        <v>5.2099288924733934E-5</v>
      </c>
      <c r="M93" s="116">
        <f t="shared" si="82"/>
        <v>6.2360698410611251E-5</v>
      </c>
      <c r="N93" s="178">
        <f t="shared" si="82"/>
        <v>7.2761225720082914E-5</v>
      </c>
      <c r="O93" s="116">
        <f t="shared" si="82"/>
        <v>8.2219062746075676E-5</v>
      </c>
      <c r="P93" s="116">
        <f t="shared" si="82"/>
        <v>9.1403520630886851E-5</v>
      </c>
      <c r="Q93" s="116">
        <f t="shared" si="82"/>
        <v>1.0205678116297952E-4</v>
      </c>
      <c r="R93" s="116">
        <f t="shared" si="82"/>
        <v>1.1074757960147416E-4</v>
      </c>
      <c r="S93" s="116">
        <f t="shared" si="82"/>
        <v>1.198995120855485E-4</v>
      </c>
      <c r="T93" s="116">
        <f t="shared" si="82"/>
        <v>1.29146401846504E-4</v>
      </c>
      <c r="U93" s="116">
        <f t="shared" si="82"/>
        <v>1.3815547393624392E-4</v>
      </c>
      <c r="V93" s="116">
        <f t="shared" si="82"/>
        <v>1.4691423661654417E-4</v>
      </c>
      <c r="W93" s="116">
        <f t="shared" si="82"/>
        <v>1.5432574326604853E-4</v>
      </c>
      <c r="X93" s="178">
        <f t="shared" si="82"/>
        <v>1.6329984451887207E-4</v>
      </c>
      <c r="Y93" s="173">
        <f t="shared" si="82"/>
        <v>1.7230717297368777E-4</v>
      </c>
      <c r="Z93" s="173">
        <f t="shared" si="82"/>
        <v>1.8241852937679213E-4</v>
      </c>
      <c r="AA93" s="173">
        <f t="shared" si="82"/>
        <v>1.9137803689464036E-4</v>
      </c>
      <c r="AB93" s="173">
        <f t="shared" si="82"/>
        <v>2.0035995828379013E-4</v>
      </c>
      <c r="AC93" s="173">
        <f t="shared" si="82"/>
        <v>2.0954031276773055E-4</v>
      </c>
      <c r="AD93" s="173">
        <f t="shared" si="82"/>
        <v>2.1893328294203212E-4</v>
      </c>
      <c r="AE93" s="173">
        <f t="shared" si="82"/>
        <v>2.2831637593604288E-4</v>
      </c>
      <c r="AF93" s="173">
        <f t="shared" si="82"/>
        <v>2.3814371922426241E-4</v>
      </c>
      <c r="AG93" s="173">
        <f t="shared" si="82"/>
        <v>2.4692768278316798E-4</v>
      </c>
      <c r="AH93" s="178">
        <f t="shared" si="82"/>
        <v>2.5363081883545736E-4</v>
      </c>
      <c r="AI93" s="127"/>
    </row>
    <row r="94" spans="1:35">
      <c r="A94" s="9" t="s">
        <v>53</v>
      </c>
      <c r="B94" s="37"/>
      <c r="C94" s="409">
        <f t="shared" ref="C94:AH94" si="83">C42/C$49</f>
        <v>5.6846662109820006E-3</v>
      </c>
      <c r="D94" s="335">
        <f t="shared" si="83"/>
        <v>1.0118357435078433E-2</v>
      </c>
      <c r="E94" s="335">
        <f t="shared" si="83"/>
        <v>1.0614437687554899E-2</v>
      </c>
      <c r="F94" s="335">
        <f t="shared" si="83"/>
        <v>1.7670084261447838E-2</v>
      </c>
      <c r="G94" s="335">
        <f t="shared" si="83"/>
        <v>2.7497174339740135E-2</v>
      </c>
      <c r="H94" s="408">
        <f t="shared" si="83"/>
        <v>2.845291622131901E-2</v>
      </c>
      <c r="I94" s="116">
        <f t="shared" si="83"/>
        <v>2.9792143116785488E-2</v>
      </c>
      <c r="J94" s="116">
        <f t="shared" si="83"/>
        <v>3.1194404980744831E-2</v>
      </c>
      <c r="K94" s="116">
        <f t="shared" si="83"/>
        <v>3.2662668754248128E-2</v>
      </c>
      <c r="L94" s="116">
        <f t="shared" si="83"/>
        <v>3.4200041026852881E-2</v>
      </c>
      <c r="M94" s="116">
        <f t="shared" si="83"/>
        <v>3.5809774609623583E-2</v>
      </c>
      <c r="N94" s="178">
        <f t="shared" si="83"/>
        <v>3.7495275417511499E-2</v>
      </c>
      <c r="O94" s="116">
        <f t="shared" si="83"/>
        <v>3.818516509365457E-2</v>
      </c>
      <c r="P94" s="116">
        <f t="shared" si="83"/>
        <v>3.8887748309448938E-2</v>
      </c>
      <c r="Q94" s="116">
        <f t="shared" si="83"/>
        <v>3.9603258618105298E-2</v>
      </c>
      <c r="R94" s="116">
        <f t="shared" si="83"/>
        <v>4.0331933870067699E-2</v>
      </c>
      <c r="S94" s="116">
        <f t="shared" si="83"/>
        <v>4.1074016292079976E-2</v>
      </c>
      <c r="T94" s="116">
        <f t="shared" si="83"/>
        <v>4.1829752567706963E-2</v>
      </c>
      <c r="U94" s="116">
        <f t="shared" si="83"/>
        <v>4.2599393919337154E-2</v>
      </c>
      <c r="V94" s="116">
        <f t="shared" si="83"/>
        <v>4.3383196191694298E-2</v>
      </c>
      <c r="W94" s="116">
        <f t="shared" si="83"/>
        <v>4.418141993688543E-2</v>
      </c>
      <c r="X94" s="178">
        <f t="shared" si="83"/>
        <v>4.4994330501013792E-2</v>
      </c>
      <c r="Y94" s="173">
        <f t="shared" si="83"/>
        <v>4.5693294613327322E-2</v>
      </c>
      <c r="Z94" s="173">
        <f t="shared" si="83"/>
        <v>4.6403116778752487E-2</v>
      </c>
      <c r="AA94" s="173">
        <f t="shared" si="83"/>
        <v>4.7123965671639352E-2</v>
      </c>
      <c r="AB94" s="173">
        <f t="shared" si="83"/>
        <v>4.7856012586608529E-2</v>
      </c>
      <c r="AC94" s="173">
        <f t="shared" si="83"/>
        <v>4.8599431479255689E-2</v>
      </c>
      <c r="AD94" s="173">
        <f t="shared" si="83"/>
        <v>4.9354399007488496E-2</v>
      </c>
      <c r="AE94" s="173">
        <f t="shared" si="83"/>
        <v>5.0121094573505637E-2</v>
      </c>
      <c r="AF94" s="173">
        <f t="shared" si="83"/>
        <v>5.0899700366428005E-2</v>
      </c>
      <c r="AG94" s="173">
        <f t="shared" si="83"/>
        <v>5.1690401405592119E-2</v>
      </c>
      <c r="AH94" s="178">
        <f t="shared" si="83"/>
        <v>5.2493385584516099E-2</v>
      </c>
      <c r="AI94" s="127"/>
    </row>
    <row r="95" spans="1:35" s="377" customFormat="1">
      <c r="A95" s="372" t="s">
        <v>541</v>
      </c>
      <c r="B95" s="373"/>
      <c r="C95" s="374">
        <f>SUM(C86:C94)</f>
        <v>6.27717019822283E-3</v>
      </c>
      <c r="D95" s="374">
        <f>SUM(D86:D94)</f>
        <v>1.0794573917021232E-2</v>
      </c>
      <c r="E95" s="374">
        <f>SUM(E86:E94)</f>
        <v>1.1302524927456595E-2</v>
      </c>
      <c r="F95" s="374">
        <f>SUM(F86:F94)</f>
        <v>1.8441850556104748E-2</v>
      </c>
      <c r="G95" s="374">
        <f t="shared" ref="G95:AH95" si="84">SUM(G86:G94)</f>
        <v>2.8491909785834935E-2</v>
      </c>
      <c r="H95" s="374">
        <f t="shared" si="84"/>
        <v>2.8921676379620908E-2</v>
      </c>
      <c r="I95" s="374">
        <f t="shared" si="84"/>
        <v>3.0549253366737226E-2</v>
      </c>
      <c r="J95" s="374">
        <f t="shared" si="84"/>
        <v>3.2468699182014761E-2</v>
      </c>
      <c r="K95" s="374">
        <f t="shared" si="84"/>
        <v>3.4867211078514558E-2</v>
      </c>
      <c r="L95" s="374">
        <f t="shared" si="84"/>
        <v>3.8092816383210826E-2</v>
      </c>
      <c r="M95" s="374">
        <f t="shared" si="84"/>
        <v>4.2777813051968677E-2</v>
      </c>
      <c r="N95" s="375">
        <f t="shared" si="84"/>
        <v>5.0072761225720089E-2</v>
      </c>
      <c r="O95" s="374">
        <f t="shared" si="84"/>
        <v>5.1002187870097297E-2</v>
      </c>
      <c r="P95" s="374">
        <f t="shared" si="84"/>
        <v>5.1948267987463305E-2</v>
      </c>
      <c r="Q95" s="374">
        <f t="shared" si="84"/>
        <v>5.2913055203125905E-2</v>
      </c>
      <c r="R95" s="374">
        <f t="shared" si="84"/>
        <v>5.3893435426229999E-2</v>
      </c>
      <c r="S95" s="374">
        <f t="shared" si="84"/>
        <v>5.4892155262602174E-2</v>
      </c>
      <c r="T95" s="374">
        <f t="shared" si="84"/>
        <v>5.5909177488337902E-2</v>
      </c>
      <c r="U95" s="374">
        <f t="shared" si="84"/>
        <v>5.6944504333880701E-2</v>
      </c>
      <c r="V95" s="374">
        <f t="shared" si="84"/>
        <v>5.7998464476774203E-2</v>
      </c>
      <c r="W95" s="374">
        <f t="shared" si="84"/>
        <v>5.9070308416980841E-2</v>
      </c>
      <c r="X95" s="375">
        <f t="shared" si="84"/>
        <v>6.0163299844518875E-2</v>
      </c>
      <c r="Y95" s="374">
        <f t="shared" si="84"/>
        <v>6.1558233119891739E-2</v>
      </c>
      <c r="Z95" s="374">
        <f t="shared" si="84"/>
        <v>6.2858926591921549E-2</v>
      </c>
      <c r="AA95" s="374">
        <f t="shared" si="84"/>
        <v>6.3523771697413245E-2</v>
      </c>
      <c r="AB95" s="374">
        <f t="shared" si="84"/>
        <v>6.4208353868799861E-2</v>
      </c>
      <c r="AC95" s="374">
        <f t="shared" si="84"/>
        <v>6.5098202456551818E-2</v>
      </c>
      <c r="AD95" s="374">
        <f t="shared" si="84"/>
        <v>6.6033090477315398E-2</v>
      </c>
      <c r="AE95" s="374">
        <f t="shared" si="84"/>
        <v>6.7064863134701128E-2</v>
      </c>
      <c r="AF95" s="374">
        <f t="shared" si="84"/>
        <v>6.8112962345914782E-2</v>
      </c>
      <c r="AG95" s="374">
        <f t="shared" si="84"/>
        <v>6.9176147204465965E-2</v>
      </c>
      <c r="AH95" s="375">
        <f t="shared" si="84"/>
        <v>7.0253630818835483E-2</v>
      </c>
      <c r="AI95" s="376"/>
    </row>
    <row r="96" spans="1:35">
      <c r="A96" s="10" t="s">
        <v>544</v>
      </c>
      <c r="B96" s="37"/>
      <c r="C96" s="331"/>
      <c r="D96" s="331">
        <f>D95/C95-1</f>
        <v>0.71965608325824149</v>
      </c>
      <c r="E96" s="331">
        <f t="shared" ref="E96:O96" si="85">E95/D95-1</f>
        <v>4.7056142682427637E-2</v>
      </c>
      <c r="F96" s="331">
        <f t="shared" si="85"/>
        <v>0.63165758752763157</v>
      </c>
      <c r="G96" s="331">
        <f t="shared" si="85"/>
        <v>0.54495936832127434</v>
      </c>
      <c r="H96" s="283"/>
      <c r="I96" s="164">
        <f t="shared" si="85"/>
        <v>5.6275333620120271E-2</v>
      </c>
      <c r="J96" s="164">
        <f t="shared" si="85"/>
        <v>6.2831185830795944E-2</v>
      </c>
      <c r="K96" s="164">
        <f t="shared" si="85"/>
        <v>7.38715118537423E-2</v>
      </c>
      <c r="L96" s="164">
        <f t="shared" si="85"/>
        <v>9.251113596188687E-2</v>
      </c>
      <c r="M96" s="164">
        <f t="shared" si="85"/>
        <v>0.12298898095712185</v>
      </c>
      <c r="N96" s="164">
        <f t="shared" si="85"/>
        <v>0.17053111539126919</v>
      </c>
      <c r="O96" s="172">
        <f t="shared" si="85"/>
        <v>1.8561521706132789E-2</v>
      </c>
      <c r="P96" s="172">
        <f t="shared" ref="P96:AH96" si="86">P95/O95-1</f>
        <v>1.8549794761269389E-2</v>
      </c>
      <c r="Q96" s="172">
        <f t="shared" si="86"/>
        <v>1.8572076664720161E-2</v>
      </c>
      <c r="R96" s="172">
        <f t="shared" si="86"/>
        <v>1.8528134868428081E-2</v>
      </c>
      <c r="S96" s="172">
        <f t="shared" si="86"/>
        <v>1.8531381947978431E-2</v>
      </c>
      <c r="T96" s="172">
        <f t="shared" si="86"/>
        <v>1.8527642444905457E-2</v>
      </c>
      <c r="U96" s="172">
        <f t="shared" si="86"/>
        <v>1.8518012463316191E-2</v>
      </c>
      <c r="V96" s="172">
        <f t="shared" si="86"/>
        <v>1.8508548897253618E-2</v>
      </c>
      <c r="W96" s="172">
        <f t="shared" si="86"/>
        <v>1.8480557198818026E-2</v>
      </c>
      <c r="X96" s="185">
        <f t="shared" si="86"/>
        <v>1.8503228725716969E-2</v>
      </c>
      <c r="Y96" s="172">
        <f t="shared" si="86"/>
        <v>2.3185784007489829E-2</v>
      </c>
      <c r="Z96" s="172">
        <f t="shared" si="86"/>
        <v>2.1129480267839451E-2</v>
      </c>
      <c r="AA96" s="172">
        <f t="shared" si="86"/>
        <v>1.0576781080081865E-2</v>
      </c>
      <c r="AB96" s="172">
        <f t="shared" si="86"/>
        <v>1.0776787226166817E-2</v>
      </c>
      <c r="AC96" s="172">
        <f t="shared" si="86"/>
        <v>1.3858766564397884E-2</v>
      </c>
      <c r="AD96" s="172">
        <f t="shared" si="86"/>
        <v>1.4361195631900081E-2</v>
      </c>
      <c r="AE96" s="172">
        <f t="shared" si="86"/>
        <v>1.562508508881888E-2</v>
      </c>
      <c r="AF96" s="172">
        <f t="shared" si="86"/>
        <v>1.562814210339214E-2</v>
      </c>
      <c r="AG96" s="172">
        <f t="shared" si="86"/>
        <v>1.5609141372412427E-2</v>
      </c>
      <c r="AH96" s="185">
        <f t="shared" si="86"/>
        <v>1.5575941388940917E-2</v>
      </c>
      <c r="AI96" s="127"/>
    </row>
    <row r="97" spans="1:36">
      <c r="A97" s="10"/>
      <c r="B97" s="37"/>
      <c r="C97" s="331"/>
      <c r="D97" s="331"/>
      <c r="E97" s="331"/>
      <c r="F97" s="331"/>
      <c r="G97" s="331"/>
      <c r="H97" s="283"/>
      <c r="I97" s="164"/>
      <c r="J97" s="164"/>
      <c r="K97" s="164"/>
      <c r="L97" s="164"/>
      <c r="M97" s="164"/>
      <c r="N97" s="180"/>
      <c r="O97" s="164"/>
      <c r="P97" s="164"/>
      <c r="Q97" s="164"/>
      <c r="R97" s="164"/>
      <c r="S97" s="164"/>
      <c r="T97" s="164"/>
      <c r="U97" s="164"/>
      <c r="V97" s="164"/>
      <c r="W97" s="164"/>
      <c r="X97" s="185"/>
      <c r="AI97" s="127"/>
    </row>
    <row r="98" spans="1:36">
      <c r="A98" s="10"/>
      <c r="B98" s="37"/>
      <c r="C98" s="331"/>
      <c r="D98" s="331"/>
      <c r="E98" s="331"/>
      <c r="F98" s="331"/>
      <c r="G98" s="331"/>
      <c r="H98" s="283"/>
      <c r="I98" s="172"/>
      <c r="J98" s="172"/>
      <c r="K98" s="172"/>
      <c r="L98" s="172"/>
      <c r="M98" s="172"/>
      <c r="N98" s="185"/>
      <c r="O98" s="172"/>
      <c r="P98" s="172"/>
      <c r="Q98" s="172"/>
      <c r="R98" s="172"/>
      <c r="S98" s="172"/>
      <c r="T98" s="172"/>
      <c r="U98" s="172"/>
      <c r="V98" s="172"/>
      <c r="W98" s="172"/>
      <c r="X98" s="185"/>
      <c r="AI98" s="127"/>
    </row>
    <row r="99" spans="1:36">
      <c r="A99" s="1" t="s">
        <v>139</v>
      </c>
      <c r="C99" s="327">
        <v>2009</v>
      </c>
      <c r="D99" s="327">
        <v>2010</v>
      </c>
      <c r="E99" s="327">
        <v>2011</v>
      </c>
      <c r="F99" s="327">
        <v>2012</v>
      </c>
      <c r="G99" s="327">
        <v>2013</v>
      </c>
      <c r="H99" s="399">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0">
        <v>0</v>
      </c>
      <c r="D100" s="330">
        <f xml:space="preserve"> IF(D29*Inputs!$C44 &gt; 0, D29*Inputs!$C44, 0)</f>
        <v>0</v>
      </c>
      <c r="E100" s="330">
        <f xml:space="preserve"> IF(E29*Inputs!$C44 &gt; 0, E29*Inputs!$C44, 0)</f>
        <v>0</v>
      </c>
      <c r="F100" s="330">
        <f xml:space="preserve"> IF(F29*Inputs!$C44 &gt; 0, F29*Inputs!$C44, 0)</f>
        <v>0</v>
      </c>
      <c r="G100" s="330">
        <f xml:space="preserve"> IF(G29*Inputs!$C44 &gt; 0, G29*Inputs!$C44, 0)</f>
        <v>0</v>
      </c>
      <c r="H100" s="401">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0">
        <v>0</v>
      </c>
      <c r="D101" s="330">
        <f>D30*Inputs!$C47</f>
        <v>0</v>
      </c>
      <c r="E101" s="330">
        <f>E30*Inputs!$C47</f>
        <v>0</v>
      </c>
      <c r="F101" s="330">
        <f>F30*Inputs!$C47</f>
        <v>0</v>
      </c>
      <c r="G101" s="330">
        <f>G30*Inputs!$C47</f>
        <v>0</v>
      </c>
      <c r="H101" s="401">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0">
        <f>C31*Inputs!$C$48</f>
        <v>272.54849999999999</v>
      </c>
      <c r="D102" s="330">
        <f>D31*Inputs!$C$48</f>
        <v>296.42040380775853</v>
      </c>
      <c r="E102" s="330">
        <f>E31*Inputs!$C$48</f>
        <v>317.87973201288872</v>
      </c>
      <c r="F102" s="330">
        <f>F31*Inputs!$C$48</f>
        <v>318.60330548761766</v>
      </c>
      <c r="G102" s="330">
        <f>G31*Inputs!$C$48</f>
        <v>333.50896453062541</v>
      </c>
      <c r="H102" s="401">
        <f>H31*Inputs!$C$48</f>
        <v>250.22621999999998</v>
      </c>
      <c r="I102" s="14">
        <f>I31*Inputs!$C$48</f>
        <v>289.92251159578166</v>
      </c>
      <c r="J102" s="14">
        <f>J31*Inputs!$C$48</f>
        <v>306.80832105245469</v>
      </c>
      <c r="K102" s="14">
        <f>K31*Inputs!$C$48</f>
        <v>343.62955313916285</v>
      </c>
      <c r="L102" s="14">
        <f>L31*Inputs!$C$48</f>
        <v>381.80355752743475</v>
      </c>
      <c r="M102" s="14">
        <f>M31*Inputs!$C$48</f>
        <v>413.55371804777985</v>
      </c>
      <c r="N102" s="182">
        <f>N31*Inputs!$C$48</f>
        <v>444.29055749999998</v>
      </c>
      <c r="O102" s="14">
        <f>O31*Inputs!$C$48</f>
        <v>446.54940962245308</v>
      </c>
      <c r="P102" s="14">
        <f>P31*Inputs!$C$48</f>
        <v>449.05293510134192</v>
      </c>
      <c r="Q102" s="14">
        <f>Q31*Inputs!$C$48</f>
        <v>444.04262891617134</v>
      </c>
      <c r="R102" s="14">
        <f>R31*Inputs!$C$48</f>
        <v>447.25582872801908</v>
      </c>
      <c r="S102" s="14">
        <f>S31*Inputs!$C$48</f>
        <v>447.79028327847834</v>
      </c>
      <c r="T102" s="14">
        <f>T31*Inputs!$C$48</f>
        <v>447.47332130395483</v>
      </c>
      <c r="U102" s="14">
        <f>U31*Inputs!$C$48</f>
        <v>447.55156921055101</v>
      </c>
      <c r="V102" s="14">
        <f>V31*Inputs!$C$48</f>
        <v>447.99079624238715</v>
      </c>
      <c r="W102" s="14">
        <f>W31*Inputs!$C$48</f>
        <v>451.92168170194054</v>
      </c>
      <c r="X102" s="187">
        <f>X31*Inputs!$C$48</f>
        <v>450.78101653186565</v>
      </c>
      <c r="Y102" s="158">
        <f>Y31*Inputs!$C$48</f>
        <v>480.80856086244006</v>
      </c>
      <c r="Z102" s="158">
        <f>Z31*Inputs!$C$48</f>
        <v>507.7661986381147</v>
      </c>
      <c r="AA102" s="158">
        <f>AA31*Inputs!$C$48</f>
        <v>537.94087168714077</v>
      </c>
      <c r="AB102" s="158">
        <f>AB31*Inputs!$C$48</f>
        <v>568.07297793875478</v>
      </c>
      <c r="AC102" s="158">
        <f>AC31*Inputs!$C$48</f>
        <v>597.65585002666398</v>
      </c>
      <c r="AD102" s="158">
        <f>AD31*Inputs!$C$48</f>
        <v>626.63754402971551</v>
      </c>
      <c r="AE102" s="158">
        <f>AE31*Inputs!$C$48</f>
        <v>655.64960248497925</v>
      </c>
      <c r="AF102" s="158">
        <f>AF31*Inputs!$C$48</f>
        <v>683.38637464191345</v>
      </c>
      <c r="AG102" s="158">
        <f>AG31*Inputs!$C$48</f>
        <v>714.12693848264018</v>
      </c>
      <c r="AH102" s="187">
        <f>AH31*Inputs!$C$48</f>
        <v>750.99766511926259</v>
      </c>
    </row>
    <row r="103" spans="1:36">
      <c r="A103" s="10" t="s">
        <v>59</v>
      </c>
      <c r="B103" s="35">
        <v>0</v>
      </c>
      <c r="C103" s="330">
        <f>C32*Inputs!$C$53</f>
        <v>1434.5800000000002</v>
      </c>
      <c r="D103" s="330">
        <f>D32*Inputs!$C$53</f>
        <v>1474.7238239433921</v>
      </c>
      <c r="E103" s="330">
        <f>E32*Inputs!$C$53</f>
        <v>1497.2524986756591</v>
      </c>
      <c r="F103" s="330">
        <f>F32*Inputs!$C$53</f>
        <v>1422.8385869604335</v>
      </c>
      <c r="G103" s="330">
        <f>G32*Inputs!$C$53</f>
        <v>1414.0743082536924</v>
      </c>
      <c r="H103" s="401">
        <f>H32*Inputs!$C$53</f>
        <v>1303.6285359999999</v>
      </c>
      <c r="I103" s="14">
        <f>I32*Inputs!$C$53</f>
        <v>1349.7147866680882</v>
      </c>
      <c r="J103" s="14">
        <f>J32*Inputs!$C$53</f>
        <v>1290.8375564373184</v>
      </c>
      <c r="K103" s="14">
        <f>K32*Inputs!$C$53</f>
        <v>1318.6984581844747</v>
      </c>
      <c r="L103" s="14">
        <f>L32*Inputs!$C$53</f>
        <v>1346.7253655297216</v>
      </c>
      <c r="M103" s="14">
        <f>M32*Inputs!$C$53</f>
        <v>1349.498381452647</v>
      </c>
      <c r="N103" s="182">
        <f>N32*Inputs!$C$53</f>
        <v>1348.7183849999999</v>
      </c>
      <c r="O103" s="14">
        <f>O32*Inputs!$C$53</f>
        <v>1355.5755088688741</v>
      </c>
      <c r="P103" s="14">
        <f>P32*Inputs!$C$53</f>
        <v>1363.1753796824537</v>
      </c>
      <c r="Q103" s="14">
        <f>Q32*Inputs!$C$53</f>
        <v>1347.9657562674461</v>
      </c>
      <c r="R103" s="14">
        <f>R32*Inputs!$C$53</f>
        <v>1357.719962355694</v>
      </c>
      <c r="S103" s="14">
        <f>S32*Inputs!$C$53</f>
        <v>1359.3423886395369</v>
      </c>
      <c r="T103" s="14">
        <f>T32*Inputs!$C$53</f>
        <v>1358.3801974896928</v>
      </c>
      <c r="U103" s="14">
        <f>U32*Inputs!$C$53</f>
        <v>1358.6177321129983</v>
      </c>
      <c r="V103" s="14">
        <f>V32*Inputs!$C$53</f>
        <v>1359.9510793179438</v>
      </c>
      <c r="W103" s="14">
        <f>W32*Inputs!$C$53</f>
        <v>1371.883940368291</v>
      </c>
      <c r="X103" s="187">
        <f>X32*Inputs!$C$53</f>
        <v>1368.4212602369255</v>
      </c>
      <c r="Y103" s="158">
        <f>Y32*Inputs!$C$53</f>
        <v>1459.5748992494948</v>
      </c>
      <c r="Z103" s="158">
        <f>Z32*Inputs!$C$53</f>
        <v>1541.4093228501417</v>
      </c>
      <c r="AA103" s="158">
        <f>AA32*Inputs!$C$53</f>
        <v>1633.0095957246911</v>
      </c>
      <c r="AB103" s="158">
        <f>AB32*Inputs!$C$53</f>
        <v>1724.4806499577649</v>
      </c>
      <c r="AC103" s="158">
        <f>AC32*Inputs!$C$53</f>
        <v>1814.2844119161014</v>
      </c>
      <c r="AD103" s="158">
        <f>AD32*Inputs!$C$53</f>
        <v>1902.2631971288833</v>
      </c>
      <c r="AE103" s="158">
        <f>AE32*Inputs!$C$53</f>
        <v>1990.3341587209691</v>
      </c>
      <c r="AF103" s="158">
        <f>AF32*Inputs!$C$53</f>
        <v>2074.5337752041828</v>
      </c>
      <c r="AG103" s="158">
        <f>AG32*Inputs!$C$53</f>
        <v>2167.8519043369502</v>
      </c>
      <c r="AH103" s="187">
        <f>AH32*Inputs!$C$53</f>
        <v>2279.779169149735</v>
      </c>
    </row>
    <row r="104" spans="1:36">
      <c r="A104" s="10" t="s">
        <v>121</v>
      </c>
      <c r="B104" s="35">
        <v>1</v>
      </c>
      <c r="C104" s="330">
        <f>C34*Inputs!$C$46</f>
        <v>0.42</v>
      </c>
      <c r="D104" s="330">
        <f>D34*Inputs!$C$46</f>
        <v>0.79959452896298411</v>
      </c>
      <c r="E104" s="330">
        <f>E34*Inputs!$C$46</f>
        <v>1.5037070753069768</v>
      </c>
      <c r="F104" s="330">
        <f>F34*Inputs!$C$46</f>
        <v>2.6473379175573335</v>
      </c>
      <c r="G104" s="330">
        <f>G34*Inputs!$C$46</f>
        <v>6.5334044999999996</v>
      </c>
      <c r="H104" s="401">
        <f>H34*Inputs!$C$46</f>
        <v>6.443919300000001</v>
      </c>
      <c r="I104" s="14">
        <f>I34*Inputs!$C$46</f>
        <v>12.201998507380763</v>
      </c>
      <c r="J104" s="14">
        <f>J34*Inputs!$C$46</f>
        <v>21.342897643150415</v>
      </c>
      <c r="K104" s="14">
        <f>K34*Inputs!$C$46</f>
        <v>39.876792166047288</v>
      </c>
      <c r="L104" s="14">
        <f>L34*Inputs!$C$46</f>
        <v>74.481220399382494</v>
      </c>
      <c r="M104" s="14">
        <f>M34*Inputs!$C$46</f>
        <v>136.50018495237796</v>
      </c>
      <c r="N104" s="182">
        <f>N34*Inputs!$C$46</f>
        <v>249.50277350295073</v>
      </c>
      <c r="O104" s="14">
        <f>O34*Inputs!$C$46</f>
        <v>256.98805293847926</v>
      </c>
      <c r="P104" s="14">
        <f>P34*Inputs!$C$46</f>
        <v>264.84585405622624</v>
      </c>
      <c r="Q104" s="14">
        <f>Q34*Inputs!$C$46</f>
        <v>268.40453609682481</v>
      </c>
      <c r="R104" s="14">
        <f>R34*Inputs!$C$46</f>
        <v>277.08198118077229</v>
      </c>
      <c r="S104" s="14">
        <f>S34*Inputs!$C$46</f>
        <v>284.3359658679517</v>
      </c>
      <c r="T104" s="14">
        <f>T34*Inputs!$C$46</f>
        <v>291.23739196387237</v>
      </c>
      <c r="U104" s="14">
        <f>U34*Inputs!$C$46</f>
        <v>298.58236593409288</v>
      </c>
      <c r="V104" s="14">
        <f>V34*Inputs!$C$46</f>
        <v>306.37245539555408</v>
      </c>
      <c r="W104" s="14">
        <f>W34*Inputs!$C$46</f>
        <v>316.82691672616835</v>
      </c>
      <c r="X104" s="187">
        <f>X34*Inputs!$C$46</f>
        <v>323.98264025304587</v>
      </c>
      <c r="Y104" s="158">
        <f>Y34*Inputs!$C$46</f>
        <v>340.1149542</v>
      </c>
      <c r="Z104" s="158">
        <f>Z34*Inputs!$C$46</f>
        <v>351.74915580000004</v>
      </c>
      <c r="AA104" s="158">
        <f>AA34*Inputs!$C$46</f>
        <v>351.43708320000002</v>
      </c>
      <c r="AB104" s="158">
        <f>AB34*Inputs!$C$46</f>
        <v>351.15765299999998</v>
      </c>
      <c r="AC104" s="158">
        <f>AC34*Inputs!$C$46</f>
        <v>354.72031770000007</v>
      </c>
      <c r="AD104" s="158">
        <f>AD34*Inputs!$C$46</f>
        <v>358.62677480809498</v>
      </c>
      <c r="AE104" s="158">
        <f>AE34*Inputs!$C$46</f>
        <v>364.41439359948396</v>
      </c>
      <c r="AF104" s="158">
        <f>AF34*Inputs!$C$46</f>
        <v>369.58718025707486</v>
      </c>
      <c r="AG104" s="158">
        <f>AG34*Inputs!$C$46</f>
        <v>376.45603859122963</v>
      </c>
      <c r="AH104" s="187">
        <f>AH34*Inputs!$C$46</f>
        <v>386.51568291875009</v>
      </c>
    </row>
    <row r="105" spans="1:36">
      <c r="A105" s="10" t="s">
        <v>50</v>
      </c>
      <c r="B105" s="35">
        <v>1</v>
      </c>
      <c r="C105" s="330">
        <f>C35*Inputs!$C$49</f>
        <v>0</v>
      </c>
      <c r="D105" s="330">
        <f>D35*Inputs!$C$49</f>
        <v>0</v>
      </c>
      <c r="E105" s="330">
        <f>E35*Inputs!$C$49</f>
        <v>2.5000000000000002E-8</v>
      </c>
      <c r="F105" s="330">
        <f>F35*Inputs!$C$49</f>
        <v>2.5000000000000002E-8</v>
      </c>
      <c r="G105" s="330">
        <f>G35*Inputs!$C$49</f>
        <v>2.5000000000000002E-8</v>
      </c>
      <c r="H105" s="401">
        <f>H35*Inputs!$C$49</f>
        <v>2.5000000000000002E-8</v>
      </c>
      <c r="I105" s="14">
        <f>I35*Inputs!$C$49</f>
        <v>2.6768778962856707E-8</v>
      </c>
      <c r="J105" s="14">
        <f>J35*Inputs!$C$49</f>
        <v>2.6476382950688595E-8</v>
      </c>
      <c r="K105" s="14">
        <f>K35*Inputs!$C$49</f>
        <v>2.7972621289207651E-8</v>
      </c>
      <c r="L105" s="14">
        <f>L35*Inputs!$C$49</f>
        <v>2.9543872013426771E-8</v>
      </c>
      <c r="M105" s="14">
        <f>M35*Inputs!$C$49</f>
        <v>3.0616923378319498E-8</v>
      </c>
      <c r="N105" s="182">
        <f>N35*Inputs!$C$49</f>
        <v>3.1645456395517167E-8</v>
      </c>
      <c r="O105" s="14">
        <f>O35*Inputs!$C$49</f>
        <v>3.2594844976091319E-8</v>
      </c>
      <c r="P105" s="14">
        <f>P35*Inputs!$C$49</f>
        <v>3.35914820039894E-8</v>
      </c>
      <c r="Q105" s="14">
        <f>Q35*Inputs!$C$49</f>
        <v>3.4042844190309707E-8</v>
      </c>
      <c r="R105" s="14">
        <f>R35*Inputs!$C$49</f>
        <v>3.5143440012044359E-8</v>
      </c>
      <c r="S105" s="14">
        <f>S35*Inputs!$C$49</f>
        <v>3.6063492534463186E-8</v>
      </c>
      <c r="T105" s="14">
        <f>T35*Inputs!$C$49</f>
        <v>3.6938828609966804E-8</v>
      </c>
      <c r="U105" s="14">
        <f>U35*Inputs!$C$49</f>
        <v>3.7870421674995698E-8</v>
      </c>
      <c r="V105" s="14">
        <f>V35*Inputs!$C$49</f>
        <v>3.8858470556812765E-8</v>
      </c>
      <c r="W105" s="14">
        <f>W35*Inputs!$C$49</f>
        <v>4.0184452611167216E-8</v>
      </c>
      <c r="X105" s="187">
        <f>X35*Inputs!$C$49</f>
        <v>4.1092042269065345E-8</v>
      </c>
      <c r="Y105" s="158">
        <f>Y35*Inputs!$C$49</f>
        <v>4.1875345476076724E-8</v>
      </c>
      <c r="Z105" s="158">
        <f>Z35*Inputs!$C$49</f>
        <v>4.2400266345596094E-8</v>
      </c>
      <c r="AA105" s="158">
        <f>AA35*Inputs!$C$49</f>
        <v>4.3203259449883848E-8</v>
      </c>
      <c r="AB105" s="158">
        <f>AB35*Inputs!$C$49</f>
        <v>4.4002935921000519E-8</v>
      </c>
      <c r="AC105" s="158">
        <f>AC35*Inputs!$C$49</f>
        <v>4.4763399788213471E-8</v>
      </c>
      <c r="AD105" s="158">
        <f>AD35*Inputs!$C$49</f>
        <v>4.5486099433360839E-8</v>
      </c>
      <c r="AE105" s="158">
        <f>AE35*Inputs!$C$49</f>
        <v>4.6220166776682811E-8</v>
      </c>
      <c r="AF105" s="158">
        <f>AF35*Inputs!$C$49</f>
        <v>4.687625244786743E-8</v>
      </c>
      <c r="AG105" s="158">
        <f>AG35*Inputs!$C$49</f>
        <v>4.7747457821053018E-8</v>
      </c>
      <c r="AH105" s="187">
        <f>AH35*Inputs!$C$49</f>
        <v>4.9023363621423586E-8</v>
      </c>
    </row>
    <row r="106" spans="1:36">
      <c r="A106" s="10" t="s">
        <v>119</v>
      </c>
      <c r="B106" s="35">
        <v>1</v>
      </c>
      <c r="C106" s="330"/>
      <c r="D106" s="330"/>
      <c r="E106" s="330"/>
      <c r="F106" s="330"/>
      <c r="G106" s="330"/>
      <c r="H106" s="401"/>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0">
        <f>C37*Inputs!$C$52</f>
        <v>7.5</v>
      </c>
      <c r="D107" s="330">
        <f>D37*Inputs!$C$52</f>
        <v>8.6999999999999993</v>
      </c>
      <c r="E107" s="330">
        <f>E37*Inputs!$C$52</f>
        <v>8.5859938465070957</v>
      </c>
      <c r="F107" s="330">
        <f>F37*Inputs!$C$52</f>
        <v>8.5476038911550347</v>
      </c>
      <c r="G107" s="330">
        <f>G37*Inputs!$C$52</f>
        <v>8.9008760403870202</v>
      </c>
      <c r="H107" s="401">
        <f>H37*Inputs!$C$52</f>
        <v>1.7203013027871106</v>
      </c>
      <c r="I107" s="14">
        <f>I37*Inputs!$C$52</f>
        <v>1.8420146129529036</v>
      </c>
      <c r="J107" s="14">
        <f>J37*Inputs!$C$52</f>
        <v>1.8218942433264009</v>
      </c>
      <c r="K107" s="14">
        <f>K37*Inputs!$C$52</f>
        <v>1.9248534738477752</v>
      </c>
      <c r="L107" s="14">
        <f>L37*Inputs!$C$52</f>
        <v>2.0329744605629489</v>
      </c>
      <c r="M107" s="14">
        <f>M37*Inputs!$C$52</f>
        <v>2.1068133270022469</v>
      </c>
      <c r="N107" s="182">
        <f>N37*Inputs!$C$52</f>
        <v>2.1775887945800347</v>
      </c>
      <c r="O107" s="14">
        <f>O37*Inputs!$C$52</f>
        <v>2.2429181710605519</v>
      </c>
      <c r="P107" s="14">
        <f>P37*Inputs!$C$52</f>
        <v>2.3114988101605092</v>
      </c>
      <c r="Q107" s="14">
        <f>Q37*Inputs!$C$52</f>
        <v>2.3425579684467355</v>
      </c>
      <c r="R107" s="14">
        <f>R37*Inputs!$C$52</f>
        <v>2.4182922254856232</v>
      </c>
      <c r="S107" s="14">
        <f>S37*Inputs!$C$52</f>
        <v>2.48160292760361</v>
      </c>
      <c r="T107" s="14">
        <f>T37*Inputs!$C$52</f>
        <v>2.5418365992462277</v>
      </c>
      <c r="U107" s="14">
        <f>U37*Inputs!$C$52</f>
        <v>2.6059414297836927</v>
      </c>
      <c r="V107" s="14">
        <f>V37*Inputs!$C$52</f>
        <v>2.6739311009279834</v>
      </c>
      <c r="W107" s="14">
        <f>W37*Inputs!$C$52</f>
        <v>2.7651746471511149</v>
      </c>
      <c r="X107" s="187">
        <f>X37*Inputs!$C$52</f>
        <v>2.8276277539862442</v>
      </c>
      <c r="Y107" s="158">
        <f>Y37*Inputs!$C$52</f>
        <v>2.8815284550862041</v>
      </c>
      <c r="Z107" s="158">
        <f>Z37*Inputs!$C$52</f>
        <v>2.9176493373139771</v>
      </c>
      <c r="AA107" s="158">
        <f>AA37*Inputs!$C$52</f>
        <v>2.9729049406513886</v>
      </c>
      <c r="AB107" s="158">
        <f>AB37*Inputs!$C$52</f>
        <v>3.0279323196541972</v>
      </c>
      <c r="AC107" s="158">
        <f>AC37*Inputs!$C$52</f>
        <v>3.0802613989137559</v>
      </c>
      <c r="AD107" s="158">
        <f>AD37*Inputs!$C$52</f>
        <v>3.1299918445565877</v>
      </c>
      <c r="AE107" s="158">
        <f>AE37*Inputs!$C$52</f>
        <v>3.1805045248385988</v>
      </c>
      <c r="AF107" s="158">
        <f>AF37*Inputs!$C$52</f>
        <v>3.2256511262337528</v>
      </c>
      <c r="AG107" s="158">
        <f>AG37*Inputs!$C$52</f>
        <v>3.2856005557732049</v>
      </c>
      <c r="AH107" s="187">
        <f>AH37*Inputs!$C$52</f>
        <v>3.3733982521976489</v>
      </c>
    </row>
    <row r="108" spans="1:36">
      <c r="A108" s="9" t="s">
        <v>347</v>
      </c>
      <c r="B108" s="35">
        <v>1</v>
      </c>
      <c r="C108" s="330">
        <f>C38*Inputs!$C$54</f>
        <v>0</v>
      </c>
      <c r="D108" s="330">
        <f>D38*Inputs!$C$54</f>
        <v>0</v>
      </c>
      <c r="E108" s="330">
        <f>E38*Inputs!$C$54</f>
        <v>0.15800000000000003</v>
      </c>
      <c r="F108" s="330">
        <f>F38*Inputs!$C$54</f>
        <v>0.15800000000000003</v>
      </c>
      <c r="G108" s="330">
        <f>G38*Inputs!$C$54</f>
        <v>0.15800000000000003</v>
      </c>
      <c r="H108" s="401">
        <f>H38*Inputs!$C$54</f>
        <v>0.15800000000000003</v>
      </c>
      <c r="I108" s="14">
        <f>I38*Inputs!$C$54</f>
        <v>0.16917868304525438</v>
      </c>
      <c r="J108" s="14">
        <f>J38*Inputs!$C$54</f>
        <v>0.1673307402483519</v>
      </c>
      <c r="K108" s="14">
        <f>K38*Inputs!$C$54</f>
        <v>0.17678696654779233</v>
      </c>
      <c r="L108" s="14">
        <f>L38*Inputs!$C$54</f>
        <v>0.1867172711248572</v>
      </c>
      <c r="M108" s="14">
        <f>M38*Inputs!$C$54</f>
        <v>0.19349895575097922</v>
      </c>
      <c r="N108" s="182">
        <f>N38*Inputs!$C$54</f>
        <v>0.19999928441966844</v>
      </c>
      <c r="O108" s="14">
        <f>O38*Inputs!$C$54</f>
        <v>0.20599942024889714</v>
      </c>
      <c r="P108" s="14">
        <f>P38*Inputs!$C$54</f>
        <v>0.21229816626521297</v>
      </c>
      <c r="Q108" s="14">
        <f>Q38*Inputs!$C$54</f>
        <v>0.21515077528275728</v>
      </c>
      <c r="R108" s="14">
        <f>R38*Inputs!$C$54</f>
        <v>0.22210654087612031</v>
      </c>
      <c r="S108" s="14">
        <f>S38*Inputs!$C$54</f>
        <v>0.22792127281780733</v>
      </c>
      <c r="T108" s="14">
        <f>T38*Inputs!$C$54</f>
        <v>0.23345339681499019</v>
      </c>
      <c r="U108" s="14">
        <f>U38*Inputs!$C$54</f>
        <v>0.2393410649859728</v>
      </c>
      <c r="V108" s="14">
        <f>V38*Inputs!$C$54</f>
        <v>0.24558553391905666</v>
      </c>
      <c r="W108" s="14">
        <f>W38*Inputs!$C$54</f>
        <v>0.25396574050257675</v>
      </c>
      <c r="X108" s="187">
        <f>X38*Inputs!$C$54</f>
        <v>0.25970170714049295</v>
      </c>
      <c r="Y108" s="158">
        <f>Y38*Inputs!$C$54</f>
        <v>0.26465218340880486</v>
      </c>
      <c r="Z108" s="158">
        <f>Z38*Inputs!$C$54</f>
        <v>0.26796968330416726</v>
      </c>
      <c r="AA108" s="158">
        <f>AA38*Inputs!$C$54</f>
        <v>0.27304459972326589</v>
      </c>
      <c r="AB108" s="158">
        <f>AB38*Inputs!$C$54</f>
        <v>0.27809855502072323</v>
      </c>
      <c r="AC108" s="158">
        <f>AC38*Inputs!$C$54</f>
        <v>0.28290468666150909</v>
      </c>
      <c r="AD108" s="158">
        <f>AD38*Inputs!$C$54</f>
        <v>0.28747214841884045</v>
      </c>
      <c r="AE108" s="158">
        <f>AE38*Inputs!$C$54</f>
        <v>0.29211145402863536</v>
      </c>
      <c r="AF108" s="158">
        <f>AF38*Inputs!$C$54</f>
        <v>0.29625791547052216</v>
      </c>
      <c r="AG108" s="158">
        <f>AG38*Inputs!$C$54</f>
        <v>0.30176393342905505</v>
      </c>
      <c r="AH108" s="187">
        <f>AH38*Inputs!$C$54</f>
        <v>0.30982765808739704</v>
      </c>
    </row>
    <row r="109" spans="1:36">
      <c r="A109" s="9" t="s">
        <v>348</v>
      </c>
      <c r="B109" s="35">
        <v>1</v>
      </c>
      <c r="C109" s="330">
        <f>C39*Inputs!$C$54</f>
        <v>0</v>
      </c>
      <c r="D109" s="330">
        <f>D39*Inputs!$C$55</f>
        <v>0</v>
      </c>
      <c r="E109" s="330">
        <f>E39*Inputs!$C$55</f>
        <v>2.3000000000000003E-2</v>
      </c>
      <c r="F109" s="330">
        <f>F39*Inputs!$C$55</f>
        <v>2.3000000000000003E-2</v>
      </c>
      <c r="G109" s="330">
        <f>G39*Inputs!$C$55</f>
        <v>2.3000000000000003E-2</v>
      </c>
      <c r="H109" s="401">
        <f>H39*Inputs!$C$55</f>
        <v>2.3000000000000003E-2</v>
      </c>
      <c r="I109" s="14">
        <f>I39*Inputs!$C$55</f>
        <v>2.4627276645828169E-2</v>
      </c>
      <c r="J109" s="14">
        <f>J39*Inputs!$C$55</f>
        <v>2.4358272314633504E-2</v>
      </c>
      <c r="K109" s="14">
        <f>K39*Inputs!$C$55</f>
        <v>2.5734811586071035E-2</v>
      </c>
      <c r="L109" s="14">
        <f>L39*Inputs!$C$55</f>
        <v>2.7180362252352628E-2</v>
      </c>
      <c r="M109" s="14">
        <f>M39*Inputs!$C$55</f>
        <v>2.8167569508053936E-2</v>
      </c>
      <c r="N109" s="182">
        <f>N39*Inputs!$C$55</f>
        <v>2.9113819883875784E-2</v>
      </c>
      <c r="O109" s="14">
        <f>O39*Inputs!$C$55</f>
        <v>2.9987257378004013E-2</v>
      </c>
      <c r="P109" s="14">
        <f>P39*Inputs!$C$55</f>
        <v>3.0904163443670241E-2</v>
      </c>
      <c r="Q109" s="14">
        <f>Q39*Inputs!$C$55</f>
        <v>3.131941665508492E-2</v>
      </c>
      <c r="R109" s="14">
        <f>R39*Inputs!$C$55</f>
        <v>3.2331964811080804E-2</v>
      </c>
      <c r="S109" s="14">
        <f>S39*Inputs!$C$55</f>
        <v>3.3178413131706129E-2</v>
      </c>
      <c r="T109" s="14">
        <f>T39*Inputs!$C$55</f>
        <v>3.398372232116946E-2</v>
      </c>
      <c r="U109" s="14">
        <f>U39*Inputs!$C$55</f>
        <v>3.4840787940996036E-2</v>
      </c>
      <c r="V109" s="14">
        <f>V39*Inputs!$C$55</f>
        <v>3.5749792912267743E-2</v>
      </c>
      <c r="W109" s="14">
        <f>W39*Inputs!$C$55</f>
        <v>3.6969696402273836E-2</v>
      </c>
      <c r="X109" s="187">
        <f>X39*Inputs!$C$55</f>
        <v>3.7804678887540112E-2</v>
      </c>
      <c r="Y109" s="158">
        <f>Y39*Inputs!$C$55</f>
        <v>3.8525317837990576E-2</v>
      </c>
      <c r="Z109" s="158">
        <f>Z39*Inputs!$C$55</f>
        <v>3.9008245037948398E-2</v>
      </c>
      <c r="AA109" s="158">
        <f>AA39*Inputs!$C$55</f>
        <v>3.9746998693893136E-2</v>
      </c>
      <c r="AB109" s="158">
        <f>AB39*Inputs!$C$55</f>
        <v>4.048270104732047E-2</v>
      </c>
      <c r="AC109" s="158">
        <f>AC39*Inputs!$C$55</f>
        <v>4.1182327805156384E-2</v>
      </c>
      <c r="AD109" s="158">
        <f>AD39*Inputs!$C$55</f>
        <v>4.1847211478691963E-2</v>
      </c>
      <c r="AE109" s="158">
        <f>AE39*Inputs!$C$55</f>
        <v>4.2522553434548187E-2</v>
      </c>
      <c r="AF109" s="158">
        <f>AF39*Inputs!$C$55</f>
        <v>4.312615225203803E-2</v>
      </c>
      <c r="AG109" s="158">
        <f>AG39*Inputs!$C$55</f>
        <v>4.392766119536877E-2</v>
      </c>
      <c r="AH109" s="187">
        <f>AH39*Inputs!$C$55</f>
        <v>4.5101494531709696E-2</v>
      </c>
    </row>
    <row r="110" spans="1:36">
      <c r="A110" s="9" t="s">
        <v>344</v>
      </c>
      <c r="B110" s="35">
        <v>1</v>
      </c>
      <c r="C110" s="330">
        <f>C40*Inputs!$C$51</f>
        <v>2.7000000000000001E-3</v>
      </c>
      <c r="D110" s="330">
        <f>D40*Inputs!$C$51</f>
        <v>2.9066448199471088E-3</v>
      </c>
      <c r="E110" s="330">
        <f>E40*Inputs!$C$51</f>
        <v>3.0909577847425549E-3</v>
      </c>
      <c r="F110" s="330">
        <f>F40*Inputs!$C$51</f>
        <v>3.0771374008158135E-3</v>
      </c>
      <c r="G110" s="330">
        <f>G40*Inputs!$C$51</f>
        <v>3.2043153745393276E-3</v>
      </c>
      <c r="H110" s="401">
        <f>H40*Inputs!$C$51</f>
        <v>2.7000000000000001E-3</v>
      </c>
      <c r="I110" s="14">
        <f>I40*Inputs!$C$51</f>
        <v>2.8910281279885242E-3</v>
      </c>
      <c r="J110" s="14">
        <f>J40*Inputs!$C$51</f>
        <v>2.859449358674368E-3</v>
      </c>
      <c r="K110" s="14">
        <f>K40*Inputs!$C$51</f>
        <v>3.021043099234426E-3</v>
      </c>
      <c r="L110" s="14">
        <f>L40*Inputs!$C$51</f>
        <v>3.1907381774500918E-3</v>
      </c>
      <c r="M110" s="14">
        <f>M40*Inputs!$C$51</f>
        <v>3.3066277248585056E-3</v>
      </c>
      <c r="N110" s="182">
        <f>N40*Inputs!$C$51</f>
        <v>3.4177092907158538E-3</v>
      </c>
      <c r="O110" s="14">
        <f>O40*Inputs!$C$51</f>
        <v>3.5202432574178624E-3</v>
      </c>
      <c r="P110" s="14">
        <f>P40*Inputs!$C$51</f>
        <v>3.6278800564308552E-3</v>
      </c>
      <c r="Q110" s="14">
        <f>Q40*Inputs!$C$51</f>
        <v>3.6766271725534481E-3</v>
      </c>
      <c r="R110" s="14">
        <f>R40*Inputs!$C$51</f>
        <v>3.7954915213007905E-3</v>
      </c>
      <c r="S110" s="14">
        <f>S40*Inputs!$C$51</f>
        <v>3.8948571937220248E-3</v>
      </c>
      <c r="T110" s="14">
        <f>T40*Inputs!$C$51</f>
        <v>3.9893934898764154E-3</v>
      </c>
      <c r="U110" s="14">
        <f>U40*Inputs!$C$51</f>
        <v>4.090005540899536E-3</v>
      </c>
      <c r="V110" s="14">
        <f>V40*Inputs!$C$51</f>
        <v>4.1967148201357786E-3</v>
      </c>
      <c r="W110" s="14">
        <f>W40*Inputs!$C$51</f>
        <v>4.3399208820060599E-3</v>
      </c>
      <c r="X110" s="187">
        <f>X40*Inputs!$C$51</f>
        <v>4.4379405650590564E-3</v>
      </c>
      <c r="Y110" s="158">
        <f>Y40*Inputs!$C$51</f>
        <v>4.5225373114162843E-3</v>
      </c>
      <c r="Z110" s="158">
        <f>Z40*Inputs!$C$51</f>
        <v>4.5792287653243771E-3</v>
      </c>
      <c r="AA110" s="158">
        <f>AA40*Inputs!$C$51</f>
        <v>4.6659520205874546E-3</v>
      </c>
      <c r="AB110" s="158">
        <f>AB40*Inputs!$C$51</f>
        <v>4.7523170794680552E-3</v>
      </c>
      <c r="AC110" s="158">
        <f>AC40*Inputs!$C$51</f>
        <v>4.834447177127053E-3</v>
      </c>
      <c r="AD110" s="158">
        <f>AD40*Inputs!$C$51</f>
        <v>4.9124987388029688E-3</v>
      </c>
      <c r="AE110" s="158">
        <f>AE40*Inputs!$C$51</f>
        <v>4.9917780118817435E-3</v>
      </c>
      <c r="AF110" s="158">
        <f>AF40*Inputs!$C$51</f>
        <v>5.0626352643696818E-3</v>
      </c>
      <c r="AG110" s="158">
        <f>AG40*Inputs!$C$51</f>
        <v>5.1567254446737249E-3</v>
      </c>
      <c r="AH110" s="187">
        <f>AH40*Inputs!$C$51</f>
        <v>5.2945232711137467E-3</v>
      </c>
    </row>
    <row r="111" spans="1:36">
      <c r="A111" s="10" t="s">
        <v>120</v>
      </c>
      <c r="B111" s="35">
        <v>1</v>
      </c>
      <c r="C111" s="330"/>
      <c r="D111" s="330"/>
      <c r="E111" s="330"/>
      <c r="F111" s="330"/>
      <c r="G111" s="330"/>
      <c r="H111" s="401"/>
      <c r="I111" s="14"/>
      <c r="J111" s="14"/>
      <c r="K111" s="14"/>
      <c r="L111" s="14"/>
      <c r="M111" s="14"/>
      <c r="N111" s="187"/>
      <c r="O111" s="14"/>
      <c r="P111" s="14"/>
      <c r="Q111" s="14"/>
      <c r="R111" s="14"/>
      <c r="S111" s="14"/>
      <c r="T111" s="14"/>
      <c r="U111" s="14"/>
      <c r="V111" s="14"/>
      <c r="W111" s="14"/>
      <c r="X111" s="187"/>
    </row>
    <row r="112" spans="1:36">
      <c r="A112" s="10" t="s">
        <v>53</v>
      </c>
      <c r="B112" s="35">
        <v>1</v>
      </c>
      <c r="C112" s="330">
        <f>C42*Inputs!$C$57</f>
        <v>84.830000000000013</v>
      </c>
      <c r="D112" s="330">
        <f>D42*Inputs!$C$57</f>
        <v>157.25</v>
      </c>
      <c r="E112" s="330">
        <f>E42*Inputs!$C$57</f>
        <v>169.70188800000003</v>
      </c>
      <c r="F112" s="330">
        <f>F42*Inputs!$C$57</f>
        <v>272.07588800000002</v>
      </c>
      <c r="G112" s="330">
        <f>G42*Inputs!$C$57</f>
        <v>426.51646800000003</v>
      </c>
      <c r="H112" s="401">
        <f>H42*Inputs!$C$57</f>
        <v>448.49206200000009</v>
      </c>
      <c r="I112" s="14">
        <f>I42*Inputs!$C$57</f>
        <v>486.43656339508516</v>
      </c>
      <c r="J112" s="14">
        <f>J42*Inputs!$C$57</f>
        <v>487.34801543145602</v>
      </c>
      <c r="K112" s="14">
        <f>K42*Inputs!$C$57</f>
        <v>521.55079454676218</v>
      </c>
      <c r="L112" s="14">
        <f>L42*Inputs!$C$57</f>
        <v>557.97373578018392</v>
      </c>
      <c r="M112" s="14">
        <f>M42*Inputs!$C$57</f>
        <v>585.72099146985863</v>
      </c>
      <c r="N112" s="182">
        <f>N42*Inputs!$C$57</f>
        <v>613.23015528204928</v>
      </c>
      <c r="O112" s="14">
        <f>O42*Inputs!$C$57</f>
        <v>631.62754223744707</v>
      </c>
      <c r="P112" s="14">
        <f>P42*Inputs!$C$57</f>
        <v>650.94051632570688</v>
      </c>
      <c r="Q112" s="14">
        <f>Q42*Inputs!$C$57</f>
        <v>659.68707697397906</v>
      </c>
      <c r="R112" s="14">
        <f>R42*Inputs!$C$57</f>
        <v>681.01457935630287</v>
      </c>
      <c r="S112" s="14">
        <f>S42*Inputs!$C$57</f>
        <v>698.84348800400585</v>
      </c>
      <c r="T112" s="14">
        <f>T42*Inputs!$C$57</f>
        <v>715.80587498291834</v>
      </c>
      <c r="U112" s="14">
        <f>U42*Inputs!$C$57</f>
        <v>733.85841790684583</v>
      </c>
      <c r="V112" s="14">
        <f>V42*Inputs!$C$57</f>
        <v>753.00496967876995</v>
      </c>
      <c r="W112" s="14">
        <f>W42*Inputs!$C$57</f>
        <v>778.70003853573792</v>
      </c>
      <c r="X112" s="187">
        <f>X42*Inputs!$C$57</f>
        <v>796.28744002204053</v>
      </c>
      <c r="Y112" s="158">
        <f>Y42*Inputs!$C$57</f>
        <v>811.46640098455509</v>
      </c>
      <c r="Z112" s="158">
        <f>Z42*Inputs!$C$57</f>
        <v>821.6383922588459</v>
      </c>
      <c r="AA112" s="158">
        <f>AA42*Inputs!$C$57</f>
        <v>837.19890685147323</v>
      </c>
      <c r="AB112" s="158">
        <f>AB42*Inputs!$C$57</f>
        <v>852.69515125475311</v>
      </c>
      <c r="AC112" s="158">
        <f>AC42*Inputs!$C$57</f>
        <v>867.43152824198614</v>
      </c>
      <c r="AD112" s="158">
        <f>AD42*Inputs!$C$57</f>
        <v>881.43610476244953</v>
      </c>
      <c r="AE112" s="158">
        <f>AE42*Inputs!$C$57</f>
        <v>895.66096615508161</v>
      </c>
      <c r="AF112" s="158">
        <f>AF42*Inputs!$C$57</f>
        <v>908.37468761292303</v>
      </c>
      <c r="AG112" s="158">
        <f>AG42*Inputs!$C$57</f>
        <v>925.25702925476571</v>
      </c>
      <c r="AH112" s="187">
        <f>AH42*Inputs!$C$57</f>
        <v>949.98171333918776</v>
      </c>
      <c r="AI112" s="31" t="s">
        <v>0</v>
      </c>
    </row>
    <row r="113" spans="1:35" s="20" customFormat="1">
      <c r="A113" s="10" t="s">
        <v>384</v>
      </c>
      <c r="B113" s="37"/>
      <c r="C113" s="333">
        <f>SUM(C100:C112)</f>
        <v>1799.8812000000003</v>
      </c>
      <c r="D113" s="333">
        <f t="shared" ref="D113:AH113" si="87">SUM(D100:D112)</f>
        <v>1937.8967289249333</v>
      </c>
      <c r="E113" s="333">
        <f t="shared" si="87"/>
        <v>1995.1079105931465</v>
      </c>
      <c r="F113" s="333">
        <f t="shared" si="87"/>
        <v>2024.8967994191642</v>
      </c>
      <c r="G113" s="333">
        <f t="shared" si="87"/>
        <v>2189.718225665079</v>
      </c>
      <c r="H113" s="403">
        <f t="shared" si="87"/>
        <v>2010.694738627787</v>
      </c>
      <c r="I113" s="19">
        <f t="shared" si="87"/>
        <v>2140.3145717938764</v>
      </c>
      <c r="J113" s="19">
        <f t="shared" si="87"/>
        <v>2108.353233296104</v>
      </c>
      <c r="K113" s="19">
        <f t="shared" si="87"/>
        <v>2225.8859943595007</v>
      </c>
      <c r="L113" s="19">
        <f t="shared" si="87"/>
        <v>2363.2339420983844</v>
      </c>
      <c r="M113" s="19">
        <f t="shared" si="87"/>
        <v>2487.6050624332665</v>
      </c>
      <c r="N113" s="182">
        <f t="shared" si="87"/>
        <v>2658.1519909248195</v>
      </c>
      <c r="O113" s="19">
        <f t="shared" si="87"/>
        <v>2693.2229387917928</v>
      </c>
      <c r="P113" s="19">
        <f t="shared" si="87"/>
        <v>2730.573014219246</v>
      </c>
      <c r="Q113" s="19">
        <f t="shared" si="87"/>
        <v>2722.6927030760212</v>
      </c>
      <c r="R113" s="19">
        <f t="shared" si="87"/>
        <v>2765.7488778786255</v>
      </c>
      <c r="S113" s="19">
        <f t="shared" si="87"/>
        <v>2793.0587232967828</v>
      </c>
      <c r="T113" s="19">
        <f t="shared" si="87"/>
        <v>2815.7100488892493</v>
      </c>
      <c r="U113" s="19">
        <f t="shared" si="87"/>
        <v>2841.4942984906102</v>
      </c>
      <c r="V113" s="19">
        <f t="shared" si="87"/>
        <v>2870.2787638160926</v>
      </c>
      <c r="W113" s="19">
        <f t="shared" si="87"/>
        <v>2922.3930273772603</v>
      </c>
      <c r="X113" s="182">
        <f t="shared" si="87"/>
        <v>2942.6019291655484</v>
      </c>
      <c r="Y113" s="205">
        <f t="shared" si="87"/>
        <v>3095.1540438320098</v>
      </c>
      <c r="Z113" s="205">
        <f t="shared" si="87"/>
        <v>3225.7922760839238</v>
      </c>
      <c r="AA113" s="205">
        <f t="shared" si="87"/>
        <v>3362.8768199975971</v>
      </c>
      <c r="AB113" s="205">
        <f t="shared" si="87"/>
        <v>3499.7576980880772</v>
      </c>
      <c r="AC113" s="205">
        <f t="shared" si="87"/>
        <v>3637.5012907900723</v>
      </c>
      <c r="AD113" s="205">
        <f t="shared" si="87"/>
        <v>3772.4278444778229</v>
      </c>
      <c r="AE113" s="205">
        <f t="shared" si="87"/>
        <v>3909.5792513170472</v>
      </c>
      <c r="AF113" s="205">
        <f t="shared" si="87"/>
        <v>4039.4521155921916</v>
      </c>
      <c r="AG113" s="205">
        <f t="shared" si="87"/>
        <v>4187.3283595891753</v>
      </c>
      <c r="AH113" s="182">
        <f t="shared" si="87"/>
        <v>4371.0078525040462</v>
      </c>
      <c r="AI113" s="31" t="s">
        <v>0</v>
      </c>
    </row>
    <row r="114" spans="1:35" s="20" customFormat="1">
      <c r="A114" s="10" t="s">
        <v>385</v>
      </c>
      <c r="B114" s="37"/>
      <c r="C114" s="333">
        <f>SUM(C101:C103)</f>
        <v>1707.1285000000003</v>
      </c>
      <c r="D114" s="333">
        <f t="shared" ref="D114:AH114" si="88">SUM(D101:D103)</f>
        <v>1771.1442277511505</v>
      </c>
      <c r="E114" s="333">
        <f t="shared" si="88"/>
        <v>1815.1322306885479</v>
      </c>
      <c r="F114" s="333">
        <f t="shared" si="88"/>
        <v>1741.4418924480512</v>
      </c>
      <c r="G114" s="333">
        <f t="shared" si="88"/>
        <v>1747.5832727843178</v>
      </c>
      <c r="H114" s="403">
        <f t="shared" si="88"/>
        <v>1553.854756</v>
      </c>
      <c r="I114" s="19">
        <f t="shared" si="88"/>
        <v>1639.63729826387</v>
      </c>
      <c r="J114" s="19">
        <f t="shared" si="88"/>
        <v>1597.6458774897731</v>
      </c>
      <c r="K114" s="19">
        <f t="shared" si="88"/>
        <v>1662.3280113236376</v>
      </c>
      <c r="L114" s="19">
        <f t="shared" si="88"/>
        <v>1728.5289230571564</v>
      </c>
      <c r="M114" s="19">
        <f t="shared" si="88"/>
        <v>1763.0520995004267</v>
      </c>
      <c r="N114" s="182">
        <f t="shared" si="88"/>
        <v>1793.0089424999999</v>
      </c>
      <c r="O114" s="19">
        <f t="shared" si="88"/>
        <v>1802.1249184913272</v>
      </c>
      <c r="P114" s="19">
        <f t="shared" si="88"/>
        <v>1812.2283147837957</v>
      </c>
      <c r="Q114" s="19">
        <f t="shared" si="88"/>
        <v>1792.0083851836175</v>
      </c>
      <c r="R114" s="19">
        <f t="shared" si="88"/>
        <v>1804.9757910837129</v>
      </c>
      <c r="S114" s="19">
        <f t="shared" si="88"/>
        <v>1807.1326719180151</v>
      </c>
      <c r="T114" s="19">
        <f t="shared" si="88"/>
        <v>1805.8535187936477</v>
      </c>
      <c r="U114" s="19">
        <f t="shared" si="88"/>
        <v>1806.1693013235492</v>
      </c>
      <c r="V114" s="19">
        <f t="shared" si="88"/>
        <v>1807.941875560331</v>
      </c>
      <c r="W114" s="19">
        <f t="shared" si="88"/>
        <v>1823.8056220702315</v>
      </c>
      <c r="X114" s="182">
        <f t="shared" si="88"/>
        <v>1819.2022767687911</v>
      </c>
      <c r="Y114" s="205">
        <f t="shared" si="88"/>
        <v>1940.3834601119349</v>
      </c>
      <c r="Z114" s="205">
        <f t="shared" si="88"/>
        <v>2049.1755214882564</v>
      </c>
      <c r="AA114" s="205">
        <f t="shared" si="88"/>
        <v>2170.9504674118316</v>
      </c>
      <c r="AB114" s="205">
        <f t="shared" si="88"/>
        <v>2292.5536278965196</v>
      </c>
      <c r="AC114" s="205">
        <f t="shared" si="88"/>
        <v>2411.9402619427656</v>
      </c>
      <c r="AD114" s="205">
        <f t="shared" si="88"/>
        <v>2528.900741158599</v>
      </c>
      <c r="AE114" s="205">
        <f t="shared" si="88"/>
        <v>2645.9837612059482</v>
      </c>
      <c r="AF114" s="205">
        <f t="shared" si="88"/>
        <v>2757.9201498460961</v>
      </c>
      <c r="AG114" s="205">
        <f t="shared" si="88"/>
        <v>2881.9788428195902</v>
      </c>
      <c r="AH114" s="182">
        <f t="shared" si="88"/>
        <v>3030.7768342689978</v>
      </c>
      <c r="AI114" s="31"/>
    </row>
    <row r="115" spans="1:35" s="20" customFormat="1">
      <c r="A115" s="10" t="s">
        <v>386</v>
      </c>
      <c r="B115" s="37"/>
      <c r="C115" s="333">
        <f>SUMPRODUCT($B104:$B112,C104:C112)</f>
        <v>92.752700000000019</v>
      </c>
      <c r="D115" s="333">
        <f t="shared" ref="D115:AH115" si="89">SUMPRODUCT($B104:$B112,D104:D112)</f>
        <v>166.75250117378295</v>
      </c>
      <c r="E115" s="333">
        <f t="shared" si="89"/>
        <v>179.97567990459885</v>
      </c>
      <c r="F115" s="333">
        <f t="shared" si="89"/>
        <v>283.45490697111319</v>
      </c>
      <c r="G115" s="333">
        <f t="shared" si="89"/>
        <v>442.1349528807616</v>
      </c>
      <c r="H115" s="403">
        <f t="shared" si="89"/>
        <v>456.83998262778721</v>
      </c>
      <c r="I115" s="19">
        <f t="shared" si="89"/>
        <v>500.67727353000669</v>
      </c>
      <c r="J115" s="19">
        <f t="shared" si="89"/>
        <v>510.7073558063309</v>
      </c>
      <c r="K115" s="19">
        <f t="shared" si="89"/>
        <v>563.557983035863</v>
      </c>
      <c r="L115" s="19">
        <f t="shared" si="89"/>
        <v>634.70501904122784</v>
      </c>
      <c r="M115" s="19">
        <f t="shared" si="89"/>
        <v>724.55296293283959</v>
      </c>
      <c r="N115" s="182">
        <f t="shared" si="89"/>
        <v>865.14304842481977</v>
      </c>
      <c r="O115" s="19">
        <f t="shared" si="89"/>
        <v>891.09802030046603</v>
      </c>
      <c r="P115" s="19">
        <f t="shared" si="89"/>
        <v>918.34469943545048</v>
      </c>
      <c r="Q115" s="19">
        <f t="shared" si="89"/>
        <v>930.6843178924039</v>
      </c>
      <c r="R115" s="19">
        <f t="shared" si="89"/>
        <v>960.77308679491273</v>
      </c>
      <c r="S115" s="19">
        <f t="shared" si="89"/>
        <v>985.92605137876785</v>
      </c>
      <c r="T115" s="19">
        <f t="shared" si="89"/>
        <v>1009.8565300956018</v>
      </c>
      <c r="U115" s="19">
        <f t="shared" si="89"/>
        <v>1035.3249971670607</v>
      </c>
      <c r="V115" s="19">
        <f t="shared" si="89"/>
        <v>1062.336888255762</v>
      </c>
      <c r="W115" s="19">
        <f t="shared" si="89"/>
        <v>1098.5874053070286</v>
      </c>
      <c r="X115" s="182">
        <f t="shared" si="89"/>
        <v>1123.3996523967578</v>
      </c>
      <c r="Y115" s="205">
        <f t="shared" si="89"/>
        <v>1154.7705837200749</v>
      </c>
      <c r="Z115" s="205">
        <f t="shared" si="89"/>
        <v>1176.6167545956678</v>
      </c>
      <c r="AA115" s="205">
        <f t="shared" si="89"/>
        <v>1191.9263525857657</v>
      </c>
      <c r="AB115" s="205">
        <f t="shared" si="89"/>
        <v>1207.2040701915578</v>
      </c>
      <c r="AC115" s="205">
        <f t="shared" si="89"/>
        <v>1225.5610288473072</v>
      </c>
      <c r="AD115" s="205">
        <f t="shared" si="89"/>
        <v>1243.5271033192234</v>
      </c>
      <c r="AE115" s="205">
        <f t="shared" si="89"/>
        <v>1263.5954901110995</v>
      </c>
      <c r="AF115" s="205">
        <f t="shared" si="89"/>
        <v>1281.5319657460948</v>
      </c>
      <c r="AG115" s="205">
        <f t="shared" si="89"/>
        <v>1305.3495167695851</v>
      </c>
      <c r="AH115" s="182">
        <f t="shared" si="89"/>
        <v>1340.2310182350491</v>
      </c>
    </row>
    <row r="116" spans="1:35" s="20" customFormat="1">
      <c r="A116" s="10" t="s">
        <v>142</v>
      </c>
      <c r="B116" s="37"/>
      <c r="C116" s="333">
        <f>C47*Inputs!$C$60</f>
        <v>5778.85</v>
      </c>
      <c r="D116" s="333">
        <f>D47*Inputs!$C$60</f>
        <v>8050.8332946978035</v>
      </c>
      <c r="E116" s="333">
        <f>E47*Inputs!$C$60</f>
        <v>8421.0747479137444</v>
      </c>
      <c r="F116" s="333">
        <f>F47*Inputs!$C$60</f>
        <v>7886.8442740505197</v>
      </c>
      <c r="G116" s="333">
        <f>G47*Inputs!$C$60</f>
        <v>8197.1540336314793</v>
      </c>
      <c r="H116" s="403">
        <f>H47*Inputs!$C$60</f>
        <v>8477.488915151167</v>
      </c>
      <c r="I116" s="19">
        <f>I47*Inputs!$C$60</f>
        <v>8707.6390572597011</v>
      </c>
      <c r="J116" s="19">
        <f>J47*Inputs!$C$60</f>
        <v>8188.2579839028785</v>
      </c>
      <c r="K116" s="19">
        <f>K47*Inputs!$C$60</f>
        <v>8357.265873535116</v>
      </c>
      <c r="L116" s="19">
        <f>L47*Inputs!$C$60</f>
        <v>8493.8420568428392</v>
      </c>
      <c r="M116" s="19">
        <f>M47*Inputs!$C$60</f>
        <v>8444.1007910108619</v>
      </c>
      <c r="N116" s="182">
        <f>N47*Inputs!$C$60</f>
        <v>8339.5555566218154</v>
      </c>
      <c r="O116" s="19">
        <f>O47*Inputs!$C$60</f>
        <v>8403.6404963420136</v>
      </c>
      <c r="P116" s="19">
        <f>P47*Inputs!$C$60</f>
        <v>8440.2654728084563</v>
      </c>
      <c r="Q116" s="19">
        <f>Q47*Inputs!$C$60</f>
        <v>8421.9570304560348</v>
      </c>
      <c r="R116" s="19">
        <f>R47*Inputs!$C$60</f>
        <v>8566.8327356889422</v>
      </c>
      <c r="S116" s="19">
        <f>S47*Inputs!$C$60</f>
        <v>8593.4066275995938</v>
      </c>
      <c r="T116" s="19">
        <f>T47*Inputs!$C$60</f>
        <v>8591.7432769991919</v>
      </c>
      <c r="U116" s="19">
        <f>U47*Inputs!$C$60</f>
        <v>8623.2072183901164</v>
      </c>
      <c r="V116" s="19">
        <f>V47*Inputs!$C$60</f>
        <v>8643.2545016485528</v>
      </c>
      <c r="W116" s="19">
        <f>W47*Inputs!$C$60</f>
        <v>8753.0323939038044</v>
      </c>
      <c r="X116" s="182">
        <f>X47*Inputs!$C$60</f>
        <v>8760.0896403934948</v>
      </c>
      <c r="Y116" s="205">
        <f>Y47*Inputs!$C$60</f>
        <v>8651.8383826255813</v>
      </c>
      <c r="Z116" s="205">
        <f>Z47*Inputs!$C$60</f>
        <v>8555.2373686118644</v>
      </c>
      <c r="AA116" s="205">
        <f>AA47*Inputs!$C$60</f>
        <v>8453.1476056978081</v>
      </c>
      <c r="AB116" s="205">
        <f>AB47*Inputs!$C$60</f>
        <v>8352.4889199547815</v>
      </c>
      <c r="AC116" s="205">
        <f>AC47*Inputs!$C$60</f>
        <v>8252.0324778282175</v>
      </c>
      <c r="AD116" s="205">
        <f>AD47*Inputs!$C$60</f>
        <v>8153.0509640848886</v>
      </c>
      <c r="AE116" s="205">
        <f>AE47*Inputs!$C$60</f>
        <v>8054.3052755173239</v>
      </c>
      <c r="AF116" s="205">
        <f>AF47*Inputs!$C$60</f>
        <v>7957.8346068312831</v>
      </c>
      <c r="AG116" s="205">
        <f>AG47*Inputs!$C$60</f>
        <v>7862.5702105949022</v>
      </c>
      <c r="AH116" s="182">
        <f>AH47*Inputs!$C$60</f>
        <v>7770.6657546960914</v>
      </c>
      <c r="AI116" s="31"/>
    </row>
    <row r="117" spans="1:35" s="20" customFormat="1">
      <c r="A117" s="10" t="s">
        <v>222</v>
      </c>
      <c r="B117" s="37"/>
      <c r="C117" s="333">
        <f>C48*Inputs!$C$61</f>
        <v>2476.65</v>
      </c>
      <c r="D117" s="333">
        <f>D48*Inputs!$C$61</f>
        <v>503.13014713622846</v>
      </c>
      <c r="E117" s="333">
        <f>E48*Inputs!$C$61</f>
        <v>395.98417529258791</v>
      </c>
      <c r="F117" s="333">
        <f>F48*Inputs!$C$61</f>
        <v>541.19697706259774</v>
      </c>
      <c r="G117" s="333">
        <f>G48*Inputs!$C$61</f>
        <v>186.12993684135304</v>
      </c>
      <c r="H117" s="403">
        <f>H48*Inputs!$C$61</f>
        <v>207.07219534883131</v>
      </c>
      <c r="I117" s="19">
        <f>I48*Inputs!$C$61</f>
        <v>249.05092037593917</v>
      </c>
      <c r="J117" s="19">
        <f>J48*Inputs!$C$61</f>
        <v>341.8197020536312</v>
      </c>
      <c r="K117" s="19">
        <f>K48*Inputs!$C$61</f>
        <v>314.70427975655633</v>
      </c>
      <c r="L117" s="19">
        <f>L48*Inputs!$C$61</f>
        <v>310.57354308969633</v>
      </c>
      <c r="M117" s="19">
        <f>M48*Inputs!$C$61</f>
        <v>311.04688999128177</v>
      </c>
      <c r="N117" s="182">
        <f>N48*Inputs!$C$61</f>
        <v>315.51741280479342</v>
      </c>
      <c r="O117" s="19">
        <f>O48*Inputs!$C$61</f>
        <v>348.75948715350125</v>
      </c>
      <c r="P117" s="19">
        <f>P48*Inputs!$C$61</f>
        <v>415.42614039863008</v>
      </c>
      <c r="Q117" s="19">
        <f>Q48*Inputs!$C$61</f>
        <v>388.93930462197471</v>
      </c>
      <c r="R117" s="19">
        <f>R48*Inputs!$C$61</f>
        <v>362.63693684506291</v>
      </c>
      <c r="S117" s="19">
        <f>S48*Inputs!$C$61</f>
        <v>402.26778936929901</v>
      </c>
      <c r="T117" s="19">
        <f>T48*Inputs!$C$61</f>
        <v>453.62107488530614</v>
      </c>
      <c r="U117" s="19">
        <f>U48*Inputs!$C$61</f>
        <v>480.25493464311268</v>
      </c>
      <c r="V117" s="19">
        <f>V48*Inputs!$C$61</f>
        <v>526.28755380787231</v>
      </c>
      <c r="W117" s="19">
        <f>W48*Inputs!$C$61</f>
        <v>555.11194510854534</v>
      </c>
      <c r="X117" s="182">
        <f>X48*Inputs!$C$61</f>
        <v>583.17139111081667</v>
      </c>
      <c r="Y117" s="205">
        <f>Y48*Inputs!$C$61</f>
        <v>619.14900351992605</v>
      </c>
      <c r="Z117" s="205">
        <f>Z48*Inputs!$C$61</f>
        <v>584.94135163243516</v>
      </c>
      <c r="AA117" s="205">
        <f>AA48*Inputs!$C$61</f>
        <v>621.39437667979769</v>
      </c>
      <c r="AB117" s="205">
        <f>AB48*Inputs!$C$61</f>
        <v>651.74053162166467</v>
      </c>
      <c r="AC117" s="205">
        <f>AC48*Inputs!$C$61</f>
        <v>668.23229068126011</v>
      </c>
      <c r="AD117" s="205">
        <f>AD48*Inputs!$C$61</f>
        <v>672.52296817317733</v>
      </c>
      <c r="AE117" s="205">
        <f>AE48*Inputs!$C$61</f>
        <v>675.25476750630571</v>
      </c>
      <c r="AF117" s="205">
        <f>AF48*Inputs!$C$61</f>
        <v>658.90287431416448</v>
      </c>
      <c r="AG117" s="205">
        <f>AG48*Inputs!$C$61</f>
        <v>678.32076745110351</v>
      </c>
      <c r="AH117" s="182">
        <f>AH48*Inputs!$C$61</f>
        <v>761.40216044458066</v>
      </c>
      <c r="AI117" s="31"/>
    </row>
    <row r="118" spans="1:35" s="20" customFormat="1">
      <c r="A118" s="10" t="s">
        <v>58</v>
      </c>
      <c r="B118" s="37"/>
      <c r="C118" s="333">
        <f>SUM(C113,C116,C117)</f>
        <v>10055.3812</v>
      </c>
      <c r="D118" s="333">
        <f>SUM(D113,D116,D117)</f>
        <v>10491.860170758964</v>
      </c>
      <c r="E118" s="333">
        <f t="shared" ref="E118:AH118" si="90">SUM(E113,E116,E117)</f>
        <v>10812.166833799478</v>
      </c>
      <c r="F118" s="333">
        <f t="shared" si="90"/>
        <v>10452.938050532282</v>
      </c>
      <c r="G118" s="333">
        <f t="shared" si="90"/>
        <v>10573.002196137912</v>
      </c>
      <c r="H118" s="403">
        <f t="shared" si="90"/>
        <v>10695.255849127785</v>
      </c>
      <c r="I118" s="19">
        <f t="shared" si="90"/>
        <v>11097.004549429517</v>
      </c>
      <c r="J118" s="19">
        <f t="shared" si="90"/>
        <v>10638.430919252614</v>
      </c>
      <c r="K118" s="19">
        <f t="shared" si="90"/>
        <v>10897.856147651171</v>
      </c>
      <c r="L118" s="19">
        <f t="shared" si="90"/>
        <v>11167.64954203092</v>
      </c>
      <c r="M118" s="19">
        <f t="shared" si="90"/>
        <v>11242.752743435409</v>
      </c>
      <c r="N118" s="182">
        <f t="shared" si="90"/>
        <v>11313.224960351428</v>
      </c>
      <c r="O118" s="19">
        <f t="shared" si="90"/>
        <v>11445.622922287308</v>
      </c>
      <c r="P118" s="19">
        <f t="shared" si="90"/>
        <v>11586.264627426332</v>
      </c>
      <c r="Q118" s="19">
        <f t="shared" si="90"/>
        <v>11533.58903815403</v>
      </c>
      <c r="R118" s="19">
        <f t="shared" si="90"/>
        <v>11695.21855041263</v>
      </c>
      <c r="S118" s="19">
        <f t="shared" si="90"/>
        <v>11788.733140265676</v>
      </c>
      <c r="T118" s="19">
        <f t="shared" si="90"/>
        <v>11861.074400773747</v>
      </c>
      <c r="U118" s="19">
        <f t="shared" si="90"/>
        <v>11944.95645152384</v>
      </c>
      <c r="V118" s="19">
        <f t="shared" si="90"/>
        <v>12039.820819272516</v>
      </c>
      <c r="W118" s="19">
        <f t="shared" si="90"/>
        <v>12230.53736638961</v>
      </c>
      <c r="X118" s="182">
        <f t="shared" si="90"/>
        <v>12285.86296066986</v>
      </c>
      <c r="Y118" s="205">
        <f t="shared" si="90"/>
        <v>12366.141429977517</v>
      </c>
      <c r="Z118" s="205">
        <f t="shared" si="90"/>
        <v>12365.970996328222</v>
      </c>
      <c r="AA118" s="205">
        <f t="shared" si="90"/>
        <v>12437.418802375203</v>
      </c>
      <c r="AB118" s="205">
        <f t="shared" si="90"/>
        <v>12503.987149664523</v>
      </c>
      <c r="AC118" s="205">
        <f t="shared" si="90"/>
        <v>12557.766059299551</v>
      </c>
      <c r="AD118" s="205">
        <f t="shared" si="90"/>
        <v>12598.00177673589</v>
      </c>
      <c r="AE118" s="205">
        <f t="shared" si="90"/>
        <v>12639.139294340677</v>
      </c>
      <c r="AF118" s="205">
        <f t="shared" si="90"/>
        <v>12656.189596737639</v>
      </c>
      <c r="AG118" s="205">
        <f t="shared" si="90"/>
        <v>12728.219337635181</v>
      </c>
      <c r="AH118" s="182">
        <f t="shared" si="90"/>
        <v>12903.075767644717</v>
      </c>
      <c r="AI118" s="31"/>
    </row>
    <row r="119" spans="1:35" s="1" customFormat="1">
      <c r="A119" s="1" t="s">
        <v>335</v>
      </c>
      <c r="B119" s="13"/>
      <c r="C119" s="340">
        <f>C118-'Output - Jobs vs Yr (BAU)'!C55</f>
        <v>2.5299999999988358</v>
      </c>
      <c r="D119" s="340">
        <f>D118-'Output - Jobs vs Yr (BAU)'!D55</f>
        <v>64.54897075896406</v>
      </c>
      <c r="E119" s="340">
        <f>E118-'Output - Jobs vs Yr (BAU)'!E55</f>
        <v>83.361011501396206</v>
      </c>
      <c r="F119" s="340">
        <f>F118-'Output - Jobs vs Yr (BAU)'!F55</f>
        <v>50.235195806706542</v>
      </c>
      <c r="G119" s="340">
        <f>G118-'Output - Jobs vs Yr (BAU)'!G55</f>
        <v>58.757648554001207</v>
      </c>
      <c r="H119" s="404">
        <f>H118-'Output - Jobs vs Yr (BAU)'!H55</f>
        <v>-0.14300000000184809</v>
      </c>
      <c r="I119" s="15">
        <f>I118-'Output - Jobs vs Yr (BAU)'!I55</f>
        <v>2.7080876017298579</v>
      </c>
      <c r="J119" s="15">
        <f>J118-'Output - Jobs vs Yr (BAU)'!J55</f>
        <v>-8.1321647751738055</v>
      </c>
      <c r="K119" s="15">
        <f>K118-'Output - Jobs vs Yr (BAU)'!K55</f>
        <v>-6.2089838766150933</v>
      </c>
      <c r="L119" s="15">
        <f>L118-'Output - Jobs vs Yr (BAU)'!L55</f>
        <v>39.300721003131912</v>
      </c>
      <c r="M119" s="15">
        <f>M118-'Output - Jobs vs Yr (BAU)'!M55</f>
        <v>76.952611007622181</v>
      </c>
      <c r="N119" s="182">
        <f>N118-'Output - Jobs vs Yr (BAU)'!N55</f>
        <v>69.7592157236395</v>
      </c>
      <c r="O119" s="15">
        <f>O118-'Output - Jobs vs Yr (BAU)'!O55</f>
        <v>70.172757459520653</v>
      </c>
      <c r="P119" s="15">
        <f>P118-'Output - Jobs vs Yr (BAU)'!P55</f>
        <v>84.906692398544692</v>
      </c>
      <c r="Q119" s="15">
        <f>Q118-'Output - Jobs vs Yr (BAU)'!Q55</f>
        <v>84.524161526242096</v>
      </c>
      <c r="R119" s="15">
        <f>R118-'Output - Jobs vs Yr (BAU)'!R55</f>
        <v>77.767069084840841</v>
      </c>
      <c r="S119" s="15">
        <f>S118-'Output - Jobs vs Yr (BAU)'!S55</f>
        <v>86.957167937889608</v>
      </c>
      <c r="T119" s="15">
        <f>T118-'Output - Jobs vs Yr (BAU)'!T55</f>
        <v>95.38707144595719</v>
      </c>
      <c r="U119" s="15">
        <f>U118-'Output - Jobs vs Yr (BAU)'!U55</f>
        <v>102.00243749605033</v>
      </c>
      <c r="V119" s="15">
        <f>V118-'Output - Jobs vs Yr (BAU)'!V55</f>
        <v>112.75981694473012</v>
      </c>
      <c r="W119" s="15">
        <f>W118-'Output - Jobs vs Yr (BAU)'!W55</f>
        <v>128.15553976182127</v>
      </c>
      <c r="X119" s="190">
        <f>X118-'Output - Jobs vs Yr (BAU)'!X55</f>
        <v>113.3468782420714</v>
      </c>
      <c r="Y119" s="130">
        <f>Y118-'Output - Jobs vs Yr (BAU)'!Y55</f>
        <v>138.30586044972915</v>
      </c>
      <c r="Z119" s="130">
        <f>Z118-'Output - Jobs vs Yr (BAU)'!Z55</f>
        <v>165.34922370043387</v>
      </c>
      <c r="AA119" s="130">
        <f>AA118-'Output - Jobs vs Yr (BAU)'!AA55</f>
        <v>197.86824334741686</v>
      </c>
      <c r="AB119" s="130">
        <f>AB118-'Output - Jobs vs Yr (BAU)'!AB55</f>
        <v>229.75767583673587</v>
      </c>
      <c r="AC119" s="130">
        <f>AC118-'Output - Jobs vs Yr (BAU)'!AC55</f>
        <v>261.21101027176337</v>
      </c>
      <c r="AD119" s="130">
        <f>AD118-'Output - Jobs vs Yr (BAU)'!AD55</f>
        <v>294.39809430810055</v>
      </c>
      <c r="AE119" s="130">
        <f>AE118-'Output - Jobs vs Yr (BAU)'!AE55</f>
        <v>327.63689511288976</v>
      </c>
      <c r="AF119" s="130">
        <f>AF118-'Output - Jobs vs Yr (BAU)'!AF55</f>
        <v>359.71954330985136</v>
      </c>
      <c r="AG119" s="130">
        <f>AG118-'Output - Jobs vs Yr (BAU)'!AG55</f>
        <v>391.85702820739425</v>
      </c>
      <c r="AH119" s="190">
        <f>AH118-'Output - Jobs vs Yr (BAU)'!AH55</f>
        <v>423.20622451692907</v>
      </c>
    </row>
    <row r="120" spans="1:35" s="1" customFormat="1">
      <c r="B120" s="13"/>
      <c r="C120" s="327"/>
      <c r="D120" s="340"/>
      <c r="E120" s="340"/>
      <c r="F120" s="340"/>
      <c r="G120" s="340"/>
      <c r="H120" s="404"/>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79"/>
    </row>
    <row r="121" spans="1:35" hidden="1">
      <c r="W121" s="2" t="s">
        <v>133</v>
      </c>
      <c r="X121" s="187">
        <f>X100</f>
        <v>0</v>
      </c>
    </row>
    <row r="122" spans="1:35" hidden="1">
      <c r="W122" s="2" t="s">
        <v>136</v>
      </c>
      <c r="X122" s="187">
        <f>X103-'Output - Jobs vs Yr (BAU)'!X43</f>
        <v>19.702875236925593</v>
      </c>
    </row>
    <row r="123" spans="1:35" hidden="1">
      <c r="W123" s="2" t="s">
        <v>134</v>
      </c>
      <c r="X123" s="187">
        <f>X115-'Output - Jobs vs Yr (BAU)'!X51</f>
        <v>325.49545496897053</v>
      </c>
    </row>
    <row r="124" spans="1:35" hidden="1">
      <c r="W124" s="2" t="s">
        <v>137</v>
      </c>
      <c r="X124" s="187">
        <f>SUM(X101,X106,X111)</f>
        <v>0</v>
      </c>
    </row>
    <row r="125" spans="1:35" hidden="1">
      <c r="W125" s="2" t="s">
        <v>132</v>
      </c>
      <c r="X125" s="187">
        <f>SUM(X121:X124)</f>
        <v>345.19833020589613</v>
      </c>
    </row>
    <row r="126" spans="1:35">
      <c r="A126" s="1" t="s">
        <v>140</v>
      </c>
      <c r="C126" s="327">
        <v>2009</v>
      </c>
      <c r="D126" s="327">
        <v>2010</v>
      </c>
      <c r="E126" s="327">
        <v>2011</v>
      </c>
      <c r="F126" s="327">
        <v>2012</v>
      </c>
      <c r="G126" s="327">
        <v>2013</v>
      </c>
      <c r="H126" s="399">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0">
        <v>0</v>
      </c>
      <c r="D127" s="330">
        <f xml:space="preserve"> IF(D100&gt; 0, D100*Inputs!$H44, 0)</f>
        <v>0</v>
      </c>
      <c r="E127" s="330">
        <f xml:space="preserve"> IF(E100&gt; 0, E100*Inputs!$H44, 0)</f>
        <v>0</v>
      </c>
      <c r="F127" s="330">
        <f xml:space="preserve"> IF(F100&gt; 0, F100*Inputs!$H44, 0)</f>
        <v>0</v>
      </c>
      <c r="G127" s="330">
        <f xml:space="preserve"> IF(G100&gt; 0, G100*Inputs!$H44, 0)</f>
        <v>0</v>
      </c>
      <c r="H127" s="401">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0">
        <f>C101*Inputs!$H47</f>
        <v>0</v>
      </c>
      <c r="D128" s="330">
        <f>D101*Inputs!$H47</f>
        <v>0</v>
      </c>
      <c r="E128" s="330">
        <f>E101*Inputs!$H47</f>
        <v>0</v>
      </c>
      <c r="F128" s="330">
        <f>F101*Inputs!$H47</f>
        <v>0</v>
      </c>
      <c r="G128" s="330">
        <f>G101*Inputs!$H47</f>
        <v>0</v>
      </c>
      <c r="H128" s="401">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0">
        <f>C102*Inputs!$H48</f>
        <v>245.29364999999999</v>
      </c>
      <c r="D129" s="330">
        <f>D102*Inputs!$H48</f>
        <v>266.77836342698271</v>
      </c>
      <c r="E129" s="330">
        <f>E102*Inputs!$H48</f>
        <v>286.09175881159985</v>
      </c>
      <c r="F129" s="330">
        <f>F102*Inputs!$H48</f>
        <v>286.74297493885592</v>
      </c>
      <c r="G129" s="330">
        <f>G102*Inputs!$H48</f>
        <v>300.15806807756286</v>
      </c>
      <c r="H129" s="401">
        <f>H102*Inputs!$H48</f>
        <v>225.203598</v>
      </c>
      <c r="I129" s="14">
        <f>I102*Inputs!$H48</f>
        <v>260.93026043620353</v>
      </c>
      <c r="J129" s="14">
        <f>J102*Inputs!$H48</f>
        <v>276.1274889472092</v>
      </c>
      <c r="K129" s="14">
        <f>K102*Inputs!$H48</f>
        <v>309.26659782524655</v>
      </c>
      <c r="L129" s="14">
        <f>L102*Inputs!$H48</f>
        <v>343.62320177469127</v>
      </c>
      <c r="M129" s="14">
        <f>M102*Inputs!$H48</f>
        <v>372.19834624300188</v>
      </c>
      <c r="N129" s="182">
        <f>N102*Inputs!$H48</f>
        <v>399.86150175</v>
      </c>
      <c r="O129" s="14">
        <f>O102*Inputs!$H48</f>
        <v>401.89446866020779</v>
      </c>
      <c r="P129" s="14">
        <f>P102*Inputs!$H48</f>
        <v>404.14764159120773</v>
      </c>
      <c r="Q129" s="14">
        <f>Q102*Inputs!$H48</f>
        <v>399.63836602455422</v>
      </c>
      <c r="R129" s="14">
        <f>R102*Inputs!$H48</f>
        <v>402.53024585521717</v>
      </c>
      <c r="S129" s="14">
        <f>S102*Inputs!$H48</f>
        <v>403.01125495063053</v>
      </c>
      <c r="T129" s="14">
        <f>T102*Inputs!$H48</f>
        <v>402.72598917355936</v>
      </c>
      <c r="U129" s="14">
        <f>U102*Inputs!$H48</f>
        <v>402.79641228949589</v>
      </c>
      <c r="V129" s="14">
        <f>V102*Inputs!$H48</f>
        <v>403.19171661814846</v>
      </c>
      <c r="W129" s="14">
        <f>W102*Inputs!$H48</f>
        <v>406.72951353174648</v>
      </c>
      <c r="X129" s="187">
        <f>X102*Inputs!$H48</f>
        <v>405.70291487867911</v>
      </c>
      <c r="Y129" s="158">
        <f>Y102*Inputs!$H48</f>
        <v>432.72770477619605</v>
      </c>
      <c r="Z129" s="158">
        <f>Z102*Inputs!$H48</f>
        <v>456.98957877430325</v>
      </c>
      <c r="AA129" s="158">
        <f>AA102*Inputs!$H48</f>
        <v>484.14678451842673</v>
      </c>
      <c r="AB129" s="158">
        <f>AB102*Inputs!$H48</f>
        <v>511.2656801448793</v>
      </c>
      <c r="AC129" s="158">
        <f>AC102*Inputs!$H48</f>
        <v>537.89026502399759</v>
      </c>
      <c r="AD129" s="158">
        <f>AD102*Inputs!$H48</f>
        <v>563.97378962674395</v>
      </c>
      <c r="AE129" s="158">
        <f>AE102*Inputs!$H48</f>
        <v>590.08464223648139</v>
      </c>
      <c r="AF129" s="158">
        <f>AF102*Inputs!$H48</f>
        <v>615.04773717772207</v>
      </c>
      <c r="AG129" s="158">
        <f>AG102*Inputs!$H48</f>
        <v>642.7142446343762</v>
      </c>
      <c r="AH129" s="187">
        <f>AH102*Inputs!$H48</f>
        <v>675.8978986073364</v>
      </c>
    </row>
    <row r="130" spans="1:35">
      <c r="A130" s="10" t="s">
        <v>59</v>
      </c>
      <c r="B130" s="35">
        <v>0</v>
      </c>
      <c r="C130" s="330">
        <f>C103*Inputs!$H53</f>
        <v>1291.1220000000001</v>
      </c>
      <c r="D130" s="330">
        <f>D103*Inputs!$H53</f>
        <v>1327.251441549053</v>
      </c>
      <c r="E130" s="330">
        <f>E103*Inputs!$H53</f>
        <v>1347.5272488080932</v>
      </c>
      <c r="F130" s="330">
        <f>F103*Inputs!$H53</f>
        <v>1280.5547282643902</v>
      </c>
      <c r="G130" s="330">
        <f>G103*Inputs!$H53</f>
        <v>1272.6668774283232</v>
      </c>
      <c r="H130" s="401">
        <f>H103*Inputs!$H53</f>
        <v>1173.2656824000001</v>
      </c>
      <c r="I130" s="14">
        <f>I103*Inputs!$H53</f>
        <v>1214.7433080012795</v>
      </c>
      <c r="J130" s="14">
        <f>J103*Inputs!$H53</f>
        <v>1161.7538007935866</v>
      </c>
      <c r="K130" s="14">
        <f>K103*Inputs!$H53</f>
        <v>1186.8286123660273</v>
      </c>
      <c r="L130" s="14">
        <f>L103*Inputs!$H53</f>
        <v>1212.0528289767494</v>
      </c>
      <c r="M130" s="14">
        <f>M103*Inputs!$H53</f>
        <v>1214.5485433073823</v>
      </c>
      <c r="N130" s="182">
        <f>N103*Inputs!$H53</f>
        <v>1213.8465464999999</v>
      </c>
      <c r="O130" s="14">
        <f>O103*Inputs!$H53</f>
        <v>1220.0179579819867</v>
      </c>
      <c r="P130" s="14">
        <f>P103*Inputs!$H53</f>
        <v>1226.8578417142085</v>
      </c>
      <c r="Q130" s="14">
        <f>Q103*Inputs!$H53</f>
        <v>1213.1691806407016</v>
      </c>
      <c r="R130" s="14">
        <f>R103*Inputs!$H53</f>
        <v>1221.9479661201246</v>
      </c>
      <c r="S130" s="14">
        <f>S103*Inputs!$H53</f>
        <v>1223.4081497755833</v>
      </c>
      <c r="T130" s="14">
        <f>T103*Inputs!$H53</f>
        <v>1222.5421777407237</v>
      </c>
      <c r="U130" s="14">
        <f>U103*Inputs!$H53</f>
        <v>1222.7559589016985</v>
      </c>
      <c r="V130" s="14">
        <f>V103*Inputs!$H53</f>
        <v>1223.9559713861495</v>
      </c>
      <c r="W130" s="14">
        <f>W103*Inputs!$H53</f>
        <v>1234.6955463314619</v>
      </c>
      <c r="X130" s="187">
        <f>X103*Inputs!$H53</f>
        <v>1231.5791342132329</v>
      </c>
      <c r="Y130" s="158">
        <f>Y103*Inputs!$H53</f>
        <v>1313.6174093245454</v>
      </c>
      <c r="Z130" s="158">
        <f>Z103*Inputs!$H53</f>
        <v>1387.2683905651277</v>
      </c>
      <c r="AA130" s="158">
        <f>AA103*Inputs!$H53</f>
        <v>1469.708636152222</v>
      </c>
      <c r="AB130" s="158">
        <f>AB103*Inputs!$H53</f>
        <v>1552.0325849619885</v>
      </c>
      <c r="AC130" s="158">
        <f>AC103*Inputs!$H53</f>
        <v>1632.8559707244913</v>
      </c>
      <c r="AD130" s="158">
        <f>AD103*Inputs!$H53</f>
        <v>1712.0368774159951</v>
      </c>
      <c r="AE130" s="158">
        <f>AE103*Inputs!$H53</f>
        <v>1791.3007428488722</v>
      </c>
      <c r="AF130" s="158">
        <f>AF103*Inputs!$H53</f>
        <v>1867.0803976837647</v>
      </c>
      <c r="AG130" s="158">
        <f>AG103*Inputs!$H53</f>
        <v>1951.0667139032553</v>
      </c>
      <c r="AH130" s="187">
        <f>AH103*Inputs!$H53</f>
        <v>2051.8012522347617</v>
      </c>
    </row>
    <row r="131" spans="1:35">
      <c r="A131" s="10" t="s">
        <v>121</v>
      </c>
      <c r="B131" s="35">
        <v>1</v>
      </c>
      <c r="C131" s="329">
        <f>Inputs!$H46*'Output -Jobs vs Yr'!C104</f>
        <v>0.378</v>
      </c>
      <c r="D131" s="329">
        <f>Inputs!$H46*'Output -Jobs vs Yr'!D104</f>
        <v>0.71963507606668575</v>
      </c>
      <c r="E131" s="329">
        <f>Inputs!$H46*'Output -Jobs vs Yr'!E104</f>
        <v>1.3533363677762791</v>
      </c>
      <c r="F131" s="329">
        <f>Inputs!$H46*'Output -Jobs vs Yr'!F104</f>
        <v>2.3826041258016004</v>
      </c>
      <c r="G131" s="329">
        <f>Inputs!$H46*'Output -Jobs vs Yr'!G104</f>
        <v>5.8800640499999997</v>
      </c>
      <c r="H131" s="285">
        <f>Inputs!$H46*'Output -Jobs vs Yr'!H104</f>
        <v>5.7995273700000007</v>
      </c>
      <c r="I131" s="40">
        <f>Inputs!$H46*'Output -Jobs vs Yr'!I104</f>
        <v>10.981798656642686</v>
      </c>
      <c r="J131" s="40">
        <f>Inputs!$H46*'Output -Jobs vs Yr'!J104</f>
        <v>19.208607878835373</v>
      </c>
      <c r="K131" s="40">
        <f>Inputs!$H46*'Output -Jobs vs Yr'!K104</f>
        <v>35.889112949442563</v>
      </c>
      <c r="L131" s="40">
        <f>Inputs!$H46*'Output -Jobs vs Yr'!L104</f>
        <v>67.033098359444253</v>
      </c>
      <c r="M131" s="40">
        <f>Inputs!$H46*'Output -Jobs vs Yr'!M104</f>
        <v>122.85016645714018</v>
      </c>
      <c r="N131" s="177">
        <f>Inputs!$H46*'Output -Jobs vs Yr'!N104</f>
        <v>224.55249615265566</v>
      </c>
      <c r="O131" s="40">
        <f>Inputs!$H46*'Output -Jobs vs Yr'!O104</f>
        <v>231.28924764463133</v>
      </c>
      <c r="P131" s="40">
        <f>Inputs!$H46*'Output -Jobs vs Yr'!P104</f>
        <v>238.36126865060362</v>
      </c>
      <c r="Q131" s="40">
        <f>Inputs!$H46*'Output -Jobs vs Yr'!Q104</f>
        <v>241.56408248714234</v>
      </c>
      <c r="R131" s="40">
        <f>Inputs!$H46*'Output -Jobs vs Yr'!R104</f>
        <v>249.37378306269505</v>
      </c>
      <c r="S131" s="40">
        <f>Inputs!$H46*'Output -Jobs vs Yr'!S104</f>
        <v>255.90236928115652</v>
      </c>
      <c r="T131" s="40">
        <f>Inputs!$H46*'Output -Jobs vs Yr'!T104</f>
        <v>262.11365276748512</v>
      </c>
      <c r="U131" s="40">
        <f>Inputs!$H46*'Output -Jobs vs Yr'!U104</f>
        <v>268.72412934068359</v>
      </c>
      <c r="V131" s="40">
        <f>Inputs!$H46*'Output -Jobs vs Yr'!V104</f>
        <v>275.73520985599868</v>
      </c>
      <c r="W131" s="40">
        <f>Inputs!$H46*'Output -Jobs vs Yr'!W104</f>
        <v>285.14422505355151</v>
      </c>
      <c r="X131" s="184">
        <f>Inputs!$H46*'Output -Jobs vs Yr'!X104</f>
        <v>291.5843762277413</v>
      </c>
      <c r="Y131" s="270">
        <f>Inputs!$H46*'Output -Jobs vs Yr'!Y104</f>
        <v>306.10345877999998</v>
      </c>
      <c r="Z131" s="270">
        <f>Inputs!$H46*'Output -Jobs vs Yr'!Z104</f>
        <v>316.57424022000004</v>
      </c>
      <c r="AA131" s="270">
        <f>Inputs!$H46*'Output -Jobs vs Yr'!AA104</f>
        <v>316.29337488000004</v>
      </c>
      <c r="AB131" s="270">
        <f>Inputs!$H46*'Output -Jobs vs Yr'!AB104</f>
        <v>316.04188770000002</v>
      </c>
      <c r="AC131" s="270">
        <f>Inputs!$H46*'Output -Jobs vs Yr'!AC104</f>
        <v>319.24828593000007</v>
      </c>
      <c r="AD131" s="270">
        <f>Inputs!$H46*'Output -Jobs vs Yr'!AD104</f>
        <v>322.76409732728547</v>
      </c>
      <c r="AE131" s="270">
        <f>Inputs!$H46*'Output -Jobs vs Yr'!AE104</f>
        <v>327.97295423953557</v>
      </c>
      <c r="AF131" s="270">
        <f>Inputs!$H46*'Output -Jobs vs Yr'!AF104</f>
        <v>332.62846223136739</v>
      </c>
      <c r="AG131" s="270">
        <f>Inputs!$H46*'Output -Jobs vs Yr'!AG104</f>
        <v>338.81043473210667</v>
      </c>
      <c r="AH131" s="184">
        <f>Inputs!$H46*'Output -Jobs vs Yr'!AH104</f>
        <v>347.86411462687511</v>
      </c>
    </row>
    <row r="132" spans="1:35">
      <c r="A132" s="10" t="s">
        <v>50</v>
      </c>
      <c r="B132" s="35">
        <v>1</v>
      </c>
      <c r="C132" s="330">
        <f>C105*Inputs!$H49</f>
        <v>0</v>
      </c>
      <c r="D132" s="330">
        <f>D105*Inputs!$H49</f>
        <v>0</v>
      </c>
      <c r="E132" s="330">
        <f>E105*Inputs!$H49</f>
        <v>2.2500000000000003E-8</v>
      </c>
      <c r="F132" s="330">
        <f>F105*Inputs!$H49</f>
        <v>2.2500000000000003E-8</v>
      </c>
      <c r="G132" s="330">
        <f>G105*Inputs!$H49</f>
        <v>2.2500000000000003E-8</v>
      </c>
      <c r="H132" s="401">
        <f>H105*Inputs!$H49</f>
        <v>2.2500000000000003E-8</v>
      </c>
      <c r="I132" s="14">
        <f>I105*Inputs!$H49</f>
        <v>2.4091901066571036E-8</v>
      </c>
      <c r="J132" s="14">
        <f>J105*Inputs!$H49</f>
        <v>2.3828744655619736E-8</v>
      </c>
      <c r="K132" s="14">
        <f>K105*Inputs!$H49</f>
        <v>2.5175359160286888E-8</v>
      </c>
      <c r="L132" s="14">
        <f>L105*Inputs!$H49</f>
        <v>2.6589484812084096E-8</v>
      </c>
      <c r="M132" s="14">
        <f>M105*Inputs!$H49</f>
        <v>2.7555231040487548E-8</v>
      </c>
      <c r="N132" s="182">
        <f>N105*Inputs!$H49</f>
        <v>2.848091075596545E-8</v>
      </c>
      <c r="O132" s="14">
        <f>O105*Inputs!$H49</f>
        <v>2.9335360478482188E-8</v>
      </c>
      <c r="P132" s="14">
        <f>P105*Inputs!$H49</f>
        <v>3.023233380359046E-8</v>
      </c>
      <c r="Q132" s="14">
        <f>Q105*Inputs!$H49</f>
        <v>3.0638559771278737E-8</v>
      </c>
      <c r="R132" s="14">
        <f>R105*Inputs!$H49</f>
        <v>3.1629096010839926E-8</v>
      </c>
      <c r="S132" s="14">
        <f>S105*Inputs!$H49</f>
        <v>3.2457143281016872E-8</v>
      </c>
      <c r="T132" s="14">
        <f>T105*Inputs!$H49</f>
        <v>3.3244945748970126E-8</v>
      </c>
      <c r="U132" s="14">
        <f>U105*Inputs!$H49</f>
        <v>3.4083379507496131E-8</v>
      </c>
      <c r="V132" s="14">
        <f>V105*Inputs!$H49</f>
        <v>3.4972623501131493E-8</v>
      </c>
      <c r="W132" s="14">
        <f>W105*Inputs!$H49</f>
        <v>3.6166007350050494E-8</v>
      </c>
      <c r="X132" s="187">
        <f>X105*Inputs!$H49</f>
        <v>3.6982838042158811E-8</v>
      </c>
      <c r="Y132" s="158">
        <f>Y105*Inputs!$H49</f>
        <v>3.7687810928469056E-8</v>
      </c>
      <c r="Z132" s="158">
        <f>Z105*Inputs!$H49</f>
        <v>3.8160239711036486E-8</v>
      </c>
      <c r="AA132" s="158">
        <f>AA105*Inputs!$H49</f>
        <v>3.8882933504895462E-8</v>
      </c>
      <c r="AB132" s="158">
        <f>AB105*Inputs!$H49</f>
        <v>3.960264232890047E-8</v>
      </c>
      <c r="AC132" s="158">
        <f>AC105*Inputs!$H49</f>
        <v>4.0287059809392124E-8</v>
      </c>
      <c r="AD132" s="158">
        <f>AD105*Inputs!$H49</f>
        <v>4.0937489490024758E-8</v>
      </c>
      <c r="AE132" s="158">
        <f>AE105*Inputs!$H49</f>
        <v>4.1598150099014533E-8</v>
      </c>
      <c r="AF132" s="158">
        <f>AF105*Inputs!$H49</f>
        <v>4.2188627203080687E-8</v>
      </c>
      <c r="AG132" s="158">
        <f>AG105*Inputs!$H49</f>
        <v>4.2972712038947718E-8</v>
      </c>
      <c r="AH132" s="187">
        <f>AH105*Inputs!$H49</f>
        <v>4.4121027259281226E-8</v>
      </c>
    </row>
    <row r="133" spans="1:35">
      <c r="A133" s="10" t="s">
        <v>119</v>
      </c>
      <c r="B133" s="35">
        <v>1</v>
      </c>
      <c r="C133" s="330">
        <f>C106*Inputs!$H50</f>
        <v>0</v>
      </c>
      <c r="D133" s="330">
        <f>D106*Inputs!$H50</f>
        <v>0</v>
      </c>
      <c r="E133" s="330">
        <f>E106*Inputs!$H50</f>
        <v>0</v>
      </c>
      <c r="F133" s="330">
        <f>F106*Inputs!$H50</f>
        <v>0</v>
      </c>
      <c r="G133" s="330">
        <f>G106*Inputs!$H50</f>
        <v>0</v>
      </c>
      <c r="H133" s="401">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0">
        <f>C107*Inputs!$H52</f>
        <v>6.75</v>
      </c>
      <c r="D134" s="330">
        <f>D107*Inputs!$H52</f>
        <v>7.8299999999999992</v>
      </c>
      <c r="E134" s="330">
        <f>E107*Inputs!$H52</f>
        <v>7.7273944618563863</v>
      </c>
      <c r="F134" s="330">
        <f>F107*Inputs!$H52</f>
        <v>7.6928435020395316</v>
      </c>
      <c r="G134" s="330">
        <f>G107*Inputs!$H52</f>
        <v>8.0107884363483191</v>
      </c>
      <c r="H134" s="401">
        <f>H107*Inputs!$H52</f>
        <v>1.5482711725083995</v>
      </c>
      <c r="I134" s="14">
        <f>I107*Inputs!$H52</f>
        <v>1.6578131516576133</v>
      </c>
      <c r="J134" s="14">
        <f>J107*Inputs!$H52</f>
        <v>1.6397048189937609</v>
      </c>
      <c r="K134" s="14">
        <f>K107*Inputs!$H52</f>
        <v>1.7323681264629978</v>
      </c>
      <c r="L134" s="14">
        <f>L107*Inputs!$H52</f>
        <v>1.8296770145066541</v>
      </c>
      <c r="M134" s="14">
        <f>M107*Inputs!$H52</f>
        <v>1.8961319943020223</v>
      </c>
      <c r="N134" s="182">
        <f>N107*Inputs!$H52</f>
        <v>1.9598299151220313</v>
      </c>
      <c r="O134" s="14">
        <f>O107*Inputs!$H52</f>
        <v>2.0186263539544966</v>
      </c>
      <c r="P134" s="14">
        <f>P107*Inputs!$H52</f>
        <v>2.0803489291444581</v>
      </c>
      <c r="Q134" s="14">
        <f>Q107*Inputs!$H52</f>
        <v>2.108302171602062</v>
      </c>
      <c r="R134" s="14">
        <f>R107*Inputs!$H52</f>
        <v>2.1764630029370609</v>
      </c>
      <c r="S134" s="14">
        <f>S107*Inputs!$H52</f>
        <v>2.2334426348432492</v>
      </c>
      <c r="T134" s="14">
        <f>T107*Inputs!$H52</f>
        <v>2.287652939321605</v>
      </c>
      <c r="U134" s="14">
        <f>U107*Inputs!$H52</f>
        <v>2.3453472868053233</v>
      </c>
      <c r="V134" s="14">
        <f>V107*Inputs!$H52</f>
        <v>2.4065379908351852</v>
      </c>
      <c r="W134" s="14">
        <f>W107*Inputs!$H52</f>
        <v>2.4886571824360035</v>
      </c>
      <c r="X134" s="187">
        <f>X107*Inputs!$H52</f>
        <v>2.5448649785876198</v>
      </c>
      <c r="Y134" s="158">
        <f>Y107*Inputs!$H52</f>
        <v>2.593375609577584</v>
      </c>
      <c r="Z134" s="158">
        <f>Z107*Inputs!$H52</f>
        <v>2.6258844035825795</v>
      </c>
      <c r="AA134" s="158">
        <f>AA107*Inputs!$H52</f>
        <v>2.6756144465862497</v>
      </c>
      <c r="AB134" s="158">
        <f>AB107*Inputs!$H52</f>
        <v>2.7251390876887776</v>
      </c>
      <c r="AC134" s="158">
        <f>AC107*Inputs!$H52</f>
        <v>2.7722352590223802</v>
      </c>
      <c r="AD134" s="158">
        <f>AD107*Inputs!$H52</f>
        <v>2.816992660100929</v>
      </c>
      <c r="AE134" s="158">
        <f>AE107*Inputs!$H52</f>
        <v>2.8624540723547391</v>
      </c>
      <c r="AF134" s="158">
        <f>AF107*Inputs!$H52</f>
        <v>2.9030860136103778</v>
      </c>
      <c r="AG134" s="158">
        <f>AG107*Inputs!$H52</f>
        <v>2.9570405001958844</v>
      </c>
      <c r="AH134" s="187">
        <f>AH107*Inputs!$H52</f>
        <v>3.0360584269778839</v>
      </c>
    </row>
    <row r="135" spans="1:35">
      <c r="A135" s="9" t="s">
        <v>347</v>
      </c>
      <c r="B135" s="35">
        <v>1</v>
      </c>
      <c r="C135" s="330">
        <f>C108*Inputs!$H54</f>
        <v>0</v>
      </c>
      <c r="D135" s="330">
        <f>D108*Inputs!$H54</f>
        <v>0</v>
      </c>
      <c r="E135" s="330">
        <f>E108*Inputs!$H54</f>
        <v>0.14220000000000002</v>
      </c>
      <c r="F135" s="330">
        <f>F108*Inputs!$H54</f>
        <v>0.14220000000000002</v>
      </c>
      <c r="G135" s="330">
        <f>G108*Inputs!$H54</f>
        <v>0.14220000000000002</v>
      </c>
      <c r="H135" s="401">
        <f>H108*Inputs!$H54</f>
        <v>0.14220000000000002</v>
      </c>
      <c r="I135" s="14">
        <f>I108*Inputs!$H54</f>
        <v>0.15226081474072894</v>
      </c>
      <c r="J135" s="14">
        <f>J108*Inputs!$H54</f>
        <v>0.15059766622351672</v>
      </c>
      <c r="K135" s="14">
        <f>K108*Inputs!$H54</f>
        <v>0.1591082698930131</v>
      </c>
      <c r="L135" s="14">
        <f>L108*Inputs!$H54</f>
        <v>0.16804554401237148</v>
      </c>
      <c r="M135" s="14">
        <f>M108*Inputs!$H54</f>
        <v>0.1741490601758813</v>
      </c>
      <c r="N135" s="182">
        <f>N108*Inputs!$H54</f>
        <v>0.17999935597770159</v>
      </c>
      <c r="O135" s="14">
        <f>O108*Inputs!$H54</f>
        <v>0.18539947822400743</v>
      </c>
      <c r="P135" s="14">
        <f>P108*Inputs!$H54</f>
        <v>0.19106834963869168</v>
      </c>
      <c r="Q135" s="14">
        <f>Q108*Inputs!$H54</f>
        <v>0.19363569775448156</v>
      </c>
      <c r="R135" s="14">
        <f>R108*Inputs!$H54</f>
        <v>0.19989588678850828</v>
      </c>
      <c r="S135" s="14">
        <f>S108*Inputs!$H54</f>
        <v>0.2051291455360266</v>
      </c>
      <c r="T135" s="14">
        <f>T108*Inputs!$H54</f>
        <v>0.21010805713349118</v>
      </c>
      <c r="U135" s="14">
        <f>U108*Inputs!$H54</f>
        <v>0.21540695848737551</v>
      </c>
      <c r="V135" s="14">
        <f>V108*Inputs!$H54</f>
        <v>0.221026980527151</v>
      </c>
      <c r="W135" s="14">
        <f>W108*Inputs!$H54</f>
        <v>0.22856916645231909</v>
      </c>
      <c r="X135" s="187">
        <f>X108*Inputs!$H54</f>
        <v>0.23373153642644368</v>
      </c>
      <c r="Y135" s="158">
        <f>Y108*Inputs!$H54</f>
        <v>0.23818696506792439</v>
      </c>
      <c r="Z135" s="158">
        <f>Z108*Inputs!$H54</f>
        <v>0.24117271497375053</v>
      </c>
      <c r="AA135" s="158">
        <f>AA108*Inputs!$H54</f>
        <v>0.24574013975093931</v>
      </c>
      <c r="AB135" s="158">
        <f>AB108*Inputs!$H54</f>
        <v>0.2502886995186509</v>
      </c>
      <c r="AC135" s="158">
        <f>AC108*Inputs!$H54</f>
        <v>0.25461421799535816</v>
      </c>
      <c r="AD135" s="158">
        <f>AD108*Inputs!$H54</f>
        <v>0.25872493357695642</v>
      </c>
      <c r="AE135" s="158">
        <f>AE108*Inputs!$H54</f>
        <v>0.26290030862577185</v>
      </c>
      <c r="AF135" s="158">
        <f>AF108*Inputs!$H54</f>
        <v>0.26663212392346997</v>
      </c>
      <c r="AG135" s="158">
        <f>AG108*Inputs!$H54</f>
        <v>0.27158754008614955</v>
      </c>
      <c r="AH135" s="187">
        <f>AH108*Inputs!$H54</f>
        <v>0.27884489227865733</v>
      </c>
    </row>
    <row r="136" spans="1:35">
      <c r="A136" s="9" t="s">
        <v>348</v>
      </c>
      <c r="B136" s="35">
        <v>1</v>
      </c>
      <c r="C136" s="330">
        <f>C109*Inputs!$H55</f>
        <v>0</v>
      </c>
      <c r="D136" s="330">
        <f>D109*Inputs!$H55</f>
        <v>0</v>
      </c>
      <c r="E136" s="330">
        <f>E109*Inputs!$H55</f>
        <v>2.0700000000000003E-2</v>
      </c>
      <c r="F136" s="330">
        <f>F109*Inputs!$H55</f>
        <v>2.0700000000000003E-2</v>
      </c>
      <c r="G136" s="330">
        <f>G109*Inputs!$H55</f>
        <v>2.0700000000000003E-2</v>
      </c>
      <c r="H136" s="401">
        <f>H109*Inputs!$H55</f>
        <v>2.0700000000000003E-2</v>
      </c>
      <c r="I136" s="14">
        <f>I109*Inputs!$H55</f>
        <v>2.2164548981245352E-2</v>
      </c>
      <c r="J136" s="14">
        <f>J109*Inputs!$H55</f>
        <v>2.1922445083170154E-2</v>
      </c>
      <c r="K136" s="14">
        <f>K109*Inputs!$H55</f>
        <v>2.3161330427463933E-2</v>
      </c>
      <c r="L136" s="14">
        <f>L109*Inputs!$H55</f>
        <v>2.4462326027117367E-2</v>
      </c>
      <c r="M136" s="14">
        <f>M109*Inputs!$H55</f>
        <v>2.5350812557248543E-2</v>
      </c>
      <c r="N136" s="187">
        <f>N109*Inputs!$H55</f>
        <v>2.6202437895488206E-2</v>
      </c>
      <c r="O136" s="14">
        <f>O109*Inputs!$H55</f>
        <v>2.6988531640203612E-2</v>
      </c>
      <c r="P136" s="14">
        <f>P109*Inputs!$H55</f>
        <v>2.7813747099303218E-2</v>
      </c>
      <c r="Q136" s="14">
        <f>Q109*Inputs!$H55</f>
        <v>2.8187474989576428E-2</v>
      </c>
      <c r="R136" s="14">
        <f>R109*Inputs!$H55</f>
        <v>2.9098768329972723E-2</v>
      </c>
      <c r="S136" s="14">
        <f>S109*Inputs!$H55</f>
        <v>2.9860571818535516E-2</v>
      </c>
      <c r="T136" s="14">
        <f>T109*Inputs!$H55</f>
        <v>3.0585350089052516E-2</v>
      </c>
      <c r="U136" s="14">
        <f>U109*Inputs!$H55</f>
        <v>3.1356709146896436E-2</v>
      </c>
      <c r="V136" s="14">
        <f>V109*Inputs!$H55</f>
        <v>3.2174813621040972E-2</v>
      </c>
      <c r="W136" s="14">
        <f>W109*Inputs!$H55</f>
        <v>3.3272726762046456E-2</v>
      </c>
      <c r="X136" s="187">
        <f>X109*Inputs!$H55</f>
        <v>3.4024210998786102E-2</v>
      </c>
      <c r="Y136" s="158">
        <f>Y109*Inputs!$H55</f>
        <v>3.4672786054191516E-2</v>
      </c>
      <c r="Z136" s="158">
        <f>Z109*Inputs!$H55</f>
        <v>3.5107420534153562E-2</v>
      </c>
      <c r="AA136" s="158">
        <f>AA109*Inputs!$H55</f>
        <v>3.577229882450382E-2</v>
      </c>
      <c r="AB136" s="158">
        <f>AB109*Inputs!$H55</f>
        <v>3.6434430942588421E-2</v>
      </c>
      <c r="AC136" s="158">
        <f>AC109*Inputs!$H55</f>
        <v>3.7064095024640746E-2</v>
      </c>
      <c r="AD136" s="158">
        <f>AD109*Inputs!$H55</f>
        <v>3.7662490330822765E-2</v>
      </c>
      <c r="AE136" s="158">
        <f>AE109*Inputs!$H55</f>
        <v>3.827029809109337E-2</v>
      </c>
      <c r="AF136" s="158">
        <f>AF109*Inputs!$H55</f>
        <v>3.8813537026834231E-2</v>
      </c>
      <c r="AG136" s="158">
        <f>AG109*Inputs!$H55</f>
        <v>3.9534895075831897E-2</v>
      </c>
      <c r="AH136" s="187">
        <f>AH109*Inputs!$H55</f>
        <v>4.0591345078538725E-2</v>
      </c>
    </row>
    <row r="137" spans="1:35">
      <c r="A137" s="9" t="s">
        <v>344</v>
      </c>
      <c r="B137" s="35">
        <v>1</v>
      </c>
      <c r="C137" s="330">
        <f>C110*Inputs!$H56</f>
        <v>2.16E-3</v>
      </c>
      <c r="D137" s="330">
        <f>D110*Inputs!$H56</f>
        <v>2.3253158559576872E-3</v>
      </c>
      <c r="E137" s="330">
        <f>E110*Inputs!$H56</f>
        <v>2.472766227794044E-3</v>
      </c>
      <c r="F137" s="330">
        <f>F110*Inputs!$H56</f>
        <v>2.4617099206526508E-3</v>
      </c>
      <c r="G137" s="330">
        <f>G110*Inputs!$H56</f>
        <v>2.5634522996314624E-3</v>
      </c>
      <c r="H137" s="401">
        <f>H110*Inputs!$H56</f>
        <v>2.16E-3</v>
      </c>
      <c r="I137" s="14">
        <f>I110*Inputs!$H56</f>
        <v>2.3128225023908195E-3</v>
      </c>
      <c r="J137" s="14">
        <f>J110*Inputs!$H56</f>
        <v>2.2875594869394946E-3</v>
      </c>
      <c r="K137" s="14">
        <f>K110*Inputs!$H56</f>
        <v>2.416834479387541E-3</v>
      </c>
      <c r="L137" s="14">
        <f>L110*Inputs!$H56</f>
        <v>2.5525905419600736E-3</v>
      </c>
      <c r="M137" s="14">
        <f>M110*Inputs!$H56</f>
        <v>2.6453021798868047E-3</v>
      </c>
      <c r="N137" s="187">
        <f>N110*Inputs!$H56</f>
        <v>2.7341674325726834E-3</v>
      </c>
      <c r="O137" s="14">
        <f>O110*Inputs!$H56</f>
        <v>2.8161946059342899E-3</v>
      </c>
      <c r="P137" s="14">
        <f>P110*Inputs!$H56</f>
        <v>2.9023040451446845E-3</v>
      </c>
      <c r="Q137" s="14">
        <f>Q110*Inputs!$H56</f>
        <v>2.9413017380427588E-3</v>
      </c>
      <c r="R137" s="14">
        <f>R110*Inputs!$H56</f>
        <v>3.0363932170406325E-3</v>
      </c>
      <c r="S137" s="14">
        <f>S110*Inputs!$H56</f>
        <v>3.11588575497762E-3</v>
      </c>
      <c r="T137" s="14">
        <f>T110*Inputs!$H56</f>
        <v>3.1915147919011327E-3</v>
      </c>
      <c r="U137" s="14">
        <f>U110*Inputs!$H56</f>
        <v>3.272004432719629E-3</v>
      </c>
      <c r="V137" s="14">
        <f>V110*Inputs!$H56</f>
        <v>3.3573718561086228E-3</v>
      </c>
      <c r="W137" s="14">
        <f>W110*Inputs!$H56</f>
        <v>3.4719367056048481E-3</v>
      </c>
      <c r="X137" s="187">
        <f>X110*Inputs!$H56</f>
        <v>3.5503524520472452E-3</v>
      </c>
      <c r="Y137" s="158">
        <f>Y110*Inputs!$H56</f>
        <v>3.6180298491330278E-3</v>
      </c>
      <c r="Z137" s="158">
        <f>Z110*Inputs!$H56</f>
        <v>3.6633830122595017E-3</v>
      </c>
      <c r="AA137" s="158">
        <f>AA110*Inputs!$H56</f>
        <v>3.7327616164699639E-3</v>
      </c>
      <c r="AB137" s="158">
        <f>AB110*Inputs!$H56</f>
        <v>3.8018536635744445E-3</v>
      </c>
      <c r="AC137" s="158">
        <f>AC110*Inputs!$H56</f>
        <v>3.8675577417016426E-3</v>
      </c>
      <c r="AD137" s="158">
        <f>AD110*Inputs!$H56</f>
        <v>3.9299989910423754E-3</v>
      </c>
      <c r="AE137" s="158">
        <f>AE110*Inputs!$H56</f>
        <v>3.9934224095053948E-3</v>
      </c>
      <c r="AF137" s="158">
        <f>AF110*Inputs!$H56</f>
        <v>4.0501082114957456E-3</v>
      </c>
      <c r="AG137" s="158">
        <f>AG110*Inputs!$H56</f>
        <v>4.1253803557389805E-3</v>
      </c>
      <c r="AH137" s="187">
        <f>AH110*Inputs!$H56</f>
        <v>4.2356186168909975E-3</v>
      </c>
    </row>
    <row r="138" spans="1:35">
      <c r="A138" s="10" t="s">
        <v>120</v>
      </c>
      <c r="B138" s="35">
        <v>1</v>
      </c>
      <c r="C138" s="330">
        <f>C111*Inputs!$H56</f>
        <v>0</v>
      </c>
      <c r="D138" s="330">
        <f>D111*Inputs!$H56</f>
        <v>0</v>
      </c>
      <c r="E138" s="330">
        <f>E111*Inputs!$H56</f>
        <v>0</v>
      </c>
      <c r="F138" s="330">
        <f>F111*Inputs!$H56</f>
        <v>0</v>
      </c>
      <c r="G138" s="330">
        <f>G111*Inputs!$H56</f>
        <v>0</v>
      </c>
      <c r="H138" s="401">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0">
        <f>C112*Inputs!$H57</f>
        <v>76.347000000000008</v>
      </c>
      <c r="D139" s="330">
        <f>D112*Inputs!$H57</f>
        <v>141.52500000000001</v>
      </c>
      <c r="E139" s="330">
        <f>E112*Inputs!$H57</f>
        <v>152.73169920000004</v>
      </c>
      <c r="F139" s="330">
        <f>F112*Inputs!$H57</f>
        <v>244.86829920000002</v>
      </c>
      <c r="G139" s="330">
        <f>G112*Inputs!$H57</f>
        <v>383.86482120000005</v>
      </c>
      <c r="H139" s="401">
        <f>H112*Inputs!$H57</f>
        <v>403.64285580000006</v>
      </c>
      <c r="I139" s="14">
        <f>I112*Inputs!$H57</f>
        <v>437.79290705557668</v>
      </c>
      <c r="J139" s="14">
        <f>J112*Inputs!$H57</f>
        <v>438.61321388831044</v>
      </c>
      <c r="K139" s="14">
        <f>K112*Inputs!$H57</f>
        <v>469.39571509208599</v>
      </c>
      <c r="L139" s="14">
        <f>L112*Inputs!$H57</f>
        <v>502.17636220216554</v>
      </c>
      <c r="M139" s="14">
        <f>M112*Inputs!$H57</f>
        <v>527.14889232287283</v>
      </c>
      <c r="N139" s="182">
        <f>N112*Inputs!$H57</f>
        <v>551.90713975384438</v>
      </c>
      <c r="O139" s="14">
        <f>O112*Inputs!$H57</f>
        <v>568.46478801370233</v>
      </c>
      <c r="P139" s="14">
        <f>P112*Inputs!$H57</f>
        <v>585.84646469313623</v>
      </c>
      <c r="Q139" s="14">
        <f>Q112*Inputs!$H57</f>
        <v>593.71836927658114</v>
      </c>
      <c r="R139" s="14">
        <f>R112*Inputs!$H57</f>
        <v>612.91312142067261</v>
      </c>
      <c r="S139" s="14">
        <f>S112*Inputs!$H57</f>
        <v>628.95913920360533</v>
      </c>
      <c r="T139" s="14">
        <f>T112*Inputs!$H57</f>
        <v>644.22528748462651</v>
      </c>
      <c r="U139" s="14">
        <f>U112*Inputs!$H57</f>
        <v>660.47257611616124</v>
      </c>
      <c r="V139" s="14">
        <f>V112*Inputs!$H57</f>
        <v>677.70447271089301</v>
      </c>
      <c r="W139" s="14">
        <f>W112*Inputs!$H57</f>
        <v>700.83003468216418</v>
      </c>
      <c r="X139" s="187">
        <f>X112*Inputs!$H57</f>
        <v>716.6586960198365</v>
      </c>
      <c r="Y139" s="158">
        <f>Y112*Inputs!$H57</f>
        <v>730.31976088609963</v>
      </c>
      <c r="Z139" s="158">
        <f>Z112*Inputs!$H57</f>
        <v>739.47455303296135</v>
      </c>
      <c r="AA139" s="158">
        <f>AA112*Inputs!$H57</f>
        <v>753.47901616632589</v>
      </c>
      <c r="AB139" s="158">
        <f>AB112*Inputs!$H57</f>
        <v>767.42563612927779</v>
      </c>
      <c r="AC139" s="158">
        <f>AC112*Inputs!$H57</f>
        <v>780.6883754177876</v>
      </c>
      <c r="AD139" s="158">
        <f>AD112*Inputs!$H57</f>
        <v>793.2924942862046</v>
      </c>
      <c r="AE139" s="158">
        <f>AE112*Inputs!$H57</f>
        <v>806.09486953957344</v>
      </c>
      <c r="AF139" s="158">
        <f>AF112*Inputs!$H57</f>
        <v>817.53721885163077</v>
      </c>
      <c r="AG139" s="158">
        <f>AG112*Inputs!$H57</f>
        <v>832.73132632928912</v>
      </c>
      <c r="AH139" s="187">
        <f>AH112*Inputs!$H57</f>
        <v>854.98354200526899</v>
      </c>
      <c r="AI139" s="31">
        <f>SUM(C139:X139)</f>
        <v>10719.806855336235</v>
      </c>
    </row>
    <row r="140" spans="1:35">
      <c r="A140" s="10" t="s">
        <v>384</v>
      </c>
      <c r="C140" s="330">
        <f t="shared" ref="C140:AH140" si="91">SUM(C127:C139)</f>
        <v>1619.8928100000001</v>
      </c>
      <c r="D140" s="330">
        <f t="shared" si="91"/>
        <v>1744.1067653679584</v>
      </c>
      <c r="E140" s="330">
        <f t="shared" si="91"/>
        <v>1795.5968104380538</v>
      </c>
      <c r="F140" s="330">
        <f t="shared" si="91"/>
        <v>1822.4068117635079</v>
      </c>
      <c r="G140" s="330">
        <f t="shared" si="91"/>
        <v>1970.7460826670342</v>
      </c>
      <c r="H140" s="401">
        <f t="shared" si="91"/>
        <v>1809.6249947650085</v>
      </c>
      <c r="I140" s="14">
        <f t="shared" si="91"/>
        <v>1926.282825511676</v>
      </c>
      <c r="J140" s="14">
        <f t="shared" si="91"/>
        <v>1897.5176240215578</v>
      </c>
      <c r="K140" s="14">
        <f t="shared" si="91"/>
        <v>2003.2970928192406</v>
      </c>
      <c r="L140" s="14">
        <f t="shared" si="91"/>
        <v>2126.9102288147278</v>
      </c>
      <c r="M140" s="14">
        <f t="shared" si="91"/>
        <v>2238.8442255271675</v>
      </c>
      <c r="N140" s="182">
        <f t="shared" si="91"/>
        <v>2392.3364500614089</v>
      </c>
      <c r="O140" s="14">
        <f t="shared" si="91"/>
        <v>2423.9002928882883</v>
      </c>
      <c r="P140" s="14">
        <f t="shared" si="91"/>
        <v>2457.5153500093161</v>
      </c>
      <c r="Q140" s="14">
        <f t="shared" si="91"/>
        <v>2450.4230651057019</v>
      </c>
      <c r="R140" s="14">
        <f t="shared" si="91"/>
        <v>2489.1736105416112</v>
      </c>
      <c r="S140" s="14">
        <f t="shared" si="91"/>
        <v>2513.7524614813856</v>
      </c>
      <c r="T140" s="14">
        <f t="shared" si="91"/>
        <v>2534.1386450609757</v>
      </c>
      <c r="U140" s="14">
        <f t="shared" si="91"/>
        <v>2557.3444596409945</v>
      </c>
      <c r="V140" s="14">
        <f t="shared" si="91"/>
        <v>2583.2504677630013</v>
      </c>
      <c r="W140" s="14">
        <f t="shared" si="91"/>
        <v>2630.1532906474463</v>
      </c>
      <c r="X140" s="187">
        <f t="shared" si="91"/>
        <v>2648.3412924549375</v>
      </c>
      <c r="Y140" s="158">
        <f t="shared" si="91"/>
        <v>2785.6381871950775</v>
      </c>
      <c r="Z140" s="158">
        <f t="shared" si="91"/>
        <v>2903.212590552655</v>
      </c>
      <c r="AA140" s="158">
        <f t="shared" si="91"/>
        <v>3026.5886714026356</v>
      </c>
      <c r="AB140" s="158">
        <f t="shared" si="91"/>
        <v>3149.7814530475616</v>
      </c>
      <c r="AC140" s="158">
        <f t="shared" si="91"/>
        <v>3273.7506782663472</v>
      </c>
      <c r="AD140" s="158">
        <f t="shared" si="91"/>
        <v>3395.184568780166</v>
      </c>
      <c r="AE140" s="158">
        <f t="shared" si="91"/>
        <v>3518.6208270075422</v>
      </c>
      <c r="AF140" s="158">
        <f t="shared" si="91"/>
        <v>3635.5063977694458</v>
      </c>
      <c r="AG140" s="158">
        <f t="shared" si="91"/>
        <v>3768.5950079577142</v>
      </c>
      <c r="AH140" s="187">
        <f t="shared" si="91"/>
        <v>3933.9065378013152</v>
      </c>
      <c r="AI140" s="48" t="s">
        <v>0</v>
      </c>
    </row>
    <row r="141" spans="1:35">
      <c r="A141" s="10" t="s">
        <v>387</v>
      </c>
      <c r="C141" s="330">
        <f>SUM(C128:C130)</f>
        <v>1536.4156500000001</v>
      </c>
      <c r="D141" s="330">
        <f t="shared" ref="D141:AH141" si="92">SUM(D128:D130)</f>
        <v>1594.0298049760356</v>
      </c>
      <c r="E141" s="330">
        <f t="shared" si="92"/>
        <v>1633.6190076196931</v>
      </c>
      <c r="F141" s="330">
        <f t="shared" si="92"/>
        <v>1567.2977032032461</v>
      </c>
      <c r="G141" s="330">
        <f t="shared" si="92"/>
        <v>1572.824945505886</v>
      </c>
      <c r="H141" s="401">
        <f t="shared" si="92"/>
        <v>1398.4692804000001</v>
      </c>
      <c r="I141" s="14">
        <f t="shared" si="92"/>
        <v>1475.673568437483</v>
      </c>
      <c r="J141" s="14">
        <f t="shared" si="92"/>
        <v>1437.8812897407959</v>
      </c>
      <c r="K141" s="14">
        <f t="shared" si="92"/>
        <v>1496.095210191274</v>
      </c>
      <c r="L141" s="14">
        <f t="shared" si="92"/>
        <v>1555.6760307514407</v>
      </c>
      <c r="M141" s="14">
        <f t="shared" si="92"/>
        <v>1586.7468895503841</v>
      </c>
      <c r="N141" s="187">
        <f t="shared" si="92"/>
        <v>1613.70804825</v>
      </c>
      <c r="O141" s="14">
        <f t="shared" si="92"/>
        <v>1621.9124266421945</v>
      </c>
      <c r="P141" s="14">
        <f t="shared" si="92"/>
        <v>1631.0054833054162</v>
      </c>
      <c r="Q141" s="14">
        <f t="shared" si="92"/>
        <v>1612.8075466652558</v>
      </c>
      <c r="R141" s="14">
        <f t="shared" si="92"/>
        <v>1624.4782119753418</v>
      </c>
      <c r="S141" s="14">
        <f t="shared" si="92"/>
        <v>1626.4194047262138</v>
      </c>
      <c r="T141" s="14">
        <f t="shared" si="92"/>
        <v>1625.268166914283</v>
      </c>
      <c r="U141" s="14">
        <f t="shared" si="92"/>
        <v>1625.5523711911944</v>
      </c>
      <c r="V141" s="14">
        <f t="shared" si="92"/>
        <v>1627.1476880042978</v>
      </c>
      <c r="W141" s="14">
        <f t="shared" si="92"/>
        <v>1641.4250598632084</v>
      </c>
      <c r="X141" s="187">
        <f t="shared" si="92"/>
        <v>1637.2820490919121</v>
      </c>
      <c r="Y141" s="158">
        <f t="shared" si="92"/>
        <v>1746.3451141007415</v>
      </c>
      <c r="Z141" s="158">
        <f t="shared" si="92"/>
        <v>1844.2579693394309</v>
      </c>
      <c r="AA141" s="158">
        <f t="shared" si="92"/>
        <v>1953.8554206706488</v>
      </c>
      <c r="AB141" s="158">
        <f t="shared" si="92"/>
        <v>2063.2982651068678</v>
      </c>
      <c r="AC141" s="158">
        <f t="shared" si="92"/>
        <v>2170.7462357484887</v>
      </c>
      <c r="AD141" s="158">
        <f t="shared" si="92"/>
        <v>2276.010667042739</v>
      </c>
      <c r="AE141" s="158">
        <f t="shared" si="92"/>
        <v>2381.3853850853538</v>
      </c>
      <c r="AF141" s="158">
        <f t="shared" si="92"/>
        <v>2482.1281348614866</v>
      </c>
      <c r="AG141" s="158">
        <f t="shared" si="92"/>
        <v>2593.7809585376317</v>
      </c>
      <c r="AH141" s="187">
        <f t="shared" si="92"/>
        <v>2727.6991508420979</v>
      </c>
      <c r="AI141" s="48"/>
    </row>
    <row r="142" spans="1:35">
      <c r="A142" s="10" t="s">
        <v>386</v>
      </c>
      <c r="C142" s="329">
        <f t="shared" ref="C142:AH142" si="93">SUMPRODUCT($B131:$B139,C131:C139)</f>
        <v>83.477160000000012</v>
      </c>
      <c r="D142" s="329">
        <f t="shared" si="93"/>
        <v>150.07696039192265</v>
      </c>
      <c r="E142" s="329">
        <f t="shared" si="93"/>
        <v>161.97780281836049</v>
      </c>
      <c r="F142" s="329">
        <f t="shared" si="93"/>
        <v>255.1091085602618</v>
      </c>
      <c r="G142" s="329">
        <f t="shared" si="93"/>
        <v>397.92113716114801</v>
      </c>
      <c r="H142" s="285">
        <f t="shared" si="93"/>
        <v>411.15571436500846</v>
      </c>
      <c r="I142" s="40">
        <f t="shared" si="93"/>
        <v>450.60925707419324</v>
      </c>
      <c r="J142" s="40">
        <f t="shared" si="93"/>
        <v>459.63633428076196</v>
      </c>
      <c r="K142" s="40">
        <f t="shared" si="93"/>
        <v>507.20188262796677</v>
      </c>
      <c r="L142" s="40">
        <f t="shared" si="93"/>
        <v>571.23419806328741</v>
      </c>
      <c r="M142" s="40">
        <f t="shared" si="93"/>
        <v>652.09733597678326</v>
      </c>
      <c r="N142" s="177">
        <f t="shared" si="93"/>
        <v>778.62840181140882</v>
      </c>
      <c r="O142" s="40">
        <f t="shared" si="93"/>
        <v>801.98786624609363</v>
      </c>
      <c r="P142" s="40">
        <f t="shared" si="93"/>
        <v>826.50986670389977</v>
      </c>
      <c r="Q142" s="40">
        <f t="shared" si="93"/>
        <v>837.61551844044618</v>
      </c>
      <c r="R142" s="40">
        <f t="shared" si="93"/>
        <v>864.69539856626932</v>
      </c>
      <c r="S142" s="40">
        <f t="shared" si="93"/>
        <v>887.33305675517181</v>
      </c>
      <c r="T142" s="40">
        <f t="shared" si="93"/>
        <v>908.87047814669268</v>
      </c>
      <c r="U142" s="40">
        <f t="shared" si="93"/>
        <v>931.79208844980053</v>
      </c>
      <c r="V142" s="40">
        <f t="shared" si="93"/>
        <v>956.10277975870383</v>
      </c>
      <c r="W142" s="40">
        <f t="shared" si="93"/>
        <v>988.72823078423767</v>
      </c>
      <c r="X142" s="184">
        <f t="shared" si="93"/>
        <v>1011.0592433630255</v>
      </c>
      <c r="Y142" s="270">
        <f t="shared" si="93"/>
        <v>1039.2930730943363</v>
      </c>
      <c r="Z142" s="270">
        <f t="shared" si="93"/>
        <v>1058.9546212132243</v>
      </c>
      <c r="AA142" s="270">
        <f t="shared" si="93"/>
        <v>1072.733250731987</v>
      </c>
      <c r="AB142" s="270">
        <f t="shared" si="93"/>
        <v>1086.4831879406941</v>
      </c>
      <c r="AC142" s="270">
        <f t="shared" si="93"/>
        <v>1103.0044425178587</v>
      </c>
      <c r="AD142" s="270">
        <f t="shared" si="93"/>
        <v>1119.1739017374273</v>
      </c>
      <c r="AE142" s="270">
        <f t="shared" si="93"/>
        <v>1137.2354419221883</v>
      </c>
      <c r="AF142" s="270">
        <f t="shared" si="93"/>
        <v>1153.378262907959</v>
      </c>
      <c r="AG142" s="270">
        <f t="shared" si="93"/>
        <v>1174.814049420082</v>
      </c>
      <c r="AH142" s="184">
        <f t="shared" si="93"/>
        <v>1206.207386959217</v>
      </c>
    </row>
    <row r="143" spans="1:35">
      <c r="A143" s="10" t="s">
        <v>142</v>
      </c>
      <c r="C143" s="330">
        <f>C116*Inputs!$H$60</f>
        <v>5200.9650000000001</v>
      </c>
      <c r="D143" s="330">
        <f>D116*Inputs!$H$60</f>
        <v>7245.749965228023</v>
      </c>
      <c r="E143" s="330">
        <f>E116*Inputs!$H$60</f>
        <v>7578.96727312237</v>
      </c>
      <c r="F143" s="330">
        <f>F116*Inputs!$H$60</f>
        <v>7098.159846645468</v>
      </c>
      <c r="G143" s="330">
        <f>G116*Inputs!$H$60</f>
        <v>7377.4386302683315</v>
      </c>
      <c r="H143" s="401">
        <f>H116*Inputs!$H$60</f>
        <v>7629.7400236360509</v>
      </c>
      <c r="I143" s="14">
        <f>I116*Inputs!$H$60</f>
        <v>7836.8751515337308</v>
      </c>
      <c r="J143" s="14">
        <f>J116*Inputs!$H$60</f>
        <v>7369.4321855125909</v>
      </c>
      <c r="K143" s="14">
        <f>K116*Inputs!$H$60</f>
        <v>7521.5392861816044</v>
      </c>
      <c r="L143" s="14">
        <f>L116*Inputs!$H$60</f>
        <v>7644.4578511585551</v>
      </c>
      <c r="M143" s="14">
        <f>M116*Inputs!$H$60</f>
        <v>7599.6907119097759</v>
      </c>
      <c r="N143" s="182">
        <f>N116*Inputs!$H$60</f>
        <v>7505.6000009596337</v>
      </c>
      <c r="O143" s="14">
        <f>O116*Inputs!$H$60</f>
        <v>7563.2764467078123</v>
      </c>
      <c r="P143" s="14">
        <f>P116*Inputs!$H$60</f>
        <v>7596.2389255276112</v>
      </c>
      <c r="Q143" s="14">
        <f>Q116*Inputs!$H$60</f>
        <v>7579.7613274104315</v>
      </c>
      <c r="R143" s="14">
        <f>R116*Inputs!$H$60</f>
        <v>7710.1494621200482</v>
      </c>
      <c r="S143" s="14">
        <f>S116*Inputs!$H$60</f>
        <v>7734.0659648396349</v>
      </c>
      <c r="T143" s="14">
        <f>T116*Inputs!$H$60</f>
        <v>7732.5689492992733</v>
      </c>
      <c r="U143" s="14">
        <f>U116*Inputs!$H$60</f>
        <v>7760.8864965511048</v>
      </c>
      <c r="V143" s="14">
        <f>V116*Inputs!$H$60</f>
        <v>7778.9290514836975</v>
      </c>
      <c r="W143" s="14">
        <f>W116*Inputs!$H$60</f>
        <v>7877.729154513424</v>
      </c>
      <c r="X143" s="187">
        <f>X116*Inputs!$H$60</f>
        <v>7884.0806763541459</v>
      </c>
      <c r="Y143" s="158">
        <f>Y116*Inputs!$H$60</f>
        <v>7786.654544363023</v>
      </c>
      <c r="Z143" s="158">
        <f>Z116*Inputs!$H$60</f>
        <v>7699.7136317506784</v>
      </c>
      <c r="AA143" s="158">
        <f>AA116*Inputs!$H$60</f>
        <v>7607.8328451280277</v>
      </c>
      <c r="AB143" s="158">
        <f>AB116*Inputs!$H$60</f>
        <v>7517.2400279593039</v>
      </c>
      <c r="AC143" s="158">
        <f>AC116*Inputs!$H$60</f>
        <v>7426.8292300453959</v>
      </c>
      <c r="AD143" s="158">
        <f>AD116*Inputs!$H$60</f>
        <v>7337.7458676763999</v>
      </c>
      <c r="AE143" s="158">
        <f>AE116*Inputs!$H$60</f>
        <v>7248.8747479655913</v>
      </c>
      <c r="AF143" s="158">
        <f>AF116*Inputs!$H$60</f>
        <v>7162.0511461481547</v>
      </c>
      <c r="AG143" s="158">
        <f>AG116*Inputs!$H$60</f>
        <v>7076.3131895354118</v>
      </c>
      <c r="AH143" s="187">
        <f>AH116*Inputs!$H$60</f>
        <v>6993.5991792264822</v>
      </c>
      <c r="AI143" s="48"/>
    </row>
    <row r="144" spans="1:35">
      <c r="A144" s="10" t="s">
        <v>222</v>
      </c>
      <c r="C144" s="330">
        <f>C117*Inputs!$H$61</f>
        <v>2228.9850000000001</v>
      </c>
      <c r="D144" s="330">
        <f>D117*Inputs!$H$61</f>
        <v>452.8171324226056</v>
      </c>
      <c r="E144" s="330">
        <f>E117*Inputs!$H$61</f>
        <v>356.38575776332914</v>
      </c>
      <c r="F144" s="330">
        <f>F117*Inputs!$H$61</f>
        <v>487.07727935633795</v>
      </c>
      <c r="G144" s="330">
        <f>G117*Inputs!$H$61</f>
        <v>167.51694315721775</v>
      </c>
      <c r="H144" s="401">
        <f>H117*Inputs!$H$61</f>
        <v>186.36497581394818</v>
      </c>
      <c r="I144" s="14">
        <f>I117*Inputs!$H$61</f>
        <v>224.14582833834527</v>
      </c>
      <c r="J144" s="14">
        <f>J117*Inputs!$H$61</f>
        <v>307.63773184826812</v>
      </c>
      <c r="K144" s="14">
        <f>K117*Inputs!$H$61</f>
        <v>283.23385178090069</v>
      </c>
      <c r="L144" s="14">
        <f>L117*Inputs!$H$61</f>
        <v>279.51618878072668</v>
      </c>
      <c r="M144" s="14">
        <f>M117*Inputs!$H$61</f>
        <v>279.94220099215363</v>
      </c>
      <c r="N144" s="182">
        <f>N117*Inputs!$H$61</f>
        <v>283.96567152431408</v>
      </c>
      <c r="O144" s="14">
        <f>O117*Inputs!$H$61</f>
        <v>313.88353843815116</v>
      </c>
      <c r="P144" s="14">
        <f>P117*Inputs!$H$61</f>
        <v>373.88352635876709</v>
      </c>
      <c r="Q144" s="14">
        <f>Q117*Inputs!$H$61</f>
        <v>350.04537415977723</v>
      </c>
      <c r="R144" s="14">
        <f>R117*Inputs!$H$61</f>
        <v>326.37324316055663</v>
      </c>
      <c r="S144" s="14">
        <f>S117*Inputs!$H$61</f>
        <v>362.04101043236909</v>
      </c>
      <c r="T144" s="14">
        <f>T117*Inputs!$H$61</f>
        <v>408.25896739677552</v>
      </c>
      <c r="U144" s="14">
        <f>U117*Inputs!$H$61</f>
        <v>432.22944117880144</v>
      </c>
      <c r="V144" s="14">
        <f>V117*Inputs!$H$61</f>
        <v>473.65879842708512</v>
      </c>
      <c r="W144" s="14">
        <f>W117*Inputs!$H$61</f>
        <v>499.60075059769082</v>
      </c>
      <c r="X144" s="187">
        <f>X117*Inputs!$H$61</f>
        <v>524.85425199973497</v>
      </c>
      <c r="Y144" s="158">
        <f>Y117*Inputs!$H$61</f>
        <v>557.23410316793343</v>
      </c>
      <c r="Z144" s="158">
        <f>Z117*Inputs!$H$61</f>
        <v>526.44721646919163</v>
      </c>
      <c r="AA144" s="158">
        <f>AA117*Inputs!$H$61</f>
        <v>559.2549390118179</v>
      </c>
      <c r="AB144" s="158">
        <f>AB117*Inputs!$H$61</f>
        <v>586.56647845949817</v>
      </c>
      <c r="AC144" s="158">
        <f>AC117*Inputs!$H$61</f>
        <v>601.4090616131341</v>
      </c>
      <c r="AD144" s="158">
        <f>AD117*Inputs!$H$61</f>
        <v>605.27067135585958</v>
      </c>
      <c r="AE144" s="158">
        <f>AE117*Inputs!$H$61</f>
        <v>607.72929075567515</v>
      </c>
      <c r="AF144" s="158">
        <f>AF117*Inputs!$H$61</f>
        <v>593.012586882748</v>
      </c>
      <c r="AG144" s="158">
        <f>AG117*Inputs!$H$61</f>
        <v>610.48869070599312</v>
      </c>
      <c r="AH144" s="187">
        <f>AH117*Inputs!$H$61</f>
        <v>685.26194440012262</v>
      </c>
      <c r="AI144" s="48"/>
    </row>
    <row r="145" spans="1:35">
      <c r="A145" s="10" t="s">
        <v>58</v>
      </c>
      <c r="C145" s="330">
        <f>SUM(C140,C143,C144)</f>
        <v>9049.8428100000001</v>
      </c>
      <c r="D145" s="330">
        <f>SUM(D140,D143,D144)</f>
        <v>9442.6738630185864</v>
      </c>
      <c r="E145" s="330">
        <f t="shared" ref="E145:AH145" si="94">SUM(E140,E143,E144)</f>
        <v>9730.9498413237543</v>
      </c>
      <c r="F145" s="330">
        <f t="shared" si="94"/>
        <v>9407.6439377653132</v>
      </c>
      <c r="G145" s="330">
        <f t="shared" si="94"/>
        <v>9515.701656092584</v>
      </c>
      <c r="H145" s="401">
        <f t="shared" si="94"/>
        <v>9625.7299942150075</v>
      </c>
      <c r="I145" s="14">
        <f t="shared" si="94"/>
        <v>9987.3038053837518</v>
      </c>
      <c r="J145" s="14">
        <f t="shared" si="94"/>
        <v>9574.587541382416</v>
      </c>
      <c r="K145" s="14">
        <f t="shared" si="94"/>
        <v>9808.0702307817446</v>
      </c>
      <c r="L145" s="14">
        <f t="shared" si="94"/>
        <v>10050.884268754009</v>
      </c>
      <c r="M145" s="14">
        <f t="shared" si="94"/>
        <v>10118.477138429098</v>
      </c>
      <c r="N145" s="187">
        <f t="shared" si="94"/>
        <v>10181.902122545358</v>
      </c>
      <c r="O145" s="14">
        <f t="shared" si="94"/>
        <v>10301.060278034251</v>
      </c>
      <c r="P145" s="14">
        <f t="shared" si="94"/>
        <v>10427.637801895693</v>
      </c>
      <c r="Q145" s="14">
        <f t="shared" si="94"/>
        <v>10380.229766675911</v>
      </c>
      <c r="R145" s="14">
        <f t="shared" si="94"/>
        <v>10525.696315822217</v>
      </c>
      <c r="S145" s="14">
        <f t="shared" si="94"/>
        <v>10609.85943675339</v>
      </c>
      <c r="T145" s="14">
        <f t="shared" si="94"/>
        <v>10674.966561757024</v>
      </c>
      <c r="U145" s="14">
        <f t="shared" si="94"/>
        <v>10750.4603973709</v>
      </c>
      <c r="V145" s="14">
        <f t="shared" si="94"/>
        <v>10835.838317673784</v>
      </c>
      <c r="W145" s="14">
        <f t="shared" si="94"/>
        <v>11007.483195758561</v>
      </c>
      <c r="X145" s="187">
        <f t="shared" si="94"/>
        <v>11057.276220808819</v>
      </c>
      <c r="Y145" s="158">
        <f t="shared" si="94"/>
        <v>11129.526834726033</v>
      </c>
      <c r="Z145" s="158">
        <f t="shared" si="94"/>
        <v>11129.373438772525</v>
      </c>
      <c r="AA145" s="158">
        <f t="shared" si="94"/>
        <v>11193.676455542482</v>
      </c>
      <c r="AB145" s="158">
        <f t="shared" si="94"/>
        <v>11253.587959466362</v>
      </c>
      <c r="AC145" s="158">
        <f t="shared" si="94"/>
        <v>11301.988969924878</v>
      </c>
      <c r="AD145" s="158">
        <f t="shared" si="94"/>
        <v>11338.201107812425</v>
      </c>
      <c r="AE145" s="158">
        <f t="shared" si="94"/>
        <v>11375.224865728809</v>
      </c>
      <c r="AF145" s="158">
        <f t="shared" si="94"/>
        <v>11390.570130800348</v>
      </c>
      <c r="AG145" s="158">
        <f t="shared" si="94"/>
        <v>11455.396888199119</v>
      </c>
      <c r="AH145" s="187">
        <f t="shared" si="94"/>
        <v>11612.767661427921</v>
      </c>
      <c r="AI145" s="48"/>
    </row>
    <row r="146" spans="1:35" s="1" customFormat="1">
      <c r="A146" s="1" t="s">
        <v>335</v>
      </c>
      <c r="B146" s="13"/>
      <c r="C146" s="340">
        <f>C145-'Output - Jobs vs Yr (BAU)'!C73</f>
        <v>2.2767299999995885</v>
      </c>
      <c r="D146" s="340">
        <f>D145-'Output - Jobs vs Yr (BAU)'!D73</f>
        <v>58.093783018586691</v>
      </c>
      <c r="E146" s="340">
        <f>E145-'Output - Jobs vs Yr (BAU)'!E73</f>
        <v>75.024601255479865</v>
      </c>
      <c r="F146" s="340">
        <f>F145-'Output - Jobs vs Yr (BAU)'!F73</f>
        <v>45.211368512294939</v>
      </c>
      <c r="G146" s="340">
        <f>G145-'Output - Jobs vs Yr (BAU)'!G73</f>
        <v>52.881563267064848</v>
      </c>
      <c r="H146" s="404">
        <f>H145-'Output - Jobs vs Yr (BAU)'!H73</f>
        <v>-0.12897000000339176</v>
      </c>
      <c r="I146" s="15">
        <f>I145-'Output - Jobs vs Yr (BAU)'!I73</f>
        <v>2.4369897387423407</v>
      </c>
      <c r="J146" s="15">
        <f>J145-'Output - Jobs vs Yr (BAU)'!J73</f>
        <v>-7.3192342425936658</v>
      </c>
      <c r="K146" s="15">
        <f>K145-'Output - Jobs vs Yr (BAU)'!K73</f>
        <v>-5.5883875932649971</v>
      </c>
      <c r="L146" s="15">
        <f>L145-'Output - Jobs vs Yr (BAU)'!L73</f>
        <v>35.370329828998365</v>
      </c>
      <c r="M146" s="15">
        <f>M145-'Output - Jobs vs Yr (BAU)'!M73</f>
        <v>69.257019244087132</v>
      </c>
      <c r="N146" s="182">
        <f>N145-'Output - Jobs vs Yr (BAU)'!N73</f>
        <v>62.782952380348434</v>
      </c>
      <c r="O146" s="15">
        <f>O145-'Output - Jobs vs Yr (BAU)'!O73</f>
        <v>63.155129689241221</v>
      </c>
      <c r="P146" s="15">
        <f>P145-'Output - Jobs vs Yr (BAU)'!P73</f>
        <v>76.415660370683327</v>
      </c>
      <c r="Q146" s="15">
        <f>Q145-'Output - Jobs vs Yr (BAU)'!Q73</f>
        <v>76.071377710903107</v>
      </c>
      <c r="R146" s="15">
        <f>R145-'Output - Jobs vs Yr (BAU)'!R73</f>
        <v>69.9899826272067</v>
      </c>
      <c r="S146" s="15">
        <f>S145-'Output - Jobs vs Yr (BAU)'!S73</f>
        <v>78.26106165838064</v>
      </c>
      <c r="T146" s="15">
        <f>T145-'Output - Jobs vs Yr (BAU)'!T73</f>
        <v>85.847965362012474</v>
      </c>
      <c r="U146" s="15">
        <f>U145-'Output - Jobs vs Yr (BAU)'!U73</f>
        <v>91.801784745890473</v>
      </c>
      <c r="V146" s="15">
        <f>V145-'Output - Jobs vs Yr (BAU)'!V73</f>
        <v>101.48341557877575</v>
      </c>
      <c r="W146" s="15">
        <f>W145-'Output - Jobs vs Yr (BAU)'!W73</f>
        <v>115.33955179355144</v>
      </c>
      <c r="X146" s="190">
        <f>X145-'Output - Jobs vs Yr (BAU)'!X73</f>
        <v>102.01174662380981</v>
      </c>
      <c r="Y146" s="130">
        <f>Y145-'Output - Jobs vs Yr (BAU)'!Y73</f>
        <v>124.47482215102536</v>
      </c>
      <c r="Z146" s="130">
        <f>Z145-'Output - Jobs vs Yr (BAU)'!Z73</f>
        <v>148.8138434075172</v>
      </c>
      <c r="AA146" s="130">
        <f>AA145-'Output - Jobs vs Yr (BAU)'!AA73</f>
        <v>178.08095241747287</v>
      </c>
      <c r="AB146" s="130">
        <f>AB145-'Output - Jobs vs Yr (BAU)'!AB73</f>
        <v>206.78143302135322</v>
      </c>
      <c r="AC146" s="130">
        <f>AC145-'Output - Jobs vs Yr (BAU)'!AC73</f>
        <v>235.08942579986797</v>
      </c>
      <c r="AD146" s="130">
        <f>AD145-'Output - Jobs vs Yr (BAU)'!AD73</f>
        <v>264.95779362741632</v>
      </c>
      <c r="AE146" s="130">
        <f>AE145-'Output - Jobs vs Yr (BAU)'!AE73</f>
        <v>294.87270642379917</v>
      </c>
      <c r="AF146" s="130">
        <f>AF145-'Output - Jobs vs Yr (BAU)'!AF73</f>
        <v>323.74708271533927</v>
      </c>
      <c r="AG146" s="130">
        <f>AG145-'Output - Jobs vs Yr (BAU)'!AG73</f>
        <v>352.67080971411087</v>
      </c>
      <c r="AH146" s="190">
        <f>AH145-'Output - Jobs vs Yr (BAU)'!AH73</f>
        <v>380.88507261291124</v>
      </c>
    </row>
    <row r="147" spans="1:35" s="1" customFormat="1">
      <c r="A147" s="11"/>
      <c r="B147" s="13"/>
      <c r="C147" s="327"/>
      <c r="D147" s="340"/>
      <c r="E147" s="340"/>
      <c r="F147" s="340"/>
      <c r="G147" s="340"/>
      <c r="H147" s="404"/>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79"/>
    </row>
    <row r="148" spans="1:35" hidden="1">
      <c r="A148" s="1" t="s">
        <v>199</v>
      </c>
    </row>
    <row r="149" spans="1:35" hidden="1">
      <c r="A149" s="20" t="s">
        <v>197</v>
      </c>
      <c r="C149" s="332">
        <f>'backup - EIA liq_fuelS_aeo2014'!E44</f>
        <v>7088.7783050537164</v>
      </c>
      <c r="D149" s="332">
        <f>'backup - EIA liq_fuelS_aeo2014'!F44</f>
        <v>7149.5953941345133</v>
      </c>
      <c r="E149" s="332">
        <f>'backup - EIA liq_fuelS_aeo2014'!G44</f>
        <v>6912.5827950000003</v>
      </c>
      <c r="F149" s="332">
        <f>'backup - EIA liq_fuelS_aeo2014'!H44</f>
        <v>6786.185485</v>
      </c>
      <c r="G149" s="332">
        <f>'backup - EIA liq_fuelS_aeo2014'!I44</f>
        <v>6929.6414350000005</v>
      </c>
      <c r="H149" s="405">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69">
        <f>'backup - EIA liq_fuelS_aeo2014'!Z44</f>
        <v>6908.05278</v>
      </c>
    </row>
    <row r="150" spans="1:35" hidden="1">
      <c r="A150" s="20" t="s">
        <v>198</v>
      </c>
      <c r="C150" s="332">
        <f>'backup - EIA liq_fuelS_aeo2014'!E44</f>
        <v>7088.7783050537164</v>
      </c>
      <c r="D150" s="332">
        <f>'backup - EIA liq_fuelS_aeo2014'!F44</f>
        <v>7149.5953941345133</v>
      </c>
      <c r="E150" s="332">
        <f>'backup - EIA liq_fuelS_aeo2014'!G44</f>
        <v>6912.5827950000003</v>
      </c>
      <c r="F150" s="332">
        <f>'backup - EIA liq_fuelS_aeo2014'!H44</f>
        <v>6786.185485</v>
      </c>
      <c r="G150" s="332">
        <f>'backup - EIA liq_fuelS_aeo2014'!I44</f>
        <v>6929.6414350000005</v>
      </c>
      <c r="H150" s="405">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69">
        <f>'backup - EIA liq_fuelS_aeo2014'!Z44</f>
        <v>6908.05278</v>
      </c>
    </row>
    <row r="151" spans="1:35" hidden="1">
      <c r="A151" s="20" t="s">
        <v>200</v>
      </c>
      <c r="C151" s="341">
        <f>'backup - EIA liq_fuelS_aeo2014'!E46</f>
        <v>273.77869168296451</v>
      </c>
      <c r="D151" s="341">
        <f>'backup - EIA liq_fuelS_aeo2014'!F46</f>
        <v>330.59007454663532</v>
      </c>
      <c r="E151" s="341">
        <f>'backup - EIA liq_fuelS_aeo2014'!G46</f>
        <v>346.41273999999999</v>
      </c>
      <c r="F151" s="341">
        <f>'backup - EIA liq_fuelS_aeo2014'!H46</f>
        <v>332.23648773503913</v>
      </c>
      <c r="G151" s="341">
        <f>'backup - EIA liq_fuelS_aeo2014'!I46</f>
        <v>336.63400877733272</v>
      </c>
      <c r="H151" s="406">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0">
        <f>'backup - EIA liq_fuelS_aeo2014'!Z46</f>
        <v>459.60339229062083</v>
      </c>
    </row>
    <row r="152" spans="1:35" hidden="1">
      <c r="A152" s="20" t="s">
        <v>203</v>
      </c>
      <c r="C152" s="331">
        <f>C151/C149</f>
        <v>3.8621421054708789E-2</v>
      </c>
      <c r="D152" s="331">
        <f t="shared" ref="D152:X152" si="95">D151/D149</f>
        <v>4.62389906452398E-2</v>
      </c>
      <c r="E152" s="331">
        <f t="shared" si="95"/>
        <v>5.0113358533740347E-2</v>
      </c>
      <c r="F152" s="331">
        <f t="shared" si="95"/>
        <v>4.8957766991398283E-2</v>
      </c>
      <c r="G152" s="331">
        <f t="shared" si="95"/>
        <v>4.8578849560248959E-2</v>
      </c>
      <c r="H152" s="283">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1">
        <f>'backup - EIA liq_fuelS_aeo2014'!E46</f>
        <v>273.77869168296451</v>
      </c>
      <c r="D153" s="341">
        <f>'backup - EIA liq_fuelS_aeo2014'!F46</f>
        <v>330.59007454663532</v>
      </c>
      <c r="E153" s="341">
        <f>'backup - EIA liq_fuelS_aeo2014'!G46</f>
        <v>346.41273999999999</v>
      </c>
      <c r="F153" s="341">
        <f>'backup - EIA liq_fuelS_aeo2014'!H46</f>
        <v>332.23648773503913</v>
      </c>
      <c r="G153" s="341">
        <f>'backup - EIA liq_fuelS_aeo2014'!I46</f>
        <v>336.63400877733272</v>
      </c>
      <c r="H153" s="406">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0">
        <f>'backup - EIA liq_fuelS_aeo2014'!Z46</f>
        <v>459.60339229062083</v>
      </c>
    </row>
    <row r="154" spans="1:35" hidden="1">
      <c r="A154" t="s">
        <v>204</v>
      </c>
      <c r="C154" s="331">
        <f>C153/C149</f>
        <v>3.8621421054708789E-2</v>
      </c>
      <c r="D154" s="331">
        <f t="shared" ref="D154:X154" si="96">D153/D149</f>
        <v>4.62389906452398E-2</v>
      </c>
      <c r="E154" s="331">
        <f t="shared" si="96"/>
        <v>5.0113358533740347E-2</v>
      </c>
      <c r="F154" s="331">
        <f t="shared" si="96"/>
        <v>4.8957766991398283E-2</v>
      </c>
      <c r="G154" s="331">
        <f t="shared" si="96"/>
        <v>4.8578849560248959E-2</v>
      </c>
      <c r="H154" s="283">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1">
        <f>MAX(C151,C153)</f>
        <v>273.77869168296451</v>
      </c>
      <c r="D155" s="341">
        <f t="shared" ref="D155:X155" si="97">MAX(D151,D153)</f>
        <v>330.59007454663532</v>
      </c>
      <c r="E155" s="341">
        <f t="shared" si="97"/>
        <v>346.41273999999999</v>
      </c>
      <c r="F155" s="341">
        <f t="shared" si="97"/>
        <v>332.23648773503913</v>
      </c>
      <c r="G155" s="341">
        <f t="shared" si="97"/>
        <v>336.63400877733272</v>
      </c>
      <c r="H155" s="406">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0">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2">
        <f>C149-C150</f>
        <v>0</v>
      </c>
      <c r="D157" s="332">
        <f t="shared" ref="D157:X157" si="98">D149-D150</f>
        <v>0</v>
      </c>
      <c r="E157" s="332">
        <f t="shared" si="98"/>
        <v>0</v>
      </c>
      <c r="F157" s="332">
        <f t="shared" si="98"/>
        <v>0</v>
      </c>
      <c r="G157" s="332">
        <f t="shared" si="98"/>
        <v>0</v>
      </c>
      <c r="H157" s="405">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69">
        <f t="shared" si="98"/>
        <v>0</v>
      </c>
    </row>
    <row r="158" spans="1:35" hidden="1"/>
    <row r="159" spans="1:35" hidden="1">
      <c r="A159" s="1" t="s">
        <v>252</v>
      </c>
    </row>
    <row r="160" spans="1:35" hidden="1">
      <c r="A160" t="s">
        <v>285</v>
      </c>
      <c r="C160" s="329">
        <v>0</v>
      </c>
      <c r="D160" s="329">
        <v>0</v>
      </c>
      <c r="E160" s="329">
        <v>0</v>
      </c>
      <c r="F160" s="329">
        <v>0</v>
      </c>
      <c r="G160" s="329">
        <v>0</v>
      </c>
      <c r="H160" s="285">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29">
        <v>0</v>
      </c>
      <c r="D161" s="329">
        <v>0</v>
      </c>
      <c r="E161" s="329">
        <v>0</v>
      </c>
      <c r="F161" s="329">
        <v>0</v>
      </c>
      <c r="G161" s="329">
        <v>0</v>
      </c>
      <c r="H161" s="285">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29">
        <v>0</v>
      </c>
      <c r="D162" s="329">
        <v>0</v>
      </c>
      <c r="E162" s="329">
        <v>0</v>
      </c>
      <c r="F162" s="329">
        <v>0</v>
      </c>
      <c r="G162" s="329">
        <v>0</v>
      </c>
      <c r="H162" s="285">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29">
        <v>0</v>
      </c>
      <c r="D163" s="329">
        <v>0</v>
      </c>
      <c r="E163" s="329">
        <v>0</v>
      </c>
      <c r="F163" s="329">
        <v>0</v>
      </c>
      <c r="G163" s="329">
        <v>0</v>
      </c>
      <c r="H163" s="285">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29" t="e">
        <f>C157*#REF!</f>
        <v>#REF!</v>
      </c>
      <c r="D164" s="329" t="e">
        <f>D157*#REF!</f>
        <v>#REF!</v>
      </c>
      <c r="E164" s="329" t="e">
        <f>E157*#REF!</f>
        <v>#REF!</v>
      </c>
      <c r="F164" s="329" t="e">
        <f>F157*#REF!</f>
        <v>#REF!</v>
      </c>
      <c r="G164" s="329" t="e">
        <f>G157*#REF!</f>
        <v>#REF!</v>
      </c>
      <c r="H164" s="285"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29">
        <v>0</v>
      </c>
      <c r="D165" s="329">
        <v>0</v>
      </c>
      <c r="E165" s="329">
        <v>0</v>
      </c>
      <c r="F165" s="329">
        <v>0</v>
      </c>
      <c r="G165" s="329">
        <v>0</v>
      </c>
      <c r="H165" s="285">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29" t="e">
        <f>C162-C160+C164+C165</f>
        <v>#REF!</v>
      </c>
      <c r="D166" s="329">
        <v>0</v>
      </c>
      <c r="E166" s="329">
        <v>0</v>
      </c>
      <c r="F166" s="329">
        <v>0</v>
      </c>
      <c r="G166" s="329">
        <v>0</v>
      </c>
      <c r="H166" s="285">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29">
        <v>0</v>
      </c>
      <c r="D169" s="329">
        <v>0</v>
      </c>
      <c r="E169" s="329">
        <v>0</v>
      </c>
      <c r="F169" s="329">
        <v>0</v>
      </c>
      <c r="G169" s="329">
        <v>0</v>
      </c>
      <c r="H169" s="285">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29">
        <v>0</v>
      </c>
      <c r="D170" s="329">
        <v>0</v>
      </c>
      <c r="E170" s="329">
        <v>0</v>
      </c>
      <c r="F170" s="329">
        <v>0</v>
      </c>
      <c r="G170" s="329">
        <v>0</v>
      </c>
      <c r="H170" s="285">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29">
        <v>0</v>
      </c>
      <c r="D171" s="329">
        <v>0</v>
      </c>
      <c r="E171" s="329">
        <v>0</v>
      </c>
      <c r="F171" s="329">
        <v>0</v>
      </c>
      <c r="G171" s="329">
        <v>0</v>
      </c>
      <c r="H171" s="285">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29">
        <v>0</v>
      </c>
      <c r="D172" s="329">
        <v>0</v>
      </c>
      <c r="E172" s="329">
        <v>0</v>
      </c>
      <c r="F172" s="329">
        <v>0</v>
      </c>
      <c r="G172" s="329">
        <v>0</v>
      </c>
      <c r="H172" s="285">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29" t="e">
        <f>'backup - Mass Transit'!BC34</f>
        <v>#REF!</v>
      </c>
      <c r="D173" s="329" t="e">
        <f>'backup - Mass Transit'!BD34</f>
        <v>#REF!</v>
      </c>
      <c r="E173" s="329" t="e">
        <f>'backup - Mass Transit'!BE34</f>
        <v>#REF!</v>
      </c>
      <c r="F173" s="329" t="e">
        <f>'backup - Mass Transit'!BF34</f>
        <v>#REF!</v>
      </c>
      <c r="G173" s="329" t="e">
        <f>'backup - Mass Transit'!BG34</f>
        <v>#REF!</v>
      </c>
      <c r="H173" s="285"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7">
        <v>2009</v>
      </c>
      <c r="D175" s="327">
        <v>2010</v>
      </c>
      <c r="E175" s="327">
        <v>2011</v>
      </c>
      <c r="F175" s="327">
        <v>2012</v>
      </c>
      <c r="G175" s="327">
        <v>2013</v>
      </c>
      <c r="H175" s="399">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3">
        <f>'Output - Jobs vs Yr (BAU)'!C55+'Output - Jobs vs Yr (BAU)'!C73</f>
        <v>19100.417280000001</v>
      </c>
      <c r="D176" s="333">
        <f>'Output - Jobs vs Yr (BAU)'!D55+'Output - Jobs vs Yr (BAU)'!D73</f>
        <v>19811.89128</v>
      </c>
      <c r="E176" s="333">
        <f>'Output - Jobs vs Yr (BAU)'!E55+'Output - Jobs vs Yr (BAU)'!E73</f>
        <v>20384.731062366358</v>
      </c>
      <c r="F176" s="333">
        <f>'Output - Jobs vs Yr (BAU)'!F55+'Output - Jobs vs Yr (BAU)'!F73</f>
        <v>19765.135423978594</v>
      </c>
      <c r="G176" s="333">
        <f>'Output - Jobs vs Yr (BAU)'!G55+'Output - Jobs vs Yr (BAU)'!G73</f>
        <v>19977.06464040943</v>
      </c>
      <c r="H176" s="403">
        <f>'Output - Jobs vs Yr (BAU)'!H55+'Output - Jobs vs Yr (BAU)'!H73</f>
        <v>20321.257813342796</v>
      </c>
      <c r="I176" s="19">
        <f>'Output - Jobs vs Yr (BAU)'!I55+'Output - Jobs vs Yr (BAU)'!I73</f>
        <v>21079.163277472799</v>
      </c>
      <c r="J176" s="19">
        <f>'Output - Jobs vs Yr (BAU)'!J55+'Output - Jobs vs Yr (BAU)'!J73</f>
        <v>20228.469859652796</v>
      </c>
      <c r="K176" s="19">
        <f>'Output - Jobs vs Yr (BAU)'!K55+'Output - Jobs vs Yr (BAU)'!K73</f>
        <v>20717.723749902798</v>
      </c>
      <c r="L176" s="19">
        <f>'Output - Jobs vs Yr (BAU)'!L55+'Output - Jobs vs Yr (BAU)'!L73</f>
        <v>21143.862759952797</v>
      </c>
      <c r="M176" s="19">
        <f>'Output - Jobs vs Yr (BAU)'!M55+'Output - Jobs vs Yr (BAU)'!M73</f>
        <v>21215.020251612797</v>
      </c>
      <c r="N176" s="182">
        <f>'Output - Jobs vs Yr (BAU)'!N55+'Output - Jobs vs Yr (BAU)'!N73</f>
        <v>21362.584914792798</v>
      </c>
      <c r="O176" s="19">
        <f>'Output - Jobs vs Yr (BAU)'!O55+'Output - Jobs vs Yr (BAU)'!O73</f>
        <v>21613.355313172797</v>
      </c>
      <c r="P176" s="19">
        <f>'Output - Jobs vs Yr (BAU)'!P55+'Output - Jobs vs Yr (BAU)'!P73</f>
        <v>21852.580076552797</v>
      </c>
      <c r="Q176" s="19">
        <f>'Output - Jobs vs Yr (BAU)'!Q55+'Output - Jobs vs Yr (BAU)'!Q73</f>
        <v>21753.223265592795</v>
      </c>
      <c r="R176" s="19">
        <f>'Output - Jobs vs Yr (BAU)'!R55+'Output - Jobs vs Yr (BAU)'!R73</f>
        <v>22073.157814522798</v>
      </c>
      <c r="S176" s="19">
        <f>'Output - Jobs vs Yr (BAU)'!S55+'Output - Jobs vs Yr (BAU)'!S73</f>
        <v>22233.374347422796</v>
      </c>
      <c r="T176" s="19">
        <f>'Output - Jobs vs Yr (BAU)'!T55+'Output - Jobs vs Yr (BAU)'!T73</f>
        <v>22354.805925722801</v>
      </c>
      <c r="U176" s="19">
        <f>'Output - Jobs vs Yr (BAU)'!U55+'Output - Jobs vs Yr (BAU)'!U73</f>
        <v>22501.612626652801</v>
      </c>
      <c r="V176" s="19">
        <f>'Output - Jobs vs Yr (BAU)'!V55+'Output - Jobs vs Yr (BAU)'!V73</f>
        <v>22661.415904422793</v>
      </c>
      <c r="W176" s="19">
        <f>'Output - Jobs vs Yr (BAU)'!W55+'Output - Jobs vs Yr (BAU)'!W73</f>
        <v>22994.525470592798</v>
      </c>
      <c r="X176" s="182">
        <f>'Output - Jobs vs Yr (BAU)'!X55+'Output - Jobs vs Yr (BAU)'!X73</f>
        <v>23127.780556612797</v>
      </c>
      <c r="Y176" s="205">
        <f>'Output - Jobs vs Yr (BAU)'!Y55+'Output - Jobs vs Yr (BAU)'!Y73</f>
        <v>23232.887582102798</v>
      </c>
      <c r="Z176" s="205">
        <f>'Output - Jobs vs Yr (BAU)'!Z55+'Output - Jobs vs Yr (BAU)'!Z73</f>
        <v>23181.181367992795</v>
      </c>
      <c r="AA176" s="205">
        <f>'Output - Jobs vs Yr (BAU)'!AA55+'Output - Jobs vs Yr (BAU)'!AA73</f>
        <v>23255.146062152795</v>
      </c>
      <c r="AB176" s="205">
        <f>'Output - Jobs vs Yr (BAU)'!AB55+'Output - Jobs vs Yr (BAU)'!AB73</f>
        <v>23321.036000272798</v>
      </c>
      <c r="AC176" s="205">
        <f>'Output - Jobs vs Yr (BAU)'!AC55+'Output - Jobs vs Yr (BAU)'!AC73</f>
        <v>23363.454593152797</v>
      </c>
      <c r="AD176" s="205">
        <f>'Output - Jobs vs Yr (BAU)'!AD55+'Output - Jobs vs Yr (BAU)'!AD73</f>
        <v>23376.846996612796</v>
      </c>
      <c r="AE176" s="205">
        <f>'Output - Jobs vs Yr (BAU)'!AE55+'Output - Jobs vs Yr (BAU)'!AE73</f>
        <v>23391.854558532796</v>
      </c>
      <c r="AF176" s="205">
        <f>'Output - Jobs vs Yr (BAU)'!AF55+'Output - Jobs vs Yr (BAU)'!AF73</f>
        <v>23363.293101512798</v>
      </c>
      <c r="AG176" s="205">
        <f>'Output - Jobs vs Yr (BAU)'!AG55+'Output - Jobs vs Yr (BAU)'!AG73</f>
        <v>23439.088387912794</v>
      </c>
      <c r="AH176" s="182">
        <f>'Output - Jobs vs Yr (BAU)'!AH55+'Output - Jobs vs Yr (BAU)'!AH73</f>
        <v>23711.752131942798</v>
      </c>
      <c r="AI176" s="1"/>
    </row>
    <row r="177" spans="1:35">
      <c r="A177" s="76" t="s">
        <v>300</v>
      </c>
      <c r="C177" s="333">
        <f>'Output - Jobs vs Yr (BAU)'!C55</f>
        <v>10052.851200000001</v>
      </c>
      <c r="D177" s="333">
        <f>'Output - Jobs vs Yr (BAU)'!D55</f>
        <v>10427.3112</v>
      </c>
      <c r="E177" s="333">
        <f>'Output - Jobs vs Yr (BAU)'!E55</f>
        <v>10728.805822298082</v>
      </c>
      <c r="F177" s="333">
        <f>'Output - Jobs vs Yr (BAU)'!F55</f>
        <v>10402.702854725576</v>
      </c>
      <c r="G177" s="333">
        <f>'Output - Jobs vs Yr (BAU)'!G55</f>
        <v>10514.24454758391</v>
      </c>
      <c r="H177" s="403">
        <f>'Output - Jobs vs Yr (BAU)'!H55</f>
        <v>10695.398849127787</v>
      </c>
      <c r="I177" s="19">
        <f>'Output - Jobs vs Yr (BAU)'!I55</f>
        <v>11094.296461827787</v>
      </c>
      <c r="J177" s="19">
        <f>'Output - Jobs vs Yr (BAU)'!J55</f>
        <v>10646.563084027788</v>
      </c>
      <c r="K177" s="19">
        <f>'Output - Jobs vs Yr (BAU)'!K55</f>
        <v>10904.065131527786</v>
      </c>
      <c r="L177" s="19">
        <f>'Output - Jobs vs Yr (BAU)'!L55</f>
        <v>11128.348821027788</v>
      </c>
      <c r="M177" s="19">
        <f>'Output - Jobs vs Yr (BAU)'!M55</f>
        <v>11165.800132427787</v>
      </c>
      <c r="N177" s="182">
        <f>'Output - Jobs vs Yr (BAU)'!N55</f>
        <v>11243.465744627789</v>
      </c>
      <c r="O177" s="19">
        <f>'Output - Jobs vs Yr (BAU)'!O55</f>
        <v>11375.450164827787</v>
      </c>
      <c r="P177" s="19">
        <f>'Output - Jobs vs Yr (BAU)'!P55</f>
        <v>11501.357935027787</v>
      </c>
      <c r="Q177" s="19">
        <f>'Output - Jobs vs Yr (BAU)'!Q55</f>
        <v>11449.064876627788</v>
      </c>
      <c r="R177" s="19">
        <f>'Output - Jobs vs Yr (BAU)'!R55</f>
        <v>11617.451481327789</v>
      </c>
      <c r="S177" s="19">
        <f>'Output - Jobs vs Yr (BAU)'!S55</f>
        <v>11701.775972327787</v>
      </c>
      <c r="T177" s="19">
        <f>'Output - Jobs vs Yr (BAU)'!T55</f>
        <v>11765.687329327789</v>
      </c>
      <c r="U177" s="19">
        <f>'Output - Jobs vs Yr (BAU)'!U55</f>
        <v>11842.95401402779</v>
      </c>
      <c r="V177" s="19">
        <f>'Output - Jobs vs Yr (BAU)'!V55</f>
        <v>11927.061002327786</v>
      </c>
      <c r="W177" s="19">
        <f>'Output - Jobs vs Yr (BAU)'!W55</f>
        <v>12102.381826627789</v>
      </c>
      <c r="X177" s="182">
        <f>'Output - Jobs vs Yr (BAU)'!X55</f>
        <v>12172.516082427788</v>
      </c>
      <c r="Y177" s="205">
        <f>'Output - Jobs vs Yr (BAU)'!Y55</f>
        <v>12227.835569527788</v>
      </c>
      <c r="Z177" s="205">
        <f>'Output - Jobs vs Yr (BAU)'!Z55</f>
        <v>12200.621772627788</v>
      </c>
      <c r="AA177" s="205">
        <f>'Output - Jobs vs Yr (BAU)'!AA55</f>
        <v>12239.550559027786</v>
      </c>
      <c r="AB177" s="205">
        <f>'Output - Jobs vs Yr (BAU)'!AB55</f>
        <v>12274.229473827787</v>
      </c>
      <c r="AC177" s="205">
        <f>'Output - Jobs vs Yr (BAU)'!AC55</f>
        <v>12296.555049027787</v>
      </c>
      <c r="AD177" s="205">
        <f>'Output - Jobs vs Yr (BAU)'!AD55</f>
        <v>12303.603682427789</v>
      </c>
      <c r="AE177" s="205">
        <f>'Output - Jobs vs Yr (BAU)'!AE55</f>
        <v>12311.502399227787</v>
      </c>
      <c r="AF177" s="205">
        <f>'Output - Jobs vs Yr (BAU)'!AF55</f>
        <v>12296.470053427787</v>
      </c>
      <c r="AG177" s="205">
        <f>'Output - Jobs vs Yr (BAU)'!AG55</f>
        <v>12336.362309427786</v>
      </c>
      <c r="AH177" s="182">
        <f>'Output - Jobs vs Yr (BAU)'!AH55</f>
        <v>12479.869543127788</v>
      </c>
      <c r="AI177" s="1"/>
    </row>
    <row r="178" spans="1:35">
      <c r="A178" s="76" t="s">
        <v>301</v>
      </c>
      <c r="C178" s="333">
        <f>'Output - Jobs vs Yr (BAU)'!C73</f>
        <v>9047.5660800000005</v>
      </c>
      <c r="D178" s="333">
        <f>'Output - Jobs vs Yr (BAU)'!D73</f>
        <v>9384.5800799999997</v>
      </c>
      <c r="E178" s="333">
        <f>'Output - Jobs vs Yr (BAU)'!E73</f>
        <v>9655.9252400682744</v>
      </c>
      <c r="F178" s="333">
        <f>'Output - Jobs vs Yr (BAU)'!F73</f>
        <v>9362.4325692530183</v>
      </c>
      <c r="G178" s="333">
        <f>'Output - Jobs vs Yr (BAU)'!G73</f>
        <v>9462.8200928255192</v>
      </c>
      <c r="H178" s="403">
        <f>'Output - Jobs vs Yr (BAU)'!H73</f>
        <v>9625.8589642150109</v>
      </c>
      <c r="I178" s="19">
        <f>'Output - Jobs vs Yr (BAU)'!I73</f>
        <v>9984.8668156450094</v>
      </c>
      <c r="J178" s="19">
        <f>'Output - Jobs vs Yr (BAU)'!J73</f>
        <v>9581.9067756250097</v>
      </c>
      <c r="K178" s="19">
        <f>'Output - Jobs vs Yr (BAU)'!K73</f>
        <v>9813.6586183750096</v>
      </c>
      <c r="L178" s="19">
        <f>'Output - Jobs vs Yr (BAU)'!L73</f>
        <v>10015.513938925011</v>
      </c>
      <c r="M178" s="19">
        <f>'Output - Jobs vs Yr (BAU)'!M73</f>
        <v>10049.220119185011</v>
      </c>
      <c r="N178" s="182">
        <f>'Output - Jobs vs Yr (BAU)'!N73</f>
        <v>10119.11917016501</v>
      </c>
      <c r="O178" s="19">
        <f>'Output - Jobs vs Yr (BAU)'!O73</f>
        <v>10237.905148345009</v>
      </c>
      <c r="P178" s="19">
        <f>'Output - Jobs vs Yr (BAU)'!P73</f>
        <v>10351.22214152501</v>
      </c>
      <c r="Q178" s="19">
        <f>'Output - Jobs vs Yr (BAU)'!Q73</f>
        <v>10304.158388965008</v>
      </c>
      <c r="R178" s="19">
        <f>'Output - Jobs vs Yr (BAU)'!R73</f>
        <v>10455.70633319501</v>
      </c>
      <c r="S178" s="19">
        <f>'Output - Jobs vs Yr (BAU)'!S73</f>
        <v>10531.598375095009</v>
      </c>
      <c r="T178" s="19">
        <f>'Output - Jobs vs Yr (BAU)'!T73</f>
        <v>10589.118596395012</v>
      </c>
      <c r="U178" s="19">
        <f>'Output - Jobs vs Yr (BAU)'!U73</f>
        <v>10658.658612625009</v>
      </c>
      <c r="V178" s="19">
        <f>'Output - Jobs vs Yr (BAU)'!V73</f>
        <v>10734.354902095009</v>
      </c>
      <c r="W178" s="19">
        <f>'Output - Jobs vs Yr (BAU)'!W73</f>
        <v>10892.14364396501</v>
      </c>
      <c r="X178" s="182">
        <f>'Output - Jobs vs Yr (BAU)'!X73</f>
        <v>10955.264474185009</v>
      </c>
      <c r="Y178" s="205">
        <f>'Output - Jobs vs Yr (BAU)'!Y73</f>
        <v>11005.052012575008</v>
      </c>
      <c r="Z178" s="205">
        <f>'Output - Jobs vs Yr (BAU)'!Z73</f>
        <v>10980.559595365008</v>
      </c>
      <c r="AA178" s="205">
        <f>'Output - Jobs vs Yr (BAU)'!AA73</f>
        <v>11015.595503125009</v>
      </c>
      <c r="AB178" s="205">
        <f>'Output - Jobs vs Yr (BAU)'!AB73</f>
        <v>11046.806526445009</v>
      </c>
      <c r="AC178" s="205">
        <f>'Output - Jobs vs Yr (BAU)'!AC73</f>
        <v>11066.89954412501</v>
      </c>
      <c r="AD178" s="205">
        <f>'Output - Jobs vs Yr (BAU)'!AD73</f>
        <v>11073.243314185009</v>
      </c>
      <c r="AE178" s="205">
        <f>'Output - Jobs vs Yr (BAU)'!AE73</f>
        <v>11080.35215930501</v>
      </c>
      <c r="AF178" s="205">
        <f>'Output - Jobs vs Yr (BAU)'!AF73</f>
        <v>11066.823048085009</v>
      </c>
      <c r="AG178" s="205">
        <f>'Output - Jobs vs Yr (BAU)'!AG73</f>
        <v>11102.726078485008</v>
      </c>
      <c r="AH178" s="182">
        <f>'Output - Jobs vs Yr (BAU)'!AH73</f>
        <v>11231.88258881501</v>
      </c>
      <c r="AI178" s="80" t="s">
        <v>0</v>
      </c>
    </row>
    <row r="179" spans="1:35">
      <c r="A179" s="75" t="s">
        <v>298</v>
      </c>
      <c r="C179" s="330">
        <f>SUM(C118,C145)</f>
        <v>19105.224009999998</v>
      </c>
      <c r="D179" s="330">
        <f t="shared" ref="D179:AH179" si="99">SUM(D118,D145)+D249+D252</f>
        <v>19934.534033777549</v>
      </c>
      <c r="E179" s="330">
        <f t="shared" si="99"/>
        <v>20543.11667512323</v>
      </c>
      <c r="F179" s="330">
        <f t="shared" si="99"/>
        <v>19860.581988297596</v>
      </c>
      <c r="G179" s="330">
        <f t="shared" si="99"/>
        <v>20088.703852230494</v>
      </c>
      <c r="H179" s="401">
        <f>SUM(H118,H145)+H249+H252</f>
        <v>20320.985843342794</v>
      </c>
      <c r="I179" s="14">
        <f t="shared" si="99"/>
        <v>21084.308354813271</v>
      </c>
      <c r="J179" s="14">
        <f t="shared" si="99"/>
        <v>20213.01846063503</v>
      </c>
      <c r="K179" s="14">
        <f t="shared" si="99"/>
        <v>20705.926378432916</v>
      </c>
      <c r="L179" s="14">
        <f t="shared" si="99"/>
        <v>21218.533810784931</v>
      </c>
      <c r="M179" s="14">
        <f t="shared" si="99"/>
        <v>21361.229881864507</v>
      </c>
      <c r="N179" s="187">
        <f t="shared" si="99"/>
        <v>21495.127082896786</v>
      </c>
      <c r="O179" s="14">
        <f t="shared" si="99"/>
        <v>21746.68320032156</v>
      </c>
      <c r="P179" s="14">
        <f t="shared" si="99"/>
        <v>22013.902429322025</v>
      </c>
      <c r="Q179" s="14">
        <f t="shared" si="99"/>
        <v>21913.818804829942</v>
      </c>
      <c r="R179" s="14">
        <f t="shared" si="99"/>
        <v>22220.914866234845</v>
      </c>
      <c r="S179" s="14">
        <f t="shared" si="99"/>
        <v>22398.592577019066</v>
      </c>
      <c r="T179" s="14">
        <f t="shared" si="99"/>
        <v>22536.040962530773</v>
      </c>
      <c r="U179" s="14">
        <f t="shared" si="99"/>
        <v>22695.41684889474</v>
      </c>
      <c r="V179" s="14">
        <f t="shared" si="99"/>
        <v>22875.659136946299</v>
      </c>
      <c r="W179" s="14">
        <f t="shared" si="99"/>
        <v>23238.020562148173</v>
      </c>
      <c r="X179" s="187">
        <f t="shared" si="99"/>
        <v>23343.139181478677</v>
      </c>
      <c r="Y179" s="158">
        <f t="shared" si="99"/>
        <v>23495.668264703549</v>
      </c>
      <c r="Z179" s="158">
        <f t="shared" si="99"/>
        <v>23495.344435100749</v>
      </c>
      <c r="AA179" s="158">
        <f t="shared" si="99"/>
        <v>23631.095257917685</v>
      </c>
      <c r="AB179" s="158">
        <f t="shared" si="99"/>
        <v>23757.575109130885</v>
      </c>
      <c r="AC179" s="158">
        <f t="shared" si="99"/>
        <v>23859.755029224427</v>
      </c>
      <c r="AD179" s="158">
        <f t="shared" si="99"/>
        <v>23936.202884548315</v>
      </c>
      <c r="AE179" s="158">
        <f t="shared" si="99"/>
        <v>24014.364160069486</v>
      </c>
      <c r="AF179" s="158">
        <f t="shared" si="99"/>
        <v>24046.759727537989</v>
      </c>
      <c r="AG179" s="158">
        <f t="shared" si="99"/>
        <v>24183.616225834299</v>
      </c>
      <c r="AH179" s="187">
        <f t="shared" si="99"/>
        <v>24515.843429072636</v>
      </c>
    </row>
    <row r="180" spans="1:35">
      <c r="A180" s="76" t="s">
        <v>302</v>
      </c>
      <c r="C180" s="330">
        <f>C118</f>
        <v>10055.3812</v>
      </c>
      <c r="D180" s="330">
        <f t="shared" ref="D180:AH180" si="100">D118+D250+D253</f>
        <v>10491.860170758964</v>
      </c>
      <c r="E180" s="330">
        <f t="shared" si="100"/>
        <v>10812.166833799478</v>
      </c>
      <c r="F180" s="330">
        <f t="shared" si="100"/>
        <v>10452.938050532282</v>
      </c>
      <c r="G180" s="330">
        <f t="shared" si="100"/>
        <v>10573.002196137912</v>
      </c>
      <c r="H180" s="401">
        <f t="shared" si="100"/>
        <v>10695.255849127785</v>
      </c>
      <c r="I180" s="14">
        <f t="shared" si="100"/>
        <v>11097.004549429517</v>
      </c>
      <c r="J180" s="14">
        <f t="shared" si="100"/>
        <v>10638.430919252614</v>
      </c>
      <c r="K180" s="14">
        <f t="shared" si="100"/>
        <v>10897.856147651171</v>
      </c>
      <c r="L180" s="14">
        <f t="shared" si="100"/>
        <v>11167.64954203092</v>
      </c>
      <c r="M180" s="14">
        <f t="shared" si="100"/>
        <v>11242.752743435409</v>
      </c>
      <c r="N180" s="187">
        <f t="shared" si="100"/>
        <v>11313.224960351428</v>
      </c>
      <c r="O180" s="14">
        <f t="shared" si="100"/>
        <v>11445.622922287308</v>
      </c>
      <c r="P180" s="14">
        <f t="shared" si="100"/>
        <v>11586.264627426332</v>
      </c>
      <c r="Q180" s="14">
        <f t="shared" si="100"/>
        <v>11533.58903815403</v>
      </c>
      <c r="R180" s="14">
        <f t="shared" si="100"/>
        <v>11695.21855041263</v>
      </c>
      <c r="S180" s="14">
        <f t="shared" si="100"/>
        <v>11788.733140265676</v>
      </c>
      <c r="T180" s="14">
        <f t="shared" si="100"/>
        <v>11861.074400773747</v>
      </c>
      <c r="U180" s="14">
        <f t="shared" si="100"/>
        <v>11944.95645152384</v>
      </c>
      <c r="V180" s="14">
        <f t="shared" si="100"/>
        <v>12039.820819272516</v>
      </c>
      <c r="W180" s="14">
        <f t="shared" si="100"/>
        <v>12230.53736638961</v>
      </c>
      <c r="X180" s="187">
        <f t="shared" si="100"/>
        <v>12285.86296066986</v>
      </c>
      <c r="Y180" s="158">
        <f t="shared" si="100"/>
        <v>12366.141429977517</v>
      </c>
      <c r="Z180" s="158">
        <f t="shared" si="100"/>
        <v>12365.970996328222</v>
      </c>
      <c r="AA180" s="158">
        <f t="shared" si="100"/>
        <v>12437.418802375203</v>
      </c>
      <c r="AB180" s="158">
        <f t="shared" si="100"/>
        <v>12503.987149664523</v>
      </c>
      <c r="AC180" s="158">
        <f t="shared" si="100"/>
        <v>12557.766059299551</v>
      </c>
      <c r="AD180" s="158">
        <f t="shared" si="100"/>
        <v>12598.00177673589</v>
      </c>
      <c r="AE180" s="158">
        <f t="shared" si="100"/>
        <v>12639.139294340677</v>
      </c>
      <c r="AF180" s="158">
        <f t="shared" si="100"/>
        <v>12656.189596737639</v>
      </c>
      <c r="AG180" s="158">
        <f t="shared" si="100"/>
        <v>12728.219337635181</v>
      </c>
      <c r="AH180" s="187">
        <f t="shared" si="100"/>
        <v>12903.075767644717</v>
      </c>
    </row>
    <row r="181" spans="1:35">
      <c r="A181" s="76" t="s">
        <v>303</v>
      </c>
      <c r="C181" s="330">
        <f>C145</f>
        <v>9049.8428100000001</v>
      </c>
      <c r="D181" s="330">
        <f t="shared" ref="D181:AH181" si="101">D145+D251+D254</f>
        <v>9442.6738630185864</v>
      </c>
      <c r="E181" s="330">
        <f t="shared" si="101"/>
        <v>9730.9498413237543</v>
      </c>
      <c r="F181" s="330">
        <f t="shared" si="101"/>
        <v>9407.6439377653132</v>
      </c>
      <c r="G181" s="330">
        <f t="shared" si="101"/>
        <v>9515.701656092584</v>
      </c>
      <c r="H181" s="401">
        <f>H145+H251+H254</f>
        <v>9625.7299942150075</v>
      </c>
      <c r="I181" s="14">
        <f t="shared" si="101"/>
        <v>9987.3038053837518</v>
      </c>
      <c r="J181" s="14">
        <f t="shared" si="101"/>
        <v>9574.587541382416</v>
      </c>
      <c r="K181" s="14">
        <f t="shared" si="101"/>
        <v>9808.0702307817446</v>
      </c>
      <c r="L181" s="14">
        <f t="shared" si="101"/>
        <v>10050.884268754009</v>
      </c>
      <c r="M181" s="14">
        <f t="shared" si="101"/>
        <v>10118.477138429098</v>
      </c>
      <c r="N181" s="187">
        <f t="shared" si="101"/>
        <v>10181.902122545358</v>
      </c>
      <c r="O181" s="14">
        <f t="shared" si="101"/>
        <v>10301.060278034251</v>
      </c>
      <c r="P181" s="14">
        <f t="shared" si="101"/>
        <v>10427.637801895693</v>
      </c>
      <c r="Q181" s="14">
        <f t="shared" si="101"/>
        <v>10380.229766675911</v>
      </c>
      <c r="R181" s="14">
        <f t="shared" si="101"/>
        <v>10525.696315822217</v>
      </c>
      <c r="S181" s="14">
        <f t="shared" si="101"/>
        <v>10609.85943675339</v>
      </c>
      <c r="T181" s="14">
        <f t="shared" si="101"/>
        <v>10674.966561757024</v>
      </c>
      <c r="U181" s="14">
        <f t="shared" si="101"/>
        <v>10750.4603973709</v>
      </c>
      <c r="V181" s="14">
        <f t="shared" si="101"/>
        <v>10835.838317673784</v>
      </c>
      <c r="W181" s="14">
        <f t="shared" si="101"/>
        <v>11007.483195758561</v>
      </c>
      <c r="X181" s="187">
        <f t="shared" si="101"/>
        <v>11057.276220808819</v>
      </c>
      <c r="Y181" s="158">
        <f t="shared" si="101"/>
        <v>11129.526834726033</v>
      </c>
      <c r="Z181" s="158">
        <f t="shared" si="101"/>
        <v>11129.373438772525</v>
      </c>
      <c r="AA181" s="158">
        <f t="shared" si="101"/>
        <v>11193.676455542482</v>
      </c>
      <c r="AB181" s="158">
        <f t="shared" si="101"/>
        <v>11253.587959466362</v>
      </c>
      <c r="AC181" s="158">
        <f t="shared" si="101"/>
        <v>11301.988969924878</v>
      </c>
      <c r="AD181" s="158">
        <f t="shared" si="101"/>
        <v>11338.201107812425</v>
      </c>
      <c r="AE181" s="158">
        <f t="shared" si="101"/>
        <v>11375.224865728809</v>
      </c>
      <c r="AF181" s="158">
        <f t="shared" si="101"/>
        <v>11390.570130800348</v>
      </c>
      <c r="AG181" s="158">
        <f t="shared" si="101"/>
        <v>11455.396888199119</v>
      </c>
      <c r="AH181" s="187">
        <f t="shared" si="101"/>
        <v>11612.767661427921</v>
      </c>
      <c r="AI181" s="31" t="s">
        <v>0</v>
      </c>
    </row>
    <row r="182" spans="1:35" s="1" customFormat="1">
      <c r="A182" s="75" t="s">
        <v>304</v>
      </c>
      <c r="B182" s="13"/>
      <c r="C182" s="340" t="s">
        <v>0</v>
      </c>
      <c r="D182" s="340">
        <f t="shared" ref="D182:AH182" si="102">D179-D176</f>
        <v>122.64275377754893</v>
      </c>
      <c r="E182" s="340">
        <f t="shared" si="102"/>
        <v>158.38561275687243</v>
      </c>
      <c r="F182" s="340">
        <f t="shared" si="102"/>
        <v>95.446564319001482</v>
      </c>
      <c r="G182" s="340">
        <f t="shared" si="102"/>
        <v>111.63921182106424</v>
      </c>
      <c r="H182" s="404">
        <f>H179-H176</f>
        <v>-0.27197000000160187</v>
      </c>
      <c r="I182" s="15">
        <f t="shared" si="102"/>
        <v>5.1450773404721986</v>
      </c>
      <c r="J182" s="15">
        <f t="shared" si="102"/>
        <v>-15.451399017765652</v>
      </c>
      <c r="K182" s="15">
        <f t="shared" si="102"/>
        <v>-11.797371469881909</v>
      </c>
      <c r="L182" s="15">
        <f t="shared" si="102"/>
        <v>74.671050832133915</v>
      </c>
      <c r="M182" s="15">
        <f t="shared" si="102"/>
        <v>146.20963025170931</v>
      </c>
      <c r="N182" s="190">
        <f t="shared" si="102"/>
        <v>132.54216810398793</v>
      </c>
      <c r="O182" s="15">
        <f t="shared" si="102"/>
        <v>133.32788714876369</v>
      </c>
      <c r="P182" s="15">
        <f t="shared" si="102"/>
        <v>161.32235276922802</v>
      </c>
      <c r="Q182" s="15">
        <f t="shared" si="102"/>
        <v>160.59553923714702</v>
      </c>
      <c r="R182" s="15">
        <f t="shared" si="102"/>
        <v>147.75705171204754</v>
      </c>
      <c r="S182" s="15">
        <f t="shared" si="102"/>
        <v>165.21822959627025</v>
      </c>
      <c r="T182" s="15">
        <f t="shared" si="102"/>
        <v>181.23503680797148</v>
      </c>
      <c r="U182" s="15">
        <f t="shared" si="102"/>
        <v>193.80422224193899</v>
      </c>
      <c r="V182" s="15">
        <f t="shared" si="102"/>
        <v>214.24323252350587</v>
      </c>
      <c r="W182" s="15">
        <f t="shared" si="102"/>
        <v>243.49509155537453</v>
      </c>
      <c r="X182" s="190">
        <f t="shared" si="102"/>
        <v>215.35862486587939</v>
      </c>
      <c r="Y182" s="130">
        <f t="shared" si="102"/>
        <v>262.78068260075088</v>
      </c>
      <c r="Z182" s="130">
        <f t="shared" si="102"/>
        <v>314.1630671079547</v>
      </c>
      <c r="AA182" s="130">
        <f t="shared" si="102"/>
        <v>375.94919576488974</v>
      </c>
      <c r="AB182" s="130">
        <f t="shared" si="102"/>
        <v>436.53910885808727</v>
      </c>
      <c r="AC182" s="130">
        <f t="shared" si="102"/>
        <v>496.30043607162952</v>
      </c>
      <c r="AD182" s="130">
        <f t="shared" si="102"/>
        <v>559.35588793551869</v>
      </c>
      <c r="AE182" s="130">
        <f t="shared" si="102"/>
        <v>622.50960153669075</v>
      </c>
      <c r="AF182" s="130">
        <f t="shared" si="102"/>
        <v>683.46662602519064</v>
      </c>
      <c r="AG182" s="130">
        <f t="shared" si="102"/>
        <v>744.52783792150512</v>
      </c>
      <c r="AH182" s="190">
        <f t="shared" si="102"/>
        <v>804.09129712983849</v>
      </c>
    </row>
    <row r="183" spans="1:35" s="20" customFormat="1">
      <c r="A183" s="20" t="s">
        <v>305</v>
      </c>
      <c r="B183" s="33"/>
      <c r="C183" s="333" t="s">
        <v>0</v>
      </c>
      <c r="D183" s="333">
        <f t="shared" ref="D183:AH183" si="103">D180-D177</f>
        <v>64.54897075896406</v>
      </c>
      <c r="E183" s="333">
        <f t="shared" si="103"/>
        <v>83.361011501396206</v>
      </c>
      <c r="F183" s="333">
        <f t="shared" si="103"/>
        <v>50.235195806706542</v>
      </c>
      <c r="G183" s="333">
        <f t="shared" si="103"/>
        <v>58.757648554001207</v>
      </c>
      <c r="H183" s="403">
        <f>H180-H177</f>
        <v>-0.14300000000184809</v>
      </c>
      <c r="I183" s="19">
        <f t="shared" si="103"/>
        <v>2.7080876017298579</v>
      </c>
      <c r="J183" s="19">
        <f t="shared" si="103"/>
        <v>-8.1321647751738055</v>
      </c>
      <c r="K183" s="19">
        <f t="shared" si="103"/>
        <v>-6.2089838766150933</v>
      </c>
      <c r="L183" s="19">
        <f t="shared" si="103"/>
        <v>39.300721003131912</v>
      </c>
      <c r="M183" s="19">
        <f t="shared" si="103"/>
        <v>76.952611007622181</v>
      </c>
      <c r="N183" s="182">
        <f t="shared" si="103"/>
        <v>69.7592157236395</v>
      </c>
      <c r="O183" s="19">
        <f t="shared" si="103"/>
        <v>70.172757459520653</v>
      </c>
      <c r="P183" s="19">
        <f t="shared" si="103"/>
        <v>84.906692398544692</v>
      </c>
      <c r="Q183" s="19">
        <f t="shared" si="103"/>
        <v>84.524161526242096</v>
      </c>
      <c r="R183" s="19">
        <f t="shared" si="103"/>
        <v>77.767069084840841</v>
      </c>
      <c r="S183" s="19">
        <f t="shared" si="103"/>
        <v>86.957167937889608</v>
      </c>
      <c r="T183" s="19">
        <f t="shared" si="103"/>
        <v>95.38707144595719</v>
      </c>
      <c r="U183" s="19">
        <f t="shared" si="103"/>
        <v>102.00243749605033</v>
      </c>
      <c r="V183" s="19">
        <f t="shared" si="103"/>
        <v>112.75981694473012</v>
      </c>
      <c r="W183" s="19">
        <f t="shared" si="103"/>
        <v>128.15553976182127</v>
      </c>
      <c r="X183" s="182">
        <f t="shared" si="103"/>
        <v>113.3468782420714</v>
      </c>
      <c r="Y183" s="205">
        <f t="shared" si="103"/>
        <v>138.30586044972915</v>
      </c>
      <c r="Z183" s="205">
        <f t="shared" si="103"/>
        <v>165.34922370043387</v>
      </c>
      <c r="AA183" s="205">
        <f t="shared" si="103"/>
        <v>197.86824334741686</v>
      </c>
      <c r="AB183" s="205">
        <f t="shared" si="103"/>
        <v>229.75767583673587</v>
      </c>
      <c r="AC183" s="205">
        <f t="shared" si="103"/>
        <v>261.21101027176337</v>
      </c>
      <c r="AD183" s="205">
        <f t="shared" si="103"/>
        <v>294.39809430810055</v>
      </c>
      <c r="AE183" s="205">
        <f t="shared" si="103"/>
        <v>327.63689511288976</v>
      </c>
      <c r="AF183" s="205">
        <f t="shared" si="103"/>
        <v>359.71954330985136</v>
      </c>
      <c r="AG183" s="205">
        <f t="shared" si="103"/>
        <v>391.85702820739425</v>
      </c>
      <c r="AH183" s="182">
        <f t="shared" si="103"/>
        <v>423.20622451692907</v>
      </c>
    </row>
    <row r="184" spans="1:35" s="20" customFormat="1">
      <c r="A184" s="20" t="s">
        <v>306</v>
      </c>
      <c r="B184" s="33"/>
      <c r="C184" s="333" t="s">
        <v>0</v>
      </c>
      <c r="D184" s="333">
        <f t="shared" ref="D184:AH184" si="104">D181-D178</f>
        <v>58.093783018586691</v>
      </c>
      <c r="E184" s="333">
        <f t="shared" si="104"/>
        <v>75.024601255479865</v>
      </c>
      <c r="F184" s="333">
        <f t="shared" si="104"/>
        <v>45.211368512294939</v>
      </c>
      <c r="G184" s="333">
        <f t="shared" si="104"/>
        <v>52.881563267064848</v>
      </c>
      <c r="H184" s="403">
        <f t="shared" si="104"/>
        <v>-0.12897000000339176</v>
      </c>
      <c r="I184" s="19">
        <f t="shared" si="104"/>
        <v>2.4369897387423407</v>
      </c>
      <c r="J184" s="19">
        <f t="shared" si="104"/>
        <v>-7.3192342425936658</v>
      </c>
      <c r="K184" s="19">
        <f t="shared" si="104"/>
        <v>-5.5883875932649971</v>
      </c>
      <c r="L184" s="19">
        <f t="shared" si="104"/>
        <v>35.370329828998365</v>
      </c>
      <c r="M184" s="19">
        <f t="shared" si="104"/>
        <v>69.257019244087132</v>
      </c>
      <c r="N184" s="182">
        <f t="shared" si="104"/>
        <v>62.782952380348434</v>
      </c>
      <c r="O184" s="19">
        <f t="shared" si="104"/>
        <v>63.155129689241221</v>
      </c>
      <c r="P184" s="19">
        <f t="shared" si="104"/>
        <v>76.415660370683327</v>
      </c>
      <c r="Q184" s="19">
        <f t="shared" si="104"/>
        <v>76.071377710903107</v>
      </c>
      <c r="R184" s="19">
        <f t="shared" si="104"/>
        <v>69.9899826272067</v>
      </c>
      <c r="S184" s="19">
        <f t="shared" si="104"/>
        <v>78.26106165838064</v>
      </c>
      <c r="T184" s="19">
        <f t="shared" si="104"/>
        <v>85.847965362012474</v>
      </c>
      <c r="U184" s="19">
        <f t="shared" si="104"/>
        <v>91.801784745890473</v>
      </c>
      <c r="V184" s="19">
        <f t="shared" si="104"/>
        <v>101.48341557877575</v>
      </c>
      <c r="W184" s="19">
        <f t="shared" si="104"/>
        <v>115.33955179355144</v>
      </c>
      <c r="X184" s="182">
        <f t="shared" si="104"/>
        <v>102.01174662380981</v>
      </c>
      <c r="Y184" s="205">
        <f t="shared" si="104"/>
        <v>124.47482215102536</v>
      </c>
      <c r="Z184" s="205">
        <f t="shared" si="104"/>
        <v>148.8138434075172</v>
      </c>
      <c r="AA184" s="205">
        <f t="shared" si="104"/>
        <v>178.08095241747287</v>
      </c>
      <c r="AB184" s="205">
        <f t="shared" si="104"/>
        <v>206.78143302135322</v>
      </c>
      <c r="AC184" s="205">
        <f t="shared" si="104"/>
        <v>235.08942579986797</v>
      </c>
      <c r="AD184" s="205">
        <f t="shared" si="104"/>
        <v>264.95779362741632</v>
      </c>
      <c r="AE184" s="205">
        <f t="shared" si="104"/>
        <v>294.87270642379917</v>
      </c>
      <c r="AF184" s="205">
        <f t="shared" si="104"/>
        <v>323.74708271533927</v>
      </c>
      <c r="AG184" s="205">
        <f t="shared" si="104"/>
        <v>352.67080971411087</v>
      </c>
      <c r="AH184" s="182">
        <f t="shared" si="104"/>
        <v>380.88507261291124</v>
      </c>
    </row>
    <row r="185" spans="1:35" s="1" customFormat="1">
      <c r="A185" s="1" t="s">
        <v>450</v>
      </c>
      <c r="B185" s="13"/>
      <c r="C185" s="340"/>
      <c r="D185" s="340">
        <f>D182</f>
        <v>122.64275377754893</v>
      </c>
      <c r="E185" s="340">
        <f>D185+E182</f>
        <v>281.02836653442137</v>
      </c>
      <c r="F185" s="340">
        <f t="shared" ref="E185:N187" si="105">E185+F182</f>
        <v>376.47493085342285</v>
      </c>
      <c r="G185" s="340">
        <f t="shared" si="105"/>
        <v>488.11414267448708</v>
      </c>
      <c r="H185" s="404">
        <f>H182</f>
        <v>-0.27197000000160187</v>
      </c>
      <c r="I185" s="15">
        <f t="shared" si="105"/>
        <v>4.8731073404705967</v>
      </c>
      <c r="J185" s="15">
        <f t="shared" si="105"/>
        <v>-10.578291677295056</v>
      </c>
      <c r="K185" s="15">
        <f t="shared" si="105"/>
        <v>-22.375663147176965</v>
      </c>
      <c r="L185" s="15">
        <f t="shared" si="105"/>
        <v>52.29538768495695</v>
      </c>
      <c r="M185" s="15">
        <f t="shared" si="105"/>
        <v>198.50501793666626</v>
      </c>
      <c r="N185" s="15">
        <f t="shared" si="105"/>
        <v>331.0471860406542</v>
      </c>
      <c r="O185" s="15">
        <f t="shared" ref="O185:X185" si="106">N185+O182</f>
        <v>464.37507318941789</v>
      </c>
      <c r="P185" s="15">
        <f t="shared" si="106"/>
        <v>625.69742595864591</v>
      </c>
      <c r="Q185" s="15">
        <f t="shared" si="106"/>
        <v>786.29296519579293</v>
      </c>
      <c r="R185" s="15">
        <f t="shared" si="106"/>
        <v>934.05001690784047</v>
      </c>
      <c r="S185" s="130">
        <f t="shared" si="106"/>
        <v>1099.2682465041107</v>
      </c>
      <c r="T185" s="15">
        <f t="shared" si="106"/>
        <v>1280.5032833120822</v>
      </c>
      <c r="U185" s="15">
        <f t="shared" si="106"/>
        <v>1474.3075055540212</v>
      </c>
      <c r="V185" s="15">
        <f t="shared" si="106"/>
        <v>1688.5507380775271</v>
      </c>
      <c r="W185" s="15">
        <f t="shared" si="106"/>
        <v>1932.0458296329016</v>
      </c>
      <c r="X185" s="190">
        <f t="shared" si="106"/>
        <v>2147.404454498781</v>
      </c>
      <c r="Y185" s="130">
        <f t="shared" ref="Y185:AH185" si="107">X185+Y182</f>
        <v>2410.1851370995319</v>
      </c>
      <c r="Z185" s="130">
        <f t="shared" si="107"/>
        <v>2724.3482042074866</v>
      </c>
      <c r="AA185" s="130">
        <f t="shared" si="107"/>
        <v>3100.2973999723763</v>
      </c>
      <c r="AB185" s="130">
        <f t="shared" si="107"/>
        <v>3536.8365088304636</v>
      </c>
      <c r="AC185" s="130">
        <f t="shared" si="107"/>
        <v>4033.1369449020931</v>
      </c>
      <c r="AD185" s="130">
        <f t="shared" si="107"/>
        <v>4592.4928328376118</v>
      </c>
      <c r="AE185" s="130">
        <f t="shared" si="107"/>
        <v>5215.0024343743025</v>
      </c>
      <c r="AF185" s="130">
        <f t="shared" si="107"/>
        <v>5898.4690603994932</v>
      </c>
      <c r="AG185" s="130">
        <f t="shared" si="107"/>
        <v>6642.9968983209983</v>
      </c>
      <c r="AH185" s="190">
        <f t="shared" si="107"/>
        <v>7447.0881954508368</v>
      </c>
    </row>
    <row r="186" spans="1:35" s="20" customFormat="1">
      <c r="A186" s="20" t="s">
        <v>451</v>
      </c>
      <c r="B186" s="33"/>
      <c r="C186" s="333"/>
      <c r="D186" s="333">
        <f>D183</f>
        <v>64.54897075896406</v>
      </c>
      <c r="E186" s="333">
        <f t="shared" si="105"/>
        <v>147.90998226036027</v>
      </c>
      <c r="F186" s="333">
        <f t="shared" si="105"/>
        <v>198.14517806706681</v>
      </c>
      <c r="G186" s="333">
        <f t="shared" si="105"/>
        <v>256.90282662106802</v>
      </c>
      <c r="H186" s="403">
        <f t="shared" si="105"/>
        <v>256.75982662106617</v>
      </c>
      <c r="I186" s="19">
        <f t="shared" ref="I186:X186" si="108">H186+I183</f>
        <v>259.46791422279603</v>
      </c>
      <c r="J186" s="19">
        <f t="shared" si="108"/>
        <v>251.33574944762222</v>
      </c>
      <c r="K186" s="19">
        <f t="shared" si="108"/>
        <v>245.12676557100713</v>
      </c>
      <c r="L186" s="19">
        <f t="shared" si="108"/>
        <v>284.42748657413904</v>
      </c>
      <c r="M186" s="19">
        <f t="shared" si="108"/>
        <v>361.38009758176122</v>
      </c>
      <c r="N186" s="182">
        <f t="shared" si="108"/>
        <v>431.13931330540072</v>
      </c>
      <c r="O186" s="19">
        <f t="shared" si="108"/>
        <v>501.31207076492137</v>
      </c>
      <c r="P186" s="19">
        <f t="shared" si="108"/>
        <v>586.21876316346606</v>
      </c>
      <c r="Q186" s="19">
        <f t="shared" si="108"/>
        <v>670.74292468970816</v>
      </c>
      <c r="R186" s="19">
        <f t="shared" si="108"/>
        <v>748.509993774549</v>
      </c>
      <c r="S186" s="205">
        <f t="shared" si="108"/>
        <v>835.46716171243861</v>
      </c>
      <c r="T186" s="19">
        <f t="shared" si="108"/>
        <v>930.8542331583958</v>
      </c>
      <c r="U186" s="19">
        <f t="shared" si="108"/>
        <v>1032.8566706544461</v>
      </c>
      <c r="V186" s="19">
        <f t="shared" si="108"/>
        <v>1145.6164875991763</v>
      </c>
      <c r="W186" s="19">
        <f t="shared" si="108"/>
        <v>1273.7720273609975</v>
      </c>
      <c r="X186" s="182">
        <f t="shared" si="108"/>
        <v>1387.1189056030689</v>
      </c>
      <c r="Y186" s="205">
        <f t="shared" ref="Y186:AH186" si="109">X186+Y183</f>
        <v>1525.4247660527981</v>
      </c>
      <c r="Z186" s="205">
        <f t="shared" si="109"/>
        <v>1690.7739897532319</v>
      </c>
      <c r="AA186" s="205">
        <f t="shared" si="109"/>
        <v>1888.6422331006488</v>
      </c>
      <c r="AB186" s="205">
        <f t="shared" si="109"/>
        <v>2118.3999089373847</v>
      </c>
      <c r="AC186" s="205">
        <f t="shared" si="109"/>
        <v>2379.6109192091481</v>
      </c>
      <c r="AD186" s="205">
        <f t="shared" si="109"/>
        <v>2674.0090135172486</v>
      </c>
      <c r="AE186" s="205">
        <f t="shared" si="109"/>
        <v>3001.6459086301384</v>
      </c>
      <c r="AF186" s="205">
        <f t="shared" si="109"/>
        <v>3361.3654519399897</v>
      </c>
      <c r="AG186" s="205">
        <f t="shared" si="109"/>
        <v>3753.222480147384</v>
      </c>
      <c r="AH186" s="182">
        <f t="shared" si="109"/>
        <v>4176.428704664313</v>
      </c>
    </row>
    <row r="187" spans="1:35" s="20" customFormat="1">
      <c r="A187" s="20" t="s">
        <v>452</v>
      </c>
      <c r="B187" s="33"/>
      <c r="C187" s="333"/>
      <c r="D187" s="333">
        <f>D184</f>
        <v>58.093783018586691</v>
      </c>
      <c r="E187" s="333">
        <f t="shared" si="105"/>
        <v>133.11838427406656</v>
      </c>
      <c r="F187" s="333">
        <f t="shared" si="105"/>
        <v>178.3297527863615</v>
      </c>
      <c r="G187" s="333">
        <f t="shared" si="105"/>
        <v>231.21131605342634</v>
      </c>
      <c r="H187" s="403">
        <f t="shared" si="105"/>
        <v>231.08234605342295</v>
      </c>
      <c r="I187" s="19">
        <f t="shared" ref="I187:X187" si="110">H187+I184</f>
        <v>233.51933579216529</v>
      </c>
      <c r="J187" s="19">
        <f t="shared" si="110"/>
        <v>226.20010154957163</v>
      </c>
      <c r="K187" s="19">
        <f t="shared" si="110"/>
        <v>220.61171395630663</v>
      </c>
      <c r="L187" s="19">
        <f t="shared" si="110"/>
        <v>255.982043785305</v>
      </c>
      <c r="M187" s="19">
        <f t="shared" si="110"/>
        <v>325.23906302939213</v>
      </c>
      <c r="N187" s="182">
        <f t="shared" si="110"/>
        <v>388.02201540974056</v>
      </c>
      <c r="O187" s="19">
        <f t="shared" si="110"/>
        <v>451.17714509898178</v>
      </c>
      <c r="P187" s="19">
        <f t="shared" si="110"/>
        <v>527.59280546966511</v>
      </c>
      <c r="Q187" s="19">
        <f t="shared" si="110"/>
        <v>603.66418318056822</v>
      </c>
      <c r="R187" s="19">
        <f t="shared" si="110"/>
        <v>673.65416580777492</v>
      </c>
      <c r="S187" s="205">
        <f t="shared" si="110"/>
        <v>751.91522746615556</v>
      </c>
      <c r="T187" s="19">
        <f t="shared" si="110"/>
        <v>837.76319282816803</v>
      </c>
      <c r="U187" s="19">
        <f t="shared" si="110"/>
        <v>929.5649775740585</v>
      </c>
      <c r="V187" s="19">
        <f t="shared" si="110"/>
        <v>1031.0483931528343</v>
      </c>
      <c r="W187" s="19">
        <f t="shared" si="110"/>
        <v>1146.3879449463857</v>
      </c>
      <c r="X187" s="182">
        <f t="shared" si="110"/>
        <v>1248.3996915701955</v>
      </c>
      <c r="Y187" s="205">
        <f t="shared" ref="Y187:AH187" si="111">X187+Y184</f>
        <v>1372.8745137212209</v>
      </c>
      <c r="Z187" s="205">
        <f t="shared" si="111"/>
        <v>1521.6883571287381</v>
      </c>
      <c r="AA187" s="205">
        <f t="shared" si="111"/>
        <v>1699.7693095462109</v>
      </c>
      <c r="AB187" s="205">
        <f t="shared" si="111"/>
        <v>1906.5507425675642</v>
      </c>
      <c r="AC187" s="205">
        <f t="shared" si="111"/>
        <v>2141.6401683674321</v>
      </c>
      <c r="AD187" s="205">
        <f t="shared" si="111"/>
        <v>2406.5979619948484</v>
      </c>
      <c r="AE187" s="205">
        <f t="shared" si="111"/>
        <v>2701.4706684186476</v>
      </c>
      <c r="AF187" s="205">
        <f t="shared" si="111"/>
        <v>3025.2177511339869</v>
      </c>
      <c r="AG187" s="205">
        <f t="shared" si="111"/>
        <v>3377.8885608480978</v>
      </c>
      <c r="AH187" s="182">
        <f t="shared" si="111"/>
        <v>3758.773633461009</v>
      </c>
    </row>
    <row r="188" spans="1:35" s="518" customFormat="1">
      <c r="A188" s="518" t="s">
        <v>550</v>
      </c>
      <c r="B188" s="519"/>
      <c r="C188" s="520"/>
      <c r="D188"/>
      <c r="E188"/>
      <c r="F188"/>
      <c r="G188"/>
      <c r="H188"/>
      <c r="I188"/>
      <c r="J188"/>
      <c r="K188"/>
      <c r="L188"/>
      <c r="M188"/>
      <c r="N188"/>
      <c r="O188"/>
      <c r="P188"/>
      <c r="Q188"/>
      <c r="R188"/>
      <c r="S188"/>
      <c r="T188"/>
      <c r="U188"/>
      <c r="V188"/>
      <c r="W188"/>
      <c r="X188"/>
      <c r="Y188"/>
      <c r="Z188"/>
      <c r="AA188"/>
      <c r="AB188"/>
      <c r="AC188"/>
      <c r="AD188"/>
      <c r="AE188"/>
      <c r="AF188"/>
      <c r="AG188"/>
      <c r="AH188"/>
      <c r="AI188"/>
    </row>
    <row r="189" spans="1:35" s="1" customFormat="1">
      <c r="B189" s="13"/>
      <c r="C189" s="340"/>
      <c r="D189"/>
      <c r="E189"/>
      <c r="F189"/>
      <c r="G189"/>
      <c r="H189"/>
      <c r="I189"/>
      <c r="J189"/>
      <c r="K189"/>
      <c r="L189"/>
      <c r="M189"/>
      <c r="N189"/>
      <c r="O189"/>
      <c r="P189"/>
      <c r="Q189"/>
      <c r="R189"/>
      <c r="S189"/>
      <c r="T189"/>
      <c r="U189"/>
      <c r="V189"/>
      <c r="W189"/>
      <c r="X189"/>
      <c r="Y189"/>
      <c r="Z189"/>
      <c r="AA189"/>
      <c r="AB189"/>
      <c r="AC189"/>
      <c r="AD189"/>
      <c r="AE189"/>
      <c r="AF189"/>
      <c r="AG189"/>
      <c r="AH189"/>
      <c r="AI189"/>
    </row>
    <row r="190" spans="1:35" s="1" customFormat="1">
      <c r="A190" s="1" t="s">
        <v>412</v>
      </c>
      <c r="B190" s="13"/>
      <c r="C190" s="327"/>
      <c r="D190"/>
      <c r="E190"/>
      <c r="F190"/>
      <c r="G190"/>
      <c r="H190"/>
      <c r="I190"/>
      <c r="J190"/>
      <c r="K190"/>
      <c r="L190"/>
      <c r="M190"/>
      <c r="N190"/>
      <c r="O190"/>
      <c r="P190"/>
      <c r="Q190"/>
      <c r="R190"/>
      <c r="S190"/>
      <c r="T190"/>
      <c r="U190"/>
      <c r="V190"/>
      <c r="W190"/>
      <c r="X190"/>
      <c r="Y190"/>
      <c r="Z190"/>
      <c r="AA190"/>
      <c r="AB190"/>
      <c r="AC190"/>
      <c r="AD190"/>
      <c r="AE190"/>
      <c r="AF190"/>
      <c r="AG190"/>
      <c r="AH190"/>
      <c r="AI190"/>
    </row>
    <row r="191" spans="1:35">
      <c r="A191" t="s">
        <v>406</v>
      </c>
      <c r="I191" s="112"/>
      <c r="J191" s="112"/>
      <c r="K191" s="112"/>
      <c r="L191" s="112"/>
      <c r="M191" s="131"/>
      <c r="N191" s="191"/>
      <c r="O191" s="131"/>
      <c r="P191" s="112"/>
      <c r="Q191" s="112"/>
      <c r="R191" s="131"/>
      <c r="S191" s="131"/>
      <c r="T191" s="131"/>
      <c r="U191" s="131"/>
      <c r="V191" s="112"/>
      <c r="W191" s="112"/>
    </row>
    <row r="192" spans="1:35">
      <c r="A192" t="s">
        <v>407</v>
      </c>
      <c r="I192" s="112"/>
      <c r="J192" s="112"/>
      <c r="K192" s="112"/>
      <c r="L192" s="112"/>
      <c r="M192" s="131"/>
      <c r="N192" s="191"/>
      <c r="O192" s="131"/>
      <c r="P192" s="112"/>
      <c r="Q192" s="112"/>
      <c r="R192" s="131"/>
      <c r="S192" s="131"/>
      <c r="T192" s="131"/>
      <c r="U192" s="131"/>
      <c r="V192" s="112"/>
      <c r="W192" s="112"/>
    </row>
    <row r="193" spans="1:34">
      <c r="A193" t="s">
        <v>408</v>
      </c>
      <c r="I193" s="112"/>
      <c r="J193" s="112"/>
      <c r="K193" s="112"/>
      <c r="L193" s="112"/>
      <c r="M193" s="131"/>
      <c r="N193" s="191"/>
      <c r="O193" s="131"/>
      <c r="P193" s="112"/>
      <c r="Q193" s="112"/>
      <c r="R193" s="131"/>
      <c r="S193" s="131"/>
      <c r="T193" s="131"/>
      <c r="U193" s="131"/>
      <c r="V193" s="112"/>
      <c r="W193" s="112"/>
    </row>
    <row r="194" spans="1:34">
      <c r="A194" t="s">
        <v>388</v>
      </c>
      <c r="C194" s="330">
        <f>SUM(C195:C196)</f>
        <v>176.23013000000003</v>
      </c>
      <c r="D194" s="330">
        <f t="shared" ref="D194:AH194" si="112">SUM(D195:D196)</f>
        <v>315.31012999999996</v>
      </c>
      <c r="E194" s="330">
        <f t="shared" si="112"/>
        <v>326.11696481635295</v>
      </c>
      <c r="F194" s="330">
        <f t="shared" si="112"/>
        <v>520.31605397859175</v>
      </c>
      <c r="G194" s="330">
        <f t="shared" si="112"/>
        <v>826.21355710942726</v>
      </c>
      <c r="H194" s="401">
        <f t="shared" si="112"/>
        <v>867.99596699279573</v>
      </c>
      <c r="I194" s="14">
        <f t="shared" si="112"/>
        <v>906.78455287279553</v>
      </c>
      <c r="J194" s="14">
        <f t="shared" si="112"/>
        <v>924.83653685279558</v>
      </c>
      <c r="K194" s="14">
        <f t="shared" si="112"/>
        <v>942.45614125279576</v>
      </c>
      <c r="L194" s="14">
        <f t="shared" si="112"/>
        <v>942.22161950279565</v>
      </c>
      <c r="M194" s="14">
        <f t="shared" si="112"/>
        <v>984.76428466279572</v>
      </c>
      <c r="N194" s="187">
        <f t="shared" si="112"/>
        <v>1298.5843618927956</v>
      </c>
      <c r="O194" s="14">
        <f t="shared" si="112"/>
        <v>1326.2752064227957</v>
      </c>
      <c r="P194" s="14">
        <f t="shared" si="112"/>
        <v>1318.4380697027955</v>
      </c>
      <c r="Q194" s="14">
        <f t="shared" si="112"/>
        <v>1320.3136700927957</v>
      </c>
      <c r="R194" s="14">
        <f t="shared" si="112"/>
        <v>1405.2417011227958</v>
      </c>
      <c r="S194" s="15">
        <f t="shared" si="112"/>
        <v>1409.0926990227958</v>
      </c>
      <c r="T194" s="14">
        <f t="shared" si="112"/>
        <v>1410.9367877227955</v>
      </c>
      <c r="U194" s="14">
        <f t="shared" si="112"/>
        <v>1413.5631334027958</v>
      </c>
      <c r="V194" s="14">
        <f t="shared" si="112"/>
        <v>1413.8692942727957</v>
      </c>
      <c r="W194" s="14">
        <f t="shared" si="112"/>
        <v>1422.555799392796</v>
      </c>
      <c r="X194" s="187">
        <f t="shared" si="112"/>
        <v>1516.0179751127957</v>
      </c>
      <c r="Y194" s="158">
        <f t="shared" si="112"/>
        <v>1579.1318219027958</v>
      </c>
      <c r="Z194" s="158">
        <f t="shared" si="112"/>
        <v>1607.5577857427957</v>
      </c>
      <c r="AA194" s="158">
        <f t="shared" si="112"/>
        <v>1609.965776202796</v>
      </c>
      <c r="AB194" s="158">
        <f t="shared" si="112"/>
        <v>1615.4933698227958</v>
      </c>
      <c r="AC194" s="158">
        <f t="shared" si="112"/>
        <v>1626.5083323527958</v>
      </c>
      <c r="AD194" s="158">
        <f t="shared" si="112"/>
        <v>1627.1460035127955</v>
      </c>
      <c r="AE194" s="158">
        <f t="shared" si="112"/>
        <v>1632.8634736327958</v>
      </c>
      <c r="AF194" s="158">
        <f t="shared" si="112"/>
        <v>1634.7534572127959</v>
      </c>
      <c r="AG194" s="158">
        <f t="shared" si="112"/>
        <v>1663.1189951627957</v>
      </c>
      <c r="AH194" s="187">
        <f t="shared" si="112"/>
        <v>1750.7783369927956</v>
      </c>
    </row>
    <row r="195" spans="1:34">
      <c r="A195" t="s">
        <v>389</v>
      </c>
      <c r="C195" s="329">
        <f>'Output - Jobs vs Yr (BAU)'!C51</f>
        <v>92.752700000000019</v>
      </c>
      <c r="D195" s="329">
        <f>'Output - Jobs vs Yr (BAU)'!D51</f>
        <v>165.95269999999999</v>
      </c>
      <c r="E195" s="329">
        <f>'Output - Jobs vs Yr (BAU)'!E51</f>
        <v>171.64050779808048</v>
      </c>
      <c r="F195" s="329">
        <f>'Output - Jobs vs Yr (BAU)'!F51</f>
        <v>273.85055472557463</v>
      </c>
      <c r="G195" s="329">
        <f>'Output - Jobs vs Yr (BAU)'!G51</f>
        <v>434.84924058390908</v>
      </c>
      <c r="H195" s="285">
        <f>'Output - Jobs vs Yr (BAU)'!H51</f>
        <v>456.83998262778721</v>
      </c>
      <c r="I195" s="118">
        <f>'Output - Jobs vs Yr (BAU)'!I51</f>
        <v>477.2550278277871</v>
      </c>
      <c r="J195" s="118">
        <f>'Output - Jobs vs Yr (BAU)'!J51</f>
        <v>486.75607202778713</v>
      </c>
      <c r="K195" s="118">
        <f>'Output - Jobs vs Yr (BAU)'!K51</f>
        <v>496.0295480277872</v>
      </c>
      <c r="L195" s="118">
        <f>'Output - Jobs vs Yr (BAU)'!L51</f>
        <v>495.90611552778716</v>
      </c>
      <c r="M195" s="118">
        <f>'Output - Jobs vs Yr (BAU)'!M51</f>
        <v>518.29699192778719</v>
      </c>
      <c r="N195" s="177">
        <f>'Output - Jobs vs Yr (BAU)'!N51</f>
        <v>683.46545362778716</v>
      </c>
      <c r="O195" s="118">
        <f>'Output - Jobs vs Yr (BAU)'!O51</f>
        <v>698.03958232778712</v>
      </c>
      <c r="P195" s="118">
        <f>'Output - Jobs vs Yr (BAU)'!P51</f>
        <v>693.91477352778713</v>
      </c>
      <c r="Q195" s="118">
        <f>'Output - Jobs vs Yr (BAU)'!Q51</f>
        <v>694.90193162778712</v>
      </c>
      <c r="R195" s="118">
        <f>'Output - Jobs vs Yr (BAU)'!R51</f>
        <v>739.60089532778727</v>
      </c>
      <c r="S195" s="118">
        <f>'Output - Jobs vs Yr (BAU)'!S51</f>
        <v>741.62773632778726</v>
      </c>
      <c r="T195" s="118">
        <f>'Output - Jobs vs Yr (BAU)'!T51</f>
        <v>742.59830932778721</v>
      </c>
      <c r="U195" s="118">
        <f>'Output - Jobs vs Yr (BAU)'!U51</f>
        <v>743.98059652778716</v>
      </c>
      <c r="V195" s="118">
        <f>'Output - Jobs vs Yr (BAU)'!V51</f>
        <v>744.14173382778722</v>
      </c>
      <c r="W195" s="118">
        <f>'Output - Jobs vs Yr (BAU)'!W51</f>
        <v>748.71357862778734</v>
      </c>
      <c r="X195" s="184">
        <f>'Output - Jobs vs Yr (BAU)'!X51</f>
        <v>797.90419742778727</v>
      </c>
      <c r="Y195" s="270">
        <f>'Output - Jobs vs Yr (BAU)'!Y51</f>
        <v>831.12201152778721</v>
      </c>
      <c r="Z195" s="270">
        <f>'Output - Jobs vs Yr (BAU)'!Z51</f>
        <v>846.08304512778716</v>
      </c>
      <c r="AA195" s="270">
        <f>'Output - Jobs vs Yr (BAU)'!AA51</f>
        <v>847.35040852778729</v>
      </c>
      <c r="AB195" s="270">
        <f>'Output - Jobs vs Yr (BAU)'!AB51</f>
        <v>850.25966832778727</v>
      </c>
      <c r="AC195" s="270">
        <f>'Output - Jobs vs Yr (BAU)'!AC51</f>
        <v>856.05701702778731</v>
      </c>
      <c r="AD195" s="270">
        <f>'Output - Jobs vs Yr (BAU)'!AD51</f>
        <v>856.39263342778713</v>
      </c>
      <c r="AE195" s="270">
        <f>'Output - Jobs vs Yr (BAU)'!AE51</f>
        <v>859.40182822778729</v>
      </c>
      <c r="AF195" s="270">
        <f>'Output - Jobs vs Yr (BAU)'!AF51</f>
        <v>860.39655642778735</v>
      </c>
      <c r="AG195" s="270">
        <f>'Output - Jobs vs Yr (BAU)'!AG51</f>
        <v>875.32578692778736</v>
      </c>
      <c r="AH195" s="184">
        <f>'Output - Jobs vs Yr (BAU)'!AH51</f>
        <v>921.4622826277872</v>
      </c>
    </row>
    <row r="196" spans="1:34">
      <c r="A196" t="s">
        <v>390</v>
      </c>
      <c r="C196" s="329">
        <f>'Output - Jobs vs Yr (BAU)'!C69</f>
        <v>83.477430000000012</v>
      </c>
      <c r="D196" s="329">
        <f>'Output - Jobs vs Yr (BAU)'!D69</f>
        <v>149.35742999999999</v>
      </c>
      <c r="E196" s="329">
        <f>'Output - Jobs vs Yr (BAU)'!E69</f>
        <v>154.47645701827244</v>
      </c>
      <c r="F196" s="329">
        <f>'Output - Jobs vs Yr (BAU)'!F69</f>
        <v>246.46549925301719</v>
      </c>
      <c r="G196" s="329">
        <f>'Output - Jobs vs Yr (BAU)'!G69</f>
        <v>391.36431652551823</v>
      </c>
      <c r="H196" s="285">
        <f>'Output - Jobs vs Yr (BAU)'!H69</f>
        <v>411.15598436500846</v>
      </c>
      <c r="I196" s="118">
        <f>'Output - Jobs vs Yr (BAU)'!I69</f>
        <v>429.52952504500843</v>
      </c>
      <c r="J196" s="118">
        <f>'Output - Jobs vs Yr (BAU)'!J69</f>
        <v>438.08046482500845</v>
      </c>
      <c r="K196" s="118">
        <f>'Output - Jobs vs Yr (BAU)'!K69</f>
        <v>446.4265932250085</v>
      </c>
      <c r="L196" s="118">
        <f>'Output - Jobs vs Yr (BAU)'!L69</f>
        <v>446.31550397500848</v>
      </c>
      <c r="M196" s="118">
        <f>'Output - Jobs vs Yr (BAU)'!M69</f>
        <v>466.46729273500847</v>
      </c>
      <c r="N196" s="177">
        <f>'Output - Jobs vs Yr (BAU)'!N69</f>
        <v>615.11890826500849</v>
      </c>
      <c r="O196" s="118">
        <f>'Output - Jobs vs Yr (BAU)'!O69</f>
        <v>628.23562409500846</v>
      </c>
      <c r="P196" s="118">
        <f>'Output - Jobs vs Yr (BAU)'!P69</f>
        <v>624.52329617500845</v>
      </c>
      <c r="Q196" s="118">
        <f>'Output - Jobs vs Yr (BAU)'!Q69</f>
        <v>625.41173846500851</v>
      </c>
      <c r="R196" s="118">
        <f>'Output - Jobs vs Yr (BAU)'!R69</f>
        <v>665.64080579500853</v>
      </c>
      <c r="S196" s="118">
        <f>'Output - Jobs vs Yr (BAU)'!S69</f>
        <v>667.46496269500847</v>
      </c>
      <c r="T196" s="118">
        <f>'Output - Jobs vs Yr (BAU)'!T69</f>
        <v>668.33847839500845</v>
      </c>
      <c r="U196" s="118">
        <f>'Output - Jobs vs Yr (BAU)'!U69</f>
        <v>669.58253687500849</v>
      </c>
      <c r="V196" s="118">
        <f>'Output - Jobs vs Yr (BAU)'!V69</f>
        <v>669.72756044500841</v>
      </c>
      <c r="W196" s="118">
        <f>'Output - Jobs vs Yr (BAU)'!W69</f>
        <v>673.84222076500862</v>
      </c>
      <c r="X196" s="184">
        <f>'Output - Jobs vs Yr (BAU)'!X69</f>
        <v>718.11377768500847</v>
      </c>
      <c r="Y196" s="270">
        <f>'Output - Jobs vs Yr (BAU)'!Y69</f>
        <v>748.00981037500844</v>
      </c>
      <c r="Z196" s="270">
        <f>'Output - Jobs vs Yr (BAU)'!Z69</f>
        <v>761.47474061500839</v>
      </c>
      <c r="AA196" s="270">
        <f>'Output - Jobs vs Yr (BAU)'!AA69</f>
        <v>762.61536767500854</v>
      </c>
      <c r="AB196" s="270">
        <f>'Output - Jobs vs Yr (BAU)'!AB69</f>
        <v>765.23370149500852</v>
      </c>
      <c r="AC196" s="270">
        <f>'Output - Jobs vs Yr (BAU)'!AC69</f>
        <v>770.45131532500852</v>
      </c>
      <c r="AD196" s="270">
        <f>'Output - Jobs vs Yr (BAU)'!AD69</f>
        <v>770.75337008500833</v>
      </c>
      <c r="AE196" s="270">
        <f>'Output - Jobs vs Yr (BAU)'!AE69</f>
        <v>773.46164540500854</v>
      </c>
      <c r="AF196" s="270">
        <f>'Output - Jobs vs Yr (BAU)'!AF69</f>
        <v>774.35690078500852</v>
      </c>
      <c r="AG196" s="270">
        <f>'Output - Jobs vs Yr (BAU)'!AG69</f>
        <v>787.79320823500848</v>
      </c>
      <c r="AH196" s="184">
        <f>'Output - Jobs vs Yr (BAU)'!AH69</f>
        <v>829.31605436500854</v>
      </c>
    </row>
    <row r="197" spans="1:34">
      <c r="A197" t="s">
        <v>391</v>
      </c>
      <c r="C197" s="330">
        <f>SUM(C198:C199)</f>
        <v>3243.5441500000006</v>
      </c>
      <c r="D197" s="330">
        <f t="shared" ref="D197:AH197" si="113">SUM(D198:D199)</f>
        <v>2831.5481500000005</v>
      </c>
      <c r="E197" s="330">
        <f t="shared" si="113"/>
        <v>2777.5197500000004</v>
      </c>
      <c r="F197" s="330">
        <f t="shared" si="113"/>
        <v>2960.5685069000006</v>
      </c>
      <c r="G197" s="330">
        <f t="shared" si="113"/>
        <v>2872.8145843999996</v>
      </c>
      <c r="H197" s="401">
        <f t="shared" si="113"/>
        <v>2952.3240364000003</v>
      </c>
      <c r="I197" s="14">
        <f t="shared" si="113"/>
        <v>3153.9407589500006</v>
      </c>
      <c r="J197" s="14">
        <f t="shared" si="113"/>
        <v>3191.0719259999996</v>
      </c>
      <c r="K197" s="14">
        <f t="shared" si="113"/>
        <v>3406.7164492499996</v>
      </c>
      <c r="L197" s="14">
        <f t="shared" si="113"/>
        <v>3406.7167199999994</v>
      </c>
      <c r="M197" s="14">
        <f t="shared" si="113"/>
        <v>3406.7169907500002</v>
      </c>
      <c r="N197" s="187">
        <f t="shared" si="113"/>
        <v>3406.7169907500002</v>
      </c>
      <c r="O197" s="14">
        <f t="shared" si="113"/>
        <v>3440.24396325</v>
      </c>
      <c r="P197" s="14">
        <f t="shared" si="113"/>
        <v>3440.2438701499996</v>
      </c>
      <c r="Q197" s="14">
        <f t="shared" si="113"/>
        <v>3440.24396325</v>
      </c>
      <c r="R197" s="14">
        <f t="shared" si="113"/>
        <v>3440.24396325</v>
      </c>
      <c r="S197" s="15">
        <f t="shared" si="113"/>
        <v>3440.2436924999997</v>
      </c>
      <c r="T197" s="14">
        <f t="shared" si="113"/>
        <v>3440.24396325</v>
      </c>
      <c r="U197" s="14">
        <f t="shared" si="113"/>
        <v>3459.1582874999995</v>
      </c>
      <c r="V197" s="14">
        <f t="shared" si="113"/>
        <v>3459.1582874999995</v>
      </c>
      <c r="W197" s="14">
        <f t="shared" si="113"/>
        <v>3459.1582874999995</v>
      </c>
      <c r="X197" s="187">
        <f t="shared" si="113"/>
        <v>3459.1582874999995</v>
      </c>
      <c r="Y197" s="158">
        <f t="shared" si="113"/>
        <v>3459.1582874999995</v>
      </c>
      <c r="Z197" s="158">
        <f t="shared" si="113"/>
        <v>3459.1582874999995</v>
      </c>
      <c r="AA197" s="158">
        <f t="shared" si="113"/>
        <v>3459.1599119999996</v>
      </c>
      <c r="AB197" s="158">
        <f t="shared" si="113"/>
        <v>3459.1601827499999</v>
      </c>
      <c r="AC197" s="158">
        <f t="shared" si="113"/>
        <v>3459.1599119999996</v>
      </c>
      <c r="AD197" s="158">
        <f t="shared" si="113"/>
        <v>3459.1582874999995</v>
      </c>
      <c r="AE197" s="158">
        <f t="shared" si="113"/>
        <v>3459.1582874999995</v>
      </c>
      <c r="AF197" s="158">
        <f t="shared" si="113"/>
        <v>3459.1596412499994</v>
      </c>
      <c r="AG197" s="158">
        <f t="shared" si="113"/>
        <v>3459.1599119999996</v>
      </c>
      <c r="AH197" s="187">
        <f t="shared" si="113"/>
        <v>3459.1582874999995</v>
      </c>
    </row>
    <row r="198" spans="1:34">
      <c r="A198" t="s">
        <v>393</v>
      </c>
      <c r="C198" s="329">
        <f>SUM('Output - Jobs vs Yr (BAU)'!C40:C43)</f>
        <v>1707.1285000000003</v>
      </c>
      <c r="D198" s="329">
        <f>SUM('Output - Jobs vs Yr (BAU)'!D40:D43)</f>
        <v>1490.2885000000001</v>
      </c>
      <c r="E198" s="329">
        <f>SUM('Output - Jobs vs Yr (BAU)'!E40:E43)</f>
        <v>1461.8525000000002</v>
      </c>
      <c r="F198" s="329">
        <f>SUM('Output - Jobs vs Yr (BAU)'!F40:F43)</f>
        <v>1558.1939510000002</v>
      </c>
      <c r="G198" s="329">
        <f>SUM('Output - Jobs vs Yr (BAU)'!G40:G43)</f>
        <v>1512.0076759999997</v>
      </c>
      <c r="H198" s="285">
        <f>SUM('Output - Jobs vs Yr (BAU)'!H40:H43)</f>
        <v>1553.854756</v>
      </c>
      <c r="I198" s="118">
        <f>SUM('Output - Jobs vs Yr (BAU)'!I40:I43)</f>
        <v>1659.9688205000002</v>
      </c>
      <c r="J198" s="118">
        <f>SUM('Output - Jobs vs Yr (BAU)'!J40:J43)</f>
        <v>1679.51154</v>
      </c>
      <c r="K198" s="118">
        <f>SUM('Output - Jobs vs Yr (BAU)'!K40:K43)</f>
        <v>1793.0086574999998</v>
      </c>
      <c r="L198" s="118">
        <f>SUM('Output - Jobs vs Yr (BAU)'!L40:L43)</f>
        <v>1793.0087999999998</v>
      </c>
      <c r="M198" s="118">
        <f>SUM('Output - Jobs vs Yr (BAU)'!M40:M43)</f>
        <v>1793.0089424999999</v>
      </c>
      <c r="N198" s="177">
        <f>SUM('Output - Jobs vs Yr (BAU)'!N40:N43)</f>
        <v>1793.0089424999999</v>
      </c>
      <c r="O198" s="118">
        <f>SUM('Output - Jobs vs Yr (BAU)'!O40:O43)</f>
        <v>1810.6547174999998</v>
      </c>
      <c r="P198" s="118">
        <f>SUM('Output - Jobs vs Yr (BAU)'!P40:P43)</f>
        <v>1810.6546684999998</v>
      </c>
      <c r="Q198" s="118">
        <f>SUM('Output - Jobs vs Yr (BAU)'!Q40:Q43)</f>
        <v>1810.6547174999998</v>
      </c>
      <c r="R198" s="118">
        <f>SUM('Output - Jobs vs Yr (BAU)'!R40:R43)</f>
        <v>1810.6547174999998</v>
      </c>
      <c r="S198" s="118">
        <f>SUM('Output - Jobs vs Yr (BAU)'!S40:S43)</f>
        <v>1810.6545749999998</v>
      </c>
      <c r="T198" s="118">
        <f>SUM('Output - Jobs vs Yr (BAU)'!T40:T43)</f>
        <v>1810.6547174999998</v>
      </c>
      <c r="U198" s="118">
        <f>SUM('Output - Jobs vs Yr (BAU)'!U40:U43)</f>
        <v>1820.6096249999998</v>
      </c>
      <c r="V198" s="118">
        <f>SUM('Output - Jobs vs Yr (BAU)'!V40:V43)</f>
        <v>1820.6096249999998</v>
      </c>
      <c r="W198" s="118">
        <f>SUM('Output - Jobs vs Yr (BAU)'!W40:W43)</f>
        <v>1820.6096249999998</v>
      </c>
      <c r="X198" s="184">
        <f>SUM('Output - Jobs vs Yr (BAU)'!X40:X43)</f>
        <v>1820.6096249999998</v>
      </c>
      <c r="Y198" s="270">
        <f>SUM('Output - Jobs vs Yr (BAU)'!Y40:Y43)</f>
        <v>1820.6096249999998</v>
      </c>
      <c r="Z198" s="270">
        <f>SUM('Output - Jobs vs Yr (BAU)'!Z40:Z43)</f>
        <v>1820.6096249999998</v>
      </c>
      <c r="AA198" s="270">
        <f>SUM('Output - Jobs vs Yr (BAU)'!AA40:AA43)</f>
        <v>1820.6104799999998</v>
      </c>
      <c r="AB198" s="270">
        <f>SUM('Output - Jobs vs Yr (BAU)'!AB40:AB43)</f>
        <v>1820.6106224999999</v>
      </c>
      <c r="AC198" s="270">
        <f>SUM('Output - Jobs vs Yr (BAU)'!AC40:AC43)</f>
        <v>1820.6104799999998</v>
      </c>
      <c r="AD198" s="270">
        <f>SUM('Output - Jobs vs Yr (BAU)'!AD40:AD43)</f>
        <v>1820.6096249999998</v>
      </c>
      <c r="AE198" s="270">
        <f>SUM('Output - Jobs vs Yr (BAU)'!AE40:AE43)</f>
        <v>1820.6096249999998</v>
      </c>
      <c r="AF198" s="270">
        <f>SUM('Output - Jobs vs Yr (BAU)'!AF40:AF43)</f>
        <v>1820.6103374999998</v>
      </c>
      <c r="AG198" s="270">
        <f>SUM('Output - Jobs vs Yr (BAU)'!AG40:AG43)</f>
        <v>1820.6104799999998</v>
      </c>
      <c r="AH198" s="184">
        <f>SUM('Output - Jobs vs Yr (BAU)'!AH40:AH43)</f>
        <v>1820.6096249999998</v>
      </c>
    </row>
    <row r="199" spans="1:34">
      <c r="A199" t="s">
        <v>392</v>
      </c>
      <c r="C199" s="329">
        <f>SUM('Output - Jobs vs Yr (BAU)'!C58:C61)</f>
        <v>1536.4156500000001</v>
      </c>
      <c r="D199" s="329">
        <f>SUM('Output - Jobs vs Yr (BAU)'!D58:D61)</f>
        <v>1341.2596500000002</v>
      </c>
      <c r="E199" s="329">
        <f>SUM('Output - Jobs vs Yr (BAU)'!E58:E61)</f>
        <v>1315.66725</v>
      </c>
      <c r="F199" s="329">
        <f>SUM('Output - Jobs vs Yr (BAU)'!F58:F61)</f>
        <v>1402.3745559000004</v>
      </c>
      <c r="G199" s="329">
        <f>SUM('Output - Jobs vs Yr (BAU)'!G58:G61)</f>
        <v>1360.8069083999999</v>
      </c>
      <c r="H199" s="285">
        <f>SUM('Output - Jobs vs Yr (BAU)'!H58:H61)</f>
        <v>1398.4692804000001</v>
      </c>
      <c r="I199" s="118">
        <f>SUM('Output - Jobs vs Yr (BAU)'!I58:I61)</f>
        <v>1493.9719384500004</v>
      </c>
      <c r="J199" s="118">
        <f>SUM('Output - Jobs vs Yr (BAU)'!J58:J61)</f>
        <v>1511.5603859999999</v>
      </c>
      <c r="K199" s="118">
        <f>SUM('Output - Jobs vs Yr (BAU)'!K58:K61)</f>
        <v>1613.7077917499998</v>
      </c>
      <c r="L199" s="118">
        <f>SUM('Output - Jobs vs Yr (BAU)'!L58:L61)</f>
        <v>1613.7079199999998</v>
      </c>
      <c r="M199" s="118">
        <f>SUM('Output - Jobs vs Yr (BAU)'!M58:M61)</f>
        <v>1613.70804825</v>
      </c>
      <c r="N199" s="177">
        <f>SUM('Output - Jobs vs Yr (BAU)'!N58:N61)</f>
        <v>1613.70804825</v>
      </c>
      <c r="O199" s="118">
        <f>SUM('Output - Jobs vs Yr (BAU)'!O58:O61)</f>
        <v>1629.5892457499999</v>
      </c>
      <c r="P199" s="118">
        <f>SUM('Output - Jobs vs Yr (BAU)'!P58:P61)</f>
        <v>1629.5892016499999</v>
      </c>
      <c r="Q199" s="118">
        <f>SUM('Output - Jobs vs Yr (BAU)'!Q58:Q61)</f>
        <v>1629.5892457499999</v>
      </c>
      <c r="R199" s="118">
        <f>SUM('Output - Jobs vs Yr (BAU)'!R58:R61)</f>
        <v>1629.5892457499999</v>
      </c>
      <c r="S199" s="118">
        <f>SUM('Output - Jobs vs Yr (BAU)'!S58:S61)</f>
        <v>1629.5891174999999</v>
      </c>
      <c r="T199" s="118">
        <f>SUM('Output - Jobs vs Yr (BAU)'!T58:T61)</f>
        <v>1629.5892457499999</v>
      </c>
      <c r="U199" s="118">
        <f>SUM('Output - Jobs vs Yr (BAU)'!U58:U61)</f>
        <v>1638.5486624999999</v>
      </c>
      <c r="V199" s="118">
        <f>SUM('Output - Jobs vs Yr (BAU)'!V58:V61)</f>
        <v>1638.5486624999999</v>
      </c>
      <c r="W199" s="118">
        <f>SUM('Output - Jobs vs Yr (BAU)'!W58:W61)</f>
        <v>1638.5486624999999</v>
      </c>
      <c r="X199" s="184">
        <f>SUM('Output - Jobs vs Yr (BAU)'!X58:X61)</f>
        <v>1638.5486624999999</v>
      </c>
      <c r="Y199" s="270">
        <f>SUM('Output - Jobs vs Yr (BAU)'!Y58:Y61)</f>
        <v>1638.5486624999999</v>
      </c>
      <c r="Z199" s="270">
        <f>SUM('Output - Jobs vs Yr (BAU)'!Z58:Z61)</f>
        <v>1638.5486624999999</v>
      </c>
      <c r="AA199" s="270">
        <f>SUM('Output - Jobs vs Yr (BAU)'!AA58:AA61)</f>
        <v>1638.5494319999998</v>
      </c>
      <c r="AB199" s="270">
        <f>SUM('Output - Jobs vs Yr (BAU)'!AB58:AB61)</f>
        <v>1638.54956025</v>
      </c>
      <c r="AC199" s="270">
        <f>SUM('Output - Jobs vs Yr (BAU)'!AC58:AC61)</f>
        <v>1638.5494319999998</v>
      </c>
      <c r="AD199" s="270">
        <f>SUM('Output - Jobs vs Yr (BAU)'!AD58:AD61)</f>
        <v>1638.5486624999999</v>
      </c>
      <c r="AE199" s="270">
        <f>SUM('Output - Jobs vs Yr (BAU)'!AE58:AE61)</f>
        <v>1638.5486624999999</v>
      </c>
      <c r="AF199" s="270">
        <f>SUM('Output - Jobs vs Yr (BAU)'!AF58:AF61)</f>
        <v>1638.5493037499998</v>
      </c>
      <c r="AG199" s="270">
        <f>SUM('Output - Jobs vs Yr (BAU)'!AG58:AG61)</f>
        <v>1638.5494319999998</v>
      </c>
      <c r="AH199" s="184">
        <f>SUM('Output - Jobs vs Yr (BAU)'!AH58:AH61)</f>
        <v>1638.5486624999999</v>
      </c>
    </row>
    <row r="200" spans="1:34">
      <c r="A200" t="s">
        <v>394</v>
      </c>
      <c r="C200" s="330">
        <f>SUM(C201:C202)</f>
        <v>15680.643</v>
      </c>
      <c r="D200" s="330">
        <f t="shared" ref="D200:AH200" si="114">SUM(D201:D202)</f>
        <v>16665.032999999999</v>
      </c>
      <c r="E200" s="330">
        <f t="shared" si="114"/>
        <v>17281.094347550003</v>
      </c>
      <c r="F200" s="330">
        <f t="shared" si="114"/>
        <v>16284.250863100004</v>
      </c>
      <c r="G200" s="330">
        <f t="shared" si="114"/>
        <v>16278.036498900001</v>
      </c>
      <c r="H200" s="401">
        <f t="shared" si="114"/>
        <v>16500.937809950003</v>
      </c>
      <c r="I200" s="14">
        <f t="shared" si="114"/>
        <v>17018.437965650002</v>
      </c>
      <c r="J200" s="14">
        <f t="shared" si="114"/>
        <v>16112.561396800003</v>
      </c>
      <c r="K200" s="14">
        <f t="shared" si="114"/>
        <v>16368.551159400002</v>
      </c>
      <c r="L200" s="14">
        <f t="shared" si="114"/>
        <v>16794.924420450003</v>
      </c>
      <c r="M200" s="14">
        <f t="shared" si="114"/>
        <v>16823.538976200001</v>
      </c>
      <c r="N200" s="187">
        <f t="shared" si="114"/>
        <v>16657.283562150005</v>
      </c>
      <c r="O200" s="14">
        <f t="shared" si="114"/>
        <v>16846.836143500004</v>
      </c>
      <c r="P200" s="14">
        <f t="shared" si="114"/>
        <v>17093.898136700001</v>
      </c>
      <c r="Q200" s="14">
        <f t="shared" si="114"/>
        <v>16992.665632250002</v>
      </c>
      <c r="R200" s="14">
        <f t="shared" si="114"/>
        <v>17227.672150150007</v>
      </c>
      <c r="S200" s="15">
        <f t="shared" si="114"/>
        <v>17384.037955899999</v>
      </c>
      <c r="T200" s="14">
        <f t="shared" si="114"/>
        <v>17503.625174750006</v>
      </c>
      <c r="U200" s="14">
        <f t="shared" si="114"/>
        <v>17628.891205750006</v>
      </c>
      <c r="V200" s="14">
        <f t="shared" si="114"/>
        <v>17788.388322649997</v>
      </c>
      <c r="W200" s="14">
        <f t="shared" si="114"/>
        <v>18112.811383700002</v>
      </c>
      <c r="X200" s="187">
        <f t="shared" si="114"/>
        <v>18152.604294000004</v>
      </c>
      <c r="Y200" s="158">
        <f t="shared" si="114"/>
        <v>18194.597472699999</v>
      </c>
      <c r="Z200" s="158">
        <f t="shared" si="114"/>
        <v>18114.46529475</v>
      </c>
      <c r="AA200" s="158">
        <f t="shared" si="114"/>
        <v>18186.020373949999</v>
      </c>
      <c r="AB200" s="158">
        <f t="shared" si="114"/>
        <v>18246.382447700002</v>
      </c>
      <c r="AC200" s="158">
        <f t="shared" si="114"/>
        <v>18277.7863488</v>
      </c>
      <c r="AD200" s="158">
        <f t="shared" si="114"/>
        <v>18290.542705600004</v>
      </c>
      <c r="AE200" s="158">
        <f t="shared" si="114"/>
        <v>18299.832797399999</v>
      </c>
      <c r="AF200" s="158">
        <f t="shared" si="114"/>
        <v>18269.380003049999</v>
      </c>
      <c r="AG200" s="158">
        <f t="shared" si="114"/>
        <v>18316.809480749998</v>
      </c>
      <c r="AH200" s="187">
        <f t="shared" si="114"/>
        <v>18501.815507450003</v>
      </c>
    </row>
    <row r="201" spans="1:34">
      <c r="A201" t="s">
        <v>395</v>
      </c>
      <c r="C201" s="329">
        <f>SUM('Output - Jobs vs Yr (BAU)'!C53:C54)</f>
        <v>8252.9699999999993</v>
      </c>
      <c r="D201" s="329">
        <f>SUM('Output - Jobs vs Yr (BAU)'!D53:D54)</f>
        <v>8771.07</v>
      </c>
      <c r="E201" s="329">
        <f>SUM('Output - Jobs vs Yr (BAU)'!E53:E54)</f>
        <v>9095.312814500001</v>
      </c>
      <c r="F201" s="329">
        <f>SUM('Output - Jobs vs Yr (BAU)'!F53:F54)</f>
        <v>8570.6583490000012</v>
      </c>
      <c r="G201" s="329">
        <f>SUM('Output - Jobs vs Yr (BAU)'!G53:G54)</f>
        <v>8567.3876310000014</v>
      </c>
      <c r="H201" s="285">
        <f>SUM('Output - Jobs vs Yr (BAU)'!H53:H54)</f>
        <v>8684.7041105000008</v>
      </c>
      <c r="I201" s="118">
        <f>SUM('Output - Jobs vs Yr (BAU)'!I53:I54)</f>
        <v>8957.0726135000004</v>
      </c>
      <c r="J201" s="118">
        <f>SUM('Output - Jobs vs Yr (BAU)'!J53:J54)</f>
        <v>8480.2954720000016</v>
      </c>
      <c r="K201" s="118">
        <f>SUM('Output - Jobs vs Yr (BAU)'!K53:K54)</f>
        <v>8615.0269260000005</v>
      </c>
      <c r="L201" s="118">
        <f>SUM('Output - Jobs vs Yr (BAU)'!L53:L54)</f>
        <v>8839.4339055000019</v>
      </c>
      <c r="M201" s="118">
        <f>SUM('Output - Jobs vs Yr (BAU)'!M53:M54)</f>
        <v>8854.4941980000003</v>
      </c>
      <c r="N201" s="177">
        <f>SUM('Output - Jobs vs Yr (BAU)'!N53:N54)</f>
        <v>8766.9913485000015</v>
      </c>
      <c r="O201" s="118">
        <f>SUM('Output - Jobs vs Yr (BAU)'!O53:O54)</f>
        <v>8866.755865000001</v>
      </c>
      <c r="P201" s="118">
        <f>SUM('Output - Jobs vs Yr (BAU)'!P53:P54)</f>
        <v>8996.788493</v>
      </c>
      <c r="Q201" s="118">
        <f>SUM('Output - Jobs vs Yr (BAU)'!Q53:Q54)</f>
        <v>8943.5082275000004</v>
      </c>
      <c r="R201" s="118">
        <f>SUM('Output - Jobs vs Yr (BAU)'!R53:R54)</f>
        <v>9067.1958685000027</v>
      </c>
      <c r="S201" s="118">
        <f>SUM('Output - Jobs vs Yr (BAU)'!S53:S54)</f>
        <v>9149.4936610000004</v>
      </c>
      <c r="T201" s="118">
        <f>SUM('Output - Jobs vs Yr (BAU)'!T53:T54)</f>
        <v>9212.4343025000035</v>
      </c>
      <c r="U201" s="118">
        <f>SUM('Output - Jobs vs Yr (BAU)'!U53:U54)</f>
        <v>9278.3637925000021</v>
      </c>
      <c r="V201" s="118">
        <f>SUM('Output - Jobs vs Yr (BAU)'!V53:V54)</f>
        <v>9362.3096434999989</v>
      </c>
      <c r="W201" s="118">
        <f>SUM('Output - Jobs vs Yr (BAU)'!W53:W54)</f>
        <v>9533.0586230000008</v>
      </c>
      <c r="X201" s="184">
        <f>SUM('Output - Jobs vs Yr (BAU)'!X53:X54)</f>
        <v>9554.0022600000011</v>
      </c>
      <c r="Y201" s="270">
        <f>SUM('Output - Jobs vs Yr (BAU)'!Y53:Y54)</f>
        <v>9576.1039330000003</v>
      </c>
      <c r="Z201" s="270">
        <f>SUM('Output - Jobs vs Yr (BAU)'!Z53:Z54)</f>
        <v>9533.9291025000002</v>
      </c>
      <c r="AA201" s="270">
        <f>SUM('Output - Jobs vs Yr (BAU)'!AA53:AA54)</f>
        <v>9571.5896704999996</v>
      </c>
      <c r="AB201" s="270">
        <f>SUM('Output - Jobs vs Yr (BAU)'!AB53:AB54)</f>
        <v>9603.3591830000005</v>
      </c>
      <c r="AC201" s="270">
        <f>SUM('Output - Jobs vs Yr (BAU)'!AC53:AC54)</f>
        <v>9619.8875520000001</v>
      </c>
      <c r="AD201" s="270">
        <f>SUM('Output - Jobs vs Yr (BAU)'!AD53:AD54)</f>
        <v>9626.6014240000022</v>
      </c>
      <c r="AE201" s="270">
        <f>SUM('Output - Jobs vs Yr (BAU)'!AE53:AE54)</f>
        <v>9631.4909459999999</v>
      </c>
      <c r="AF201" s="270">
        <f>SUM('Output - Jobs vs Yr (BAU)'!AF53:AF54)</f>
        <v>9615.4631594999992</v>
      </c>
      <c r="AG201" s="270">
        <f>SUM('Output - Jobs vs Yr (BAU)'!AG53:AG54)</f>
        <v>9640.4260424999993</v>
      </c>
      <c r="AH201" s="184">
        <f>SUM('Output - Jobs vs Yr (BAU)'!AH53:AH54)</f>
        <v>9737.797635500001</v>
      </c>
    </row>
    <row r="202" spans="1:34">
      <c r="A202" t="s">
        <v>396</v>
      </c>
      <c r="C202" s="329">
        <f>SUM('Output - Jobs vs Yr (BAU)'!C71:C72)</f>
        <v>7427.6730000000007</v>
      </c>
      <c r="D202" s="329">
        <f>SUM('Output - Jobs vs Yr (BAU)'!D71:D72)</f>
        <v>7893.9630000000006</v>
      </c>
      <c r="E202" s="329">
        <f>SUM('Output - Jobs vs Yr (BAU)'!E71:E72)</f>
        <v>8185.7815330500016</v>
      </c>
      <c r="F202" s="329">
        <f>SUM('Output - Jobs vs Yr (BAU)'!F71:F72)</f>
        <v>7713.5925141000025</v>
      </c>
      <c r="G202" s="329">
        <f>SUM('Output - Jobs vs Yr (BAU)'!G71:G72)</f>
        <v>7710.6488679000004</v>
      </c>
      <c r="H202" s="285">
        <f>SUM('Output - Jobs vs Yr (BAU)'!H71:H72)</f>
        <v>7816.233699450001</v>
      </c>
      <c r="I202" s="118">
        <f>SUM('Output - Jobs vs Yr (BAU)'!I71:I72)</f>
        <v>8061.3653521500009</v>
      </c>
      <c r="J202" s="118">
        <f>SUM('Output - Jobs vs Yr (BAU)'!J71:J72)</f>
        <v>7632.2659248000009</v>
      </c>
      <c r="K202" s="118">
        <f>SUM('Output - Jobs vs Yr (BAU)'!K71:K72)</f>
        <v>7753.5242334000004</v>
      </c>
      <c r="L202" s="118">
        <f>SUM('Output - Jobs vs Yr (BAU)'!L71:L72)</f>
        <v>7955.4905149500009</v>
      </c>
      <c r="M202" s="118">
        <f>SUM('Output - Jobs vs Yr (BAU)'!M71:M72)</f>
        <v>7969.044778200001</v>
      </c>
      <c r="N202" s="177">
        <f>SUM('Output - Jobs vs Yr (BAU)'!N71:N72)</f>
        <v>7890.2922136500019</v>
      </c>
      <c r="O202" s="118">
        <f>SUM('Output - Jobs vs Yr (BAU)'!O71:O72)</f>
        <v>7980.0802785000014</v>
      </c>
      <c r="P202" s="118">
        <f>SUM('Output - Jobs vs Yr (BAU)'!P71:P72)</f>
        <v>8097.1096437000006</v>
      </c>
      <c r="Q202" s="118">
        <f>SUM('Output - Jobs vs Yr (BAU)'!Q71:Q72)</f>
        <v>8049.1574047500008</v>
      </c>
      <c r="R202" s="118">
        <f>SUM('Output - Jobs vs Yr (BAU)'!R71:R72)</f>
        <v>8160.4762816500024</v>
      </c>
      <c r="S202" s="118">
        <f>SUM('Output - Jobs vs Yr (BAU)'!S71:S72)</f>
        <v>8234.5442949000008</v>
      </c>
      <c r="T202" s="118">
        <f>SUM('Output - Jobs vs Yr (BAU)'!T71:T72)</f>
        <v>8291.1908722500029</v>
      </c>
      <c r="U202" s="118">
        <f>SUM('Output - Jobs vs Yr (BAU)'!U71:U72)</f>
        <v>8350.5274132500017</v>
      </c>
      <c r="V202" s="118">
        <f>SUM('Output - Jobs vs Yr (BAU)'!V71:V72)</f>
        <v>8426.0786791499995</v>
      </c>
      <c r="W202" s="118">
        <f>SUM('Output - Jobs vs Yr (BAU)'!W71:W72)</f>
        <v>8579.7527607000011</v>
      </c>
      <c r="X202" s="184">
        <f>SUM('Output - Jobs vs Yr (BAU)'!X71:X72)</f>
        <v>8598.6020340000014</v>
      </c>
      <c r="Y202" s="270">
        <f>SUM('Output - Jobs vs Yr (BAU)'!Y71:Y72)</f>
        <v>8618.493539699999</v>
      </c>
      <c r="Z202" s="270">
        <f>SUM('Output - Jobs vs Yr (BAU)'!Z71:Z72)</f>
        <v>8580.5361922500015</v>
      </c>
      <c r="AA202" s="270">
        <f>SUM('Output - Jobs vs Yr (BAU)'!AA71:AA72)</f>
        <v>8614.4307034499998</v>
      </c>
      <c r="AB202" s="270">
        <f>SUM('Output - Jobs vs Yr (BAU)'!AB71:AB72)</f>
        <v>8643.0232647000012</v>
      </c>
      <c r="AC202" s="270">
        <f>SUM('Output - Jobs vs Yr (BAU)'!AC71:AC72)</f>
        <v>8657.8987968000001</v>
      </c>
      <c r="AD202" s="270">
        <f>SUM('Output - Jobs vs Yr (BAU)'!AD71:AD72)</f>
        <v>8663.9412816000022</v>
      </c>
      <c r="AE202" s="270">
        <f>SUM('Output - Jobs vs Yr (BAU)'!AE71:AE72)</f>
        <v>8668.3418514000005</v>
      </c>
      <c r="AF202" s="270">
        <f>SUM('Output - Jobs vs Yr (BAU)'!AF71:AF72)</f>
        <v>8653.9168435499996</v>
      </c>
      <c r="AG202" s="270">
        <f>SUM('Output - Jobs vs Yr (BAU)'!AG71:AG72)</f>
        <v>8676.383438249999</v>
      </c>
      <c r="AH202" s="184">
        <f>SUM('Output - Jobs vs Yr (BAU)'!AH71:AH72)</f>
        <v>8764.0178719500018</v>
      </c>
    </row>
    <row r="203" spans="1:34">
      <c r="A203" s="1" t="s">
        <v>425</v>
      </c>
      <c r="C203" s="330">
        <f>SUM(C191,C194,C197,C200)</f>
        <v>19100.417280000001</v>
      </c>
      <c r="D203" s="330">
        <f t="shared" ref="D203:AH203" si="115">SUM(D191,D194,D197,D200)</f>
        <v>19811.89128</v>
      </c>
      <c r="E203" s="330">
        <f t="shared" si="115"/>
        <v>20384.731062366358</v>
      </c>
      <c r="F203" s="330">
        <f t="shared" si="115"/>
        <v>19765.135423978594</v>
      </c>
      <c r="G203" s="330">
        <f t="shared" si="115"/>
        <v>19977.06464040943</v>
      </c>
      <c r="H203" s="401">
        <f t="shared" si="115"/>
        <v>20321.2578133428</v>
      </c>
      <c r="I203" s="14">
        <f t="shared" si="115"/>
        <v>21079.163277472799</v>
      </c>
      <c r="J203" s="14">
        <f t="shared" si="115"/>
        <v>20228.4698596528</v>
      </c>
      <c r="K203" s="14">
        <f t="shared" si="115"/>
        <v>20717.723749902798</v>
      </c>
      <c r="L203" s="14">
        <f t="shared" si="115"/>
        <v>21143.862759952797</v>
      </c>
      <c r="M203" s="132">
        <f t="shared" si="115"/>
        <v>21215.020251612797</v>
      </c>
      <c r="N203" s="192">
        <f t="shared" si="115"/>
        <v>21362.584914792802</v>
      </c>
      <c r="O203" s="14">
        <f t="shared" si="115"/>
        <v>21613.3553131728</v>
      </c>
      <c r="P203" s="14">
        <f t="shared" si="115"/>
        <v>21852.580076552797</v>
      </c>
      <c r="Q203" s="14">
        <f t="shared" si="115"/>
        <v>21753.223265592798</v>
      </c>
      <c r="R203" s="14">
        <f t="shared" si="115"/>
        <v>22073.157814522805</v>
      </c>
      <c r="S203" s="14">
        <f t="shared" si="115"/>
        <v>22233.374347422796</v>
      </c>
      <c r="T203" s="14">
        <f t="shared" si="115"/>
        <v>22354.805925722801</v>
      </c>
      <c r="U203" s="14">
        <f t="shared" si="115"/>
        <v>22501.612626652801</v>
      </c>
      <c r="V203" s="14">
        <f t="shared" si="115"/>
        <v>22661.415904422793</v>
      </c>
      <c r="W203" s="14">
        <f t="shared" si="115"/>
        <v>22994.525470592798</v>
      </c>
      <c r="X203" s="187">
        <f t="shared" si="115"/>
        <v>23127.780556612801</v>
      </c>
      <c r="Y203" s="158">
        <f t="shared" si="115"/>
        <v>23232.887582102794</v>
      </c>
      <c r="Z203" s="158">
        <f t="shared" si="115"/>
        <v>23181.181367992795</v>
      </c>
      <c r="AA203" s="158">
        <f t="shared" si="115"/>
        <v>23255.146062152795</v>
      </c>
      <c r="AB203" s="158">
        <f t="shared" si="115"/>
        <v>23321.036000272798</v>
      </c>
      <c r="AC203" s="158">
        <f t="shared" si="115"/>
        <v>23363.454593152797</v>
      </c>
      <c r="AD203" s="158">
        <f t="shared" si="115"/>
        <v>23376.8469966128</v>
      </c>
      <c r="AE203" s="158">
        <f t="shared" si="115"/>
        <v>23391.854558532796</v>
      </c>
      <c r="AF203" s="158">
        <f t="shared" si="115"/>
        <v>23363.293101512794</v>
      </c>
      <c r="AG203" s="158">
        <f t="shared" si="115"/>
        <v>23439.088387912794</v>
      </c>
      <c r="AH203" s="187">
        <f t="shared" si="115"/>
        <v>23711.752131942798</v>
      </c>
    </row>
    <row r="204" spans="1:34">
      <c r="A204" s="1" t="s">
        <v>448</v>
      </c>
      <c r="C204" s="330"/>
      <c r="D204" s="330">
        <f>D194+D197</f>
        <v>3146.8582800000004</v>
      </c>
      <c r="E204" s="330">
        <f t="shared" ref="E204:AH204" si="116">E194+E197</f>
        <v>3103.6367148163536</v>
      </c>
      <c r="F204" s="330">
        <f t="shared" si="116"/>
        <v>3480.8845608785923</v>
      </c>
      <c r="G204" s="330">
        <f t="shared" si="116"/>
        <v>3699.0281415094269</v>
      </c>
      <c r="H204" s="401">
        <f t="shared" si="116"/>
        <v>3820.320003392796</v>
      </c>
      <c r="I204" s="14">
        <f t="shared" si="116"/>
        <v>4060.7253118227964</v>
      </c>
      <c r="J204" s="14">
        <f t="shared" si="116"/>
        <v>4115.9084628527953</v>
      </c>
      <c r="K204" s="14">
        <f t="shared" si="116"/>
        <v>4349.1725905027952</v>
      </c>
      <c r="L204" s="14">
        <f t="shared" si="116"/>
        <v>4348.9383395027953</v>
      </c>
      <c r="M204" s="14">
        <f t="shared" si="116"/>
        <v>4391.4812754127961</v>
      </c>
      <c r="N204" s="187">
        <f t="shared" si="116"/>
        <v>4705.3013526427958</v>
      </c>
      <c r="O204" s="14">
        <f t="shared" si="116"/>
        <v>4766.5191696727961</v>
      </c>
      <c r="P204" s="14">
        <f t="shared" si="116"/>
        <v>4758.681939852795</v>
      </c>
      <c r="Q204" s="14">
        <f t="shared" si="116"/>
        <v>4760.5576333427962</v>
      </c>
      <c r="R204" s="14">
        <f t="shared" si="116"/>
        <v>4845.4856643727962</v>
      </c>
      <c r="S204" s="14">
        <f t="shared" si="116"/>
        <v>4849.3363915227956</v>
      </c>
      <c r="T204" s="14">
        <f t="shared" si="116"/>
        <v>4851.1807509727951</v>
      </c>
      <c r="U204" s="14">
        <f t="shared" si="116"/>
        <v>4872.7214209027952</v>
      </c>
      <c r="V204" s="14">
        <f t="shared" si="116"/>
        <v>4873.0275817727952</v>
      </c>
      <c r="W204" s="14">
        <f t="shared" si="116"/>
        <v>4881.7140868927954</v>
      </c>
      <c r="X204" s="187">
        <f t="shared" si="116"/>
        <v>4975.1762626127947</v>
      </c>
      <c r="Y204" s="158">
        <f t="shared" si="116"/>
        <v>5038.2901094027948</v>
      </c>
      <c r="Z204" s="158">
        <f t="shared" si="116"/>
        <v>5066.7160732427947</v>
      </c>
      <c r="AA204" s="158">
        <f t="shared" si="116"/>
        <v>5069.1256882027956</v>
      </c>
      <c r="AB204" s="158">
        <f t="shared" si="116"/>
        <v>5074.6535525727959</v>
      </c>
      <c r="AC204" s="158">
        <f t="shared" si="116"/>
        <v>5085.6682443527952</v>
      </c>
      <c r="AD204" s="158">
        <f t="shared" si="116"/>
        <v>5086.3042910127951</v>
      </c>
      <c r="AE204" s="158">
        <f t="shared" si="116"/>
        <v>5092.0217611327953</v>
      </c>
      <c r="AF204" s="158">
        <f t="shared" si="116"/>
        <v>5093.9130984627955</v>
      </c>
      <c r="AG204" s="158">
        <f t="shared" si="116"/>
        <v>5122.2789071627958</v>
      </c>
      <c r="AH204" s="187">
        <f t="shared" si="116"/>
        <v>5209.9366244927951</v>
      </c>
    </row>
    <row r="205" spans="1:34">
      <c r="A205" s="1"/>
      <c r="C205" s="330"/>
      <c r="D205" s="330"/>
      <c r="E205" s="330"/>
      <c r="F205" s="330"/>
      <c r="G205" s="330"/>
      <c r="H205" s="401"/>
      <c r="I205" s="14"/>
      <c r="J205" s="14"/>
      <c r="K205" s="14"/>
      <c r="L205" s="14"/>
      <c r="M205" s="14"/>
      <c r="N205" s="187"/>
      <c r="O205" s="14"/>
      <c r="P205" s="14"/>
      <c r="Q205" s="14"/>
      <c r="R205" s="14"/>
      <c r="S205" s="14"/>
      <c r="T205" s="14"/>
      <c r="U205" s="14"/>
      <c r="V205" s="14"/>
      <c r="W205" s="14"/>
      <c r="X205" s="187"/>
    </row>
    <row r="206" spans="1:34">
      <c r="A206" s="1" t="s">
        <v>453</v>
      </c>
      <c r="C206" s="330"/>
      <c r="D206" s="330">
        <f>D194</f>
        <v>315.31012999999996</v>
      </c>
      <c r="E206" s="330">
        <f>D206+E194</f>
        <v>641.42709481635291</v>
      </c>
      <c r="F206" s="330">
        <f>E206+F194</f>
        <v>1161.7431487949448</v>
      </c>
      <c r="G206" s="330">
        <f>F206+G194</f>
        <v>1987.956705904372</v>
      </c>
      <c r="H206" s="401">
        <f t="shared" ref="H206:X206" si="117">G206+H194</f>
        <v>2855.9526728971678</v>
      </c>
      <c r="I206" s="14">
        <f t="shared" si="117"/>
        <v>3762.7372257699635</v>
      </c>
      <c r="J206" s="14">
        <f t="shared" si="117"/>
        <v>4687.5737626227592</v>
      </c>
      <c r="K206" s="14">
        <f t="shared" si="117"/>
        <v>5630.0299038755547</v>
      </c>
      <c r="L206" s="14">
        <f t="shared" si="117"/>
        <v>6572.2515233783506</v>
      </c>
      <c r="M206" s="14">
        <f t="shared" si="117"/>
        <v>7557.0158080411466</v>
      </c>
      <c r="N206" s="187">
        <f t="shared" si="117"/>
        <v>8855.6001699339431</v>
      </c>
      <c r="O206" s="14">
        <f t="shared" si="117"/>
        <v>10181.875376356738</v>
      </c>
      <c r="P206" s="14">
        <f t="shared" si="117"/>
        <v>11500.313446059534</v>
      </c>
      <c r="Q206" s="14">
        <f t="shared" si="117"/>
        <v>12820.627116152329</v>
      </c>
      <c r="R206" s="14">
        <f t="shared" si="117"/>
        <v>14225.868817275124</v>
      </c>
      <c r="S206" s="14">
        <f t="shared" si="117"/>
        <v>15634.961516297921</v>
      </c>
      <c r="T206" s="14">
        <f t="shared" si="117"/>
        <v>17045.898304020717</v>
      </c>
      <c r="U206" s="14">
        <f t="shared" si="117"/>
        <v>18459.461437423513</v>
      </c>
      <c r="V206" s="14">
        <f t="shared" si="117"/>
        <v>19873.330731696311</v>
      </c>
      <c r="W206" s="14">
        <f t="shared" si="117"/>
        <v>21295.886531089105</v>
      </c>
      <c r="X206" s="187">
        <f t="shared" si="117"/>
        <v>22811.904506201899</v>
      </c>
      <c r="Y206" s="158">
        <f t="shared" ref="Y206:AH206" si="118">X206+Y194</f>
        <v>24391.036328104696</v>
      </c>
      <c r="Z206" s="158">
        <f t="shared" si="118"/>
        <v>25998.594113847492</v>
      </c>
      <c r="AA206" s="158">
        <f t="shared" si="118"/>
        <v>27608.559890050288</v>
      </c>
      <c r="AB206" s="158">
        <f t="shared" si="118"/>
        <v>29224.053259873082</v>
      </c>
      <c r="AC206" s="158">
        <f t="shared" si="118"/>
        <v>30850.561592225877</v>
      </c>
      <c r="AD206" s="158">
        <f t="shared" si="118"/>
        <v>32477.707595738673</v>
      </c>
      <c r="AE206" s="158">
        <f t="shared" si="118"/>
        <v>34110.571069371472</v>
      </c>
      <c r="AF206" s="158">
        <f t="shared" si="118"/>
        <v>35745.324526584271</v>
      </c>
      <c r="AG206" s="158">
        <f t="shared" si="118"/>
        <v>37408.443521747067</v>
      </c>
      <c r="AH206" s="187">
        <f t="shared" si="118"/>
        <v>39159.22185873986</v>
      </c>
    </row>
    <row r="207" spans="1:34">
      <c r="A207" s="1" t="s">
        <v>456</v>
      </c>
      <c r="C207" s="330"/>
      <c r="D207" s="330">
        <f>D200</f>
        <v>16665.032999999999</v>
      </c>
      <c r="E207" s="330">
        <f>D207+E200</f>
        <v>33946.127347550006</v>
      </c>
      <c r="F207" s="330">
        <f>E207+F200</f>
        <v>50230.378210650008</v>
      </c>
      <c r="G207" s="330">
        <f t="shared" ref="G207:X207" si="119">F207+G200</f>
        <v>66508.414709550008</v>
      </c>
      <c r="H207" s="401">
        <f t="shared" si="119"/>
        <v>83009.352519500011</v>
      </c>
      <c r="I207" s="14">
        <f t="shared" si="119"/>
        <v>100027.79048515001</v>
      </c>
      <c r="J207" s="14">
        <f t="shared" si="119"/>
        <v>116140.35188195002</v>
      </c>
      <c r="K207" s="14">
        <f t="shared" si="119"/>
        <v>132508.90304135001</v>
      </c>
      <c r="L207" s="14">
        <f t="shared" si="119"/>
        <v>149303.82746180001</v>
      </c>
      <c r="M207" s="14">
        <f t="shared" si="119"/>
        <v>166127.36643800003</v>
      </c>
      <c r="N207" s="187">
        <f t="shared" si="119"/>
        <v>182784.65000015002</v>
      </c>
      <c r="O207" s="14">
        <f t="shared" si="119"/>
        <v>199631.48614365002</v>
      </c>
      <c r="P207" s="14">
        <f t="shared" si="119"/>
        <v>216725.38428035003</v>
      </c>
      <c r="Q207" s="14">
        <f t="shared" si="119"/>
        <v>233718.04991260002</v>
      </c>
      <c r="R207" s="14">
        <f t="shared" si="119"/>
        <v>250945.72206275002</v>
      </c>
      <c r="S207" s="14">
        <f t="shared" si="119"/>
        <v>268329.76001865003</v>
      </c>
      <c r="T207" s="14">
        <f t="shared" si="119"/>
        <v>285833.38519340003</v>
      </c>
      <c r="U207" s="14">
        <f t="shared" si="119"/>
        <v>303462.27639915003</v>
      </c>
      <c r="V207" s="14">
        <f t="shared" si="119"/>
        <v>321250.66472180001</v>
      </c>
      <c r="W207" s="14">
        <f t="shared" si="119"/>
        <v>339363.47610550001</v>
      </c>
      <c r="X207" s="187">
        <f t="shared" si="119"/>
        <v>357516.08039950003</v>
      </c>
      <c r="Y207" s="158">
        <f t="shared" ref="Y207:AH207" si="120">X207+Y200</f>
        <v>375710.67787220003</v>
      </c>
      <c r="Z207" s="158">
        <f t="shared" si="120"/>
        <v>393825.14316695003</v>
      </c>
      <c r="AA207" s="158">
        <f t="shared" si="120"/>
        <v>412011.16354090004</v>
      </c>
      <c r="AB207" s="158">
        <f t="shared" si="120"/>
        <v>430257.54598860006</v>
      </c>
      <c r="AC207" s="158">
        <f t="shared" si="120"/>
        <v>448535.33233740006</v>
      </c>
      <c r="AD207" s="158">
        <f t="shared" si="120"/>
        <v>466825.87504300009</v>
      </c>
      <c r="AE207" s="158">
        <f t="shared" si="120"/>
        <v>485125.70784040011</v>
      </c>
      <c r="AF207" s="158">
        <f t="shared" si="120"/>
        <v>503395.08784345014</v>
      </c>
      <c r="AG207" s="158">
        <f t="shared" si="120"/>
        <v>521711.89732420014</v>
      </c>
      <c r="AH207" s="187">
        <f t="shared" si="120"/>
        <v>540213.71283165016</v>
      </c>
    </row>
    <row r="208" spans="1:34">
      <c r="A208" s="1"/>
      <c r="C208" s="330"/>
      <c r="D208" s="330"/>
      <c r="E208" s="330"/>
      <c r="F208" s="330"/>
      <c r="G208" s="330"/>
      <c r="H208" s="401"/>
      <c r="I208" s="14"/>
      <c r="J208" s="14"/>
      <c r="K208" s="14"/>
      <c r="L208" s="14"/>
      <c r="M208" s="14"/>
      <c r="N208" s="187"/>
      <c r="O208" s="14"/>
      <c r="P208" s="14"/>
      <c r="Q208" s="14"/>
      <c r="R208" s="14"/>
      <c r="S208" s="14"/>
      <c r="T208" s="14"/>
      <c r="U208" s="14"/>
      <c r="V208" s="14"/>
      <c r="W208" s="14"/>
      <c r="X208" s="187"/>
    </row>
    <row r="209" spans="1:34">
      <c r="A209" s="1" t="s">
        <v>412</v>
      </c>
      <c r="C209" s="330"/>
      <c r="D209" s="330"/>
      <c r="E209" s="330"/>
      <c r="F209" s="330"/>
      <c r="G209" s="330"/>
      <c r="H209" s="401"/>
      <c r="I209" s="14"/>
      <c r="J209" s="14"/>
      <c r="K209" s="14"/>
      <c r="L209" s="14"/>
      <c r="M209" s="14"/>
      <c r="N209" s="187"/>
      <c r="O209" s="14"/>
      <c r="P209" s="14"/>
      <c r="Q209" s="14"/>
      <c r="R209" s="14"/>
      <c r="S209" s="14"/>
      <c r="T209" s="14"/>
      <c r="U209" s="14"/>
      <c r="V209" s="14"/>
      <c r="W209" s="14"/>
      <c r="X209" s="187"/>
    </row>
    <row r="210" spans="1:34" s="1" customFormat="1">
      <c r="A210" s="1" t="s">
        <v>409</v>
      </c>
      <c r="B210" s="13"/>
      <c r="C210" s="340">
        <f>SUM(C211:C212)</f>
        <v>0</v>
      </c>
      <c r="D210" s="340">
        <f t="shared" ref="D210:AH210" si="121">SUM(D211:D212)</f>
        <v>0</v>
      </c>
      <c r="E210" s="340">
        <f t="shared" si="121"/>
        <v>0</v>
      </c>
      <c r="F210" s="340">
        <f t="shared" si="121"/>
        <v>0</v>
      </c>
      <c r="G210" s="340">
        <f t="shared" si="121"/>
        <v>0</v>
      </c>
      <c r="H210" s="404">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410</v>
      </c>
      <c r="C211" s="330">
        <f>C100</f>
        <v>0</v>
      </c>
      <c r="D211" s="330">
        <f t="shared" ref="D211:AH211" si="122">D100</f>
        <v>0</v>
      </c>
      <c r="E211" s="330">
        <f t="shared" si="122"/>
        <v>0</v>
      </c>
      <c r="F211" s="330">
        <f t="shared" si="122"/>
        <v>0</v>
      </c>
      <c r="G211" s="330">
        <f t="shared" si="122"/>
        <v>0</v>
      </c>
      <c r="H211" s="401">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411</v>
      </c>
      <c r="C212" s="330">
        <f>C127</f>
        <v>0</v>
      </c>
      <c r="D212" s="330">
        <f t="shared" ref="D212:AH212" si="123">D127</f>
        <v>0</v>
      </c>
      <c r="E212" s="330">
        <f t="shared" si="123"/>
        <v>0</v>
      </c>
      <c r="F212" s="330">
        <f t="shared" si="123"/>
        <v>0</v>
      </c>
      <c r="G212" s="330">
        <f t="shared" si="123"/>
        <v>0</v>
      </c>
      <c r="H212" s="401">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397</v>
      </c>
      <c r="B213" s="13"/>
      <c r="C213" s="340">
        <f>SUM(C214:C215)</f>
        <v>176.22986000000003</v>
      </c>
      <c r="D213" s="340">
        <f t="shared" ref="D213:AH213" si="124">SUM(D214:D215)</f>
        <v>316.82946156570563</v>
      </c>
      <c r="E213" s="340">
        <f t="shared" si="124"/>
        <v>341.95348272295934</v>
      </c>
      <c r="F213" s="340">
        <f t="shared" si="124"/>
        <v>538.56401553137493</v>
      </c>
      <c r="G213" s="340">
        <f t="shared" si="124"/>
        <v>840.05609004190956</v>
      </c>
      <c r="H213" s="404">
        <f t="shared" si="124"/>
        <v>867.99569699279573</v>
      </c>
      <c r="I213" s="15">
        <f t="shared" si="124"/>
        <v>951.28653060419992</v>
      </c>
      <c r="J213" s="15">
        <f t="shared" si="124"/>
        <v>970.34369008709291</v>
      </c>
      <c r="K213" s="15">
        <f t="shared" si="124"/>
        <v>1070.7598656638297</v>
      </c>
      <c r="L213" s="15">
        <f t="shared" si="124"/>
        <v>1205.9392171045151</v>
      </c>
      <c r="M213" s="15">
        <f t="shared" si="124"/>
        <v>1376.650298909623</v>
      </c>
      <c r="N213" s="190">
        <f t="shared" si="124"/>
        <v>1643.7714502362287</v>
      </c>
      <c r="O213" s="15">
        <f t="shared" si="124"/>
        <v>1693.0858865465598</v>
      </c>
      <c r="P213" s="15">
        <f t="shared" si="124"/>
        <v>1744.8545661393503</v>
      </c>
      <c r="Q213" s="15">
        <f t="shared" si="124"/>
        <v>1768.2998363328502</v>
      </c>
      <c r="R213" s="15">
        <f t="shared" si="124"/>
        <v>1825.468485361182</v>
      </c>
      <c r="S213" s="15">
        <f t="shared" si="124"/>
        <v>1873.2591081339397</v>
      </c>
      <c r="T213" s="15">
        <f t="shared" si="124"/>
        <v>1918.7270082422945</v>
      </c>
      <c r="U213" s="15">
        <f t="shared" si="124"/>
        <v>1967.1170856168612</v>
      </c>
      <c r="V213" s="15">
        <f t="shared" si="124"/>
        <v>2018.439668014466</v>
      </c>
      <c r="W213" s="15">
        <f t="shared" si="124"/>
        <v>2087.3156360912662</v>
      </c>
      <c r="X213" s="190">
        <f t="shared" si="124"/>
        <v>2134.4588957597834</v>
      </c>
      <c r="Y213" s="130">
        <f t="shared" si="124"/>
        <v>2194.0636568144109</v>
      </c>
      <c r="Z213" s="130">
        <f t="shared" si="124"/>
        <v>2235.5713758088923</v>
      </c>
      <c r="AA213" s="130">
        <f t="shared" si="124"/>
        <v>2264.659603317753</v>
      </c>
      <c r="AB213" s="130">
        <f t="shared" si="124"/>
        <v>2293.6872581322518</v>
      </c>
      <c r="AC213" s="130">
        <f t="shared" si="124"/>
        <v>2328.5654713651656</v>
      </c>
      <c r="AD213" s="130">
        <f t="shared" si="124"/>
        <v>2362.7010050566505</v>
      </c>
      <c r="AE213" s="130">
        <f t="shared" si="124"/>
        <v>2400.8309320332878</v>
      </c>
      <c r="AF213" s="130">
        <f t="shared" si="124"/>
        <v>2434.9102286540538</v>
      </c>
      <c r="AG213" s="130">
        <f t="shared" si="124"/>
        <v>2480.1635661896671</v>
      </c>
      <c r="AH213" s="190">
        <f t="shared" si="124"/>
        <v>2546.4384051942661</v>
      </c>
    </row>
    <row r="214" spans="1:34">
      <c r="A214" t="s">
        <v>398</v>
      </c>
      <c r="C214" s="330">
        <f>C115</f>
        <v>92.752700000000019</v>
      </c>
      <c r="D214" s="330">
        <f t="shared" ref="D214:AH214" si="125">D115</f>
        <v>166.75250117378295</v>
      </c>
      <c r="E214" s="330">
        <f t="shared" si="125"/>
        <v>179.97567990459885</v>
      </c>
      <c r="F214" s="330">
        <f t="shared" si="125"/>
        <v>283.45490697111319</v>
      </c>
      <c r="G214" s="330">
        <f t="shared" si="125"/>
        <v>442.1349528807616</v>
      </c>
      <c r="H214" s="401">
        <f t="shared" si="125"/>
        <v>456.83998262778721</v>
      </c>
      <c r="I214" s="14">
        <f t="shared" si="125"/>
        <v>500.67727353000669</v>
      </c>
      <c r="J214" s="14">
        <f t="shared" si="125"/>
        <v>510.7073558063309</v>
      </c>
      <c r="K214" s="14">
        <f t="shared" si="125"/>
        <v>563.557983035863</v>
      </c>
      <c r="L214" s="14">
        <f t="shared" si="125"/>
        <v>634.70501904122784</v>
      </c>
      <c r="M214" s="14">
        <f t="shared" si="125"/>
        <v>724.55296293283959</v>
      </c>
      <c r="N214" s="182">
        <f t="shared" si="125"/>
        <v>865.14304842481977</v>
      </c>
      <c r="O214" s="14">
        <f t="shared" si="125"/>
        <v>891.09802030046603</v>
      </c>
      <c r="P214" s="14">
        <f t="shared" si="125"/>
        <v>918.34469943545048</v>
      </c>
      <c r="Q214" s="14">
        <f t="shared" si="125"/>
        <v>930.6843178924039</v>
      </c>
      <c r="R214" s="14">
        <f t="shared" si="125"/>
        <v>960.77308679491273</v>
      </c>
      <c r="S214" s="14">
        <f t="shared" si="125"/>
        <v>985.92605137876785</v>
      </c>
      <c r="T214" s="14">
        <f t="shared" si="125"/>
        <v>1009.8565300956018</v>
      </c>
      <c r="U214" s="14">
        <f t="shared" si="125"/>
        <v>1035.3249971670607</v>
      </c>
      <c r="V214" s="14">
        <f t="shared" si="125"/>
        <v>1062.336888255762</v>
      </c>
      <c r="W214" s="14">
        <f t="shared" si="125"/>
        <v>1098.5874053070286</v>
      </c>
      <c r="X214" s="187">
        <f t="shared" si="125"/>
        <v>1123.3996523967578</v>
      </c>
      <c r="Y214" s="158">
        <f t="shared" si="125"/>
        <v>1154.7705837200749</v>
      </c>
      <c r="Z214" s="158">
        <f t="shared" si="125"/>
        <v>1176.6167545956678</v>
      </c>
      <c r="AA214" s="158">
        <f t="shared" si="125"/>
        <v>1191.9263525857657</v>
      </c>
      <c r="AB214" s="158">
        <f t="shared" si="125"/>
        <v>1207.2040701915578</v>
      </c>
      <c r="AC214" s="158">
        <f t="shared" si="125"/>
        <v>1225.5610288473072</v>
      </c>
      <c r="AD214" s="158">
        <f t="shared" si="125"/>
        <v>1243.5271033192234</v>
      </c>
      <c r="AE214" s="158">
        <f t="shared" si="125"/>
        <v>1263.5954901110995</v>
      </c>
      <c r="AF214" s="158">
        <f t="shared" si="125"/>
        <v>1281.5319657460948</v>
      </c>
      <c r="AG214" s="158">
        <f t="shared" si="125"/>
        <v>1305.3495167695851</v>
      </c>
      <c r="AH214" s="187">
        <f t="shared" si="125"/>
        <v>1340.2310182350491</v>
      </c>
    </row>
    <row r="215" spans="1:34">
      <c r="A215" t="s">
        <v>399</v>
      </c>
      <c r="C215" s="330">
        <f>C142</f>
        <v>83.477160000000012</v>
      </c>
      <c r="D215" s="330">
        <f t="shared" ref="D215:AH215" si="126">D142</f>
        <v>150.07696039192265</v>
      </c>
      <c r="E215" s="330">
        <f t="shared" si="126"/>
        <v>161.97780281836049</v>
      </c>
      <c r="F215" s="330">
        <f t="shared" si="126"/>
        <v>255.1091085602618</v>
      </c>
      <c r="G215" s="330">
        <f t="shared" si="126"/>
        <v>397.92113716114801</v>
      </c>
      <c r="H215" s="401">
        <f t="shared" si="126"/>
        <v>411.15571436500846</v>
      </c>
      <c r="I215" s="14">
        <f t="shared" si="126"/>
        <v>450.60925707419324</v>
      </c>
      <c r="J215" s="14">
        <f t="shared" si="126"/>
        <v>459.63633428076196</v>
      </c>
      <c r="K215" s="14">
        <f t="shared" si="126"/>
        <v>507.20188262796677</v>
      </c>
      <c r="L215" s="14">
        <f t="shared" si="126"/>
        <v>571.23419806328741</v>
      </c>
      <c r="M215" s="14">
        <f t="shared" si="126"/>
        <v>652.09733597678326</v>
      </c>
      <c r="N215" s="182">
        <f t="shared" si="126"/>
        <v>778.62840181140882</v>
      </c>
      <c r="O215" s="14">
        <f t="shared" si="126"/>
        <v>801.98786624609363</v>
      </c>
      <c r="P215" s="14">
        <f t="shared" si="126"/>
        <v>826.50986670389977</v>
      </c>
      <c r="Q215" s="14">
        <f t="shared" si="126"/>
        <v>837.61551844044618</v>
      </c>
      <c r="R215" s="14">
        <f t="shared" si="126"/>
        <v>864.69539856626932</v>
      </c>
      <c r="S215" s="14">
        <f t="shared" si="126"/>
        <v>887.33305675517181</v>
      </c>
      <c r="T215" s="14">
        <f t="shared" si="126"/>
        <v>908.87047814669268</v>
      </c>
      <c r="U215" s="14">
        <f t="shared" si="126"/>
        <v>931.79208844980053</v>
      </c>
      <c r="V215" s="14">
        <f t="shared" si="126"/>
        <v>956.10277975870383</v>
      </c>
      <c r="W215" s="14">
        <f t="shared" si="126"/>
        <v>988.72823078423767</v>
      </c>
      <c r="X215" s="187">
        <f t="shared" si="126"/>
        <v>1011.0592433630255</v>
      </c>
      <c r="Y215" s="158">
        <f t="shared" si="126"/>
        <v>1039.2930730943363</v>
      </c>
      <c r="Z215" s="158">
        <f t="shared" si="126"/>
        <v>1058.9546212132243</v>
      </c>
      <c r="AA215" s="158">
        <f t="shared" si="126"/>
        <v>1072.733250731987</v>
      </c>
      <c r="AB215" s="158">
        <f t="shared" si="126"/>
        <v>1086.4831879406941</v>
      </c>
      <c r="AC215" s="158">
        <f t="shared" si="126"/>
        <v>1103.0044425178587</v>
      </c>
      <c r="AD215" s="158">
        <f t="shared" si="126"/>
        <v>1119.1739017374273</v>
      </c>
      <c r="AE215" s="158">
        <f t="shared" si="126"/>
        <v>1137.2354419221883</v>
      </c>
      <c r="AF215" s="158">
        <f t="shared" si="126"/>
        <v>1153.378262907959</v>
      </c>
      <c r="AG215" s="158">
        <f t="shared" si="126"/>
        <v>1174.814049420082</v>
      </c>
      <c r="AH215" s="187">
        <f t="shared" si="126"/>
        <v>1206.207386959217</v>
      </c>
    </row>
    <row r="216" spans="1:34">
      <c r="A216" t="s">
        <v>400</v>
      </c>
      <c r="C216" s="330">
        <f>SUM(C217:C218)</f>
        <v>3243.5441500000006</v>
      </c>
      <c r="D216" s="330">
        <f t="shared" ref="D216:AH216" si="127">SUM(D217:D218)</f>
        <v>3365.1740327271864</v>
      </c>
      <c r="E216" s="330">
        <f t="shared" si="127"/>
        <v>3448.7512383082412</v>
      </c>
      <c r="F216" s="330">
        <f t="shared" si="127"/>
        <v>3308.7395956512973</v>
      </c>
      <c r="G216" s="330">
        <f t="shared" si="127"/>
        <v>3320.4082182902039</v>
      </c>
      <c r="H216" s="401">
        <f t="shared" si="127"/>
        <v>2952.3240364000003</v>
      </c>
      <c r="I216" s="14">
        <f t="shared" si="127"/>
        <v>3115.310866701353</v>
      </c>
      <c r="J216" s="14">
        <f t="shared" si="127"/>
        <v>3035.5271672305689</v>
      </c>
      <c r="K216" s="14">
        <f t="shared" si="127"/>
        <v>3158.4232215149113</v>
      </c>
      <c r="L216" s="14">
        <f t="shared" si="127"/>
        <v>3284.2049538085971</v>
      </c>
      <c r="M216" s="14">
        <f t="shared" si="127"/>
        <v>3349.7989890508106</v>
      </c>
      <c r="N216" s="190">
        <f t="shared" si="127"/>
        <v>3406.7169907500002</v>
      </c>
      <c r="O216" s="14">
        <f t="shared" si="127"/>
        <v>3424.0373451335217</v>
      </c>
      <c r="P216" s="14">
        <f t="shared" si="127"/>
        <v>3443.2337980892116</v>
      </c>
      <c r="Q216" s="14">
        <f t="shared" si="127"/>
        <v>3404.8159318488733</v>
      </c>
      <c r="R216" s="14">
        <f t="shared" si="127"/>
        <v>3429.4540030590547</v>
      </c>
      <c r="S216" s="15">
        <f t="shared" si="127"/>
        <v>3433.5520766442287</v>
      </c>
      <c r="T216" s="14">
        <f t="shared" si="127"/>
        <v>3431.1216857079307</v>
      </c>
      <c r="U216" s="14">
        <f t="shared" si="127"/>
        <v>3431.7216725147437</v>
      </c>
      <c r="V216" s="14">
        <f t="shared" si="127"/>
        <v>3435.0895635646289</v>
      </c>
      <c r="W216" s="14">
        <f t="shared" si="127"/>
        <v>3465.2306819334399</v>
      </c>
      <c r="X216" s="187">
        <f t="shared" si="127"/>
        <v>3456.4843258607034</v>
      </c>
      <c r="Y216" s="158">
        <f t="shared" si="127"/>
        <v>3686.7285742126764</v>
      </c>
      <c r="Z216" s="158">
        <f t="shared" si="127"/>
        <v>3893.4334908276874</v>
      </c>
      <c r="AA216" s="158">
        <f t="shared" si="127"/>
        <v>4124.8058880824801</v>
      </c>
      <c r="AB216" s="158">
        <f t="shared" si="127"/>
        <v>4355.8518930033879</v>
      </c>
      <c r="AC216" s="158">
        <f t="shared" si="127"/>
        <v>4582.6864976912548</v>
      </c>
      <c r="AD216" s="158">
        <f t="shared" si="127"/>
        <v>4804.9114082013384</v>
      </c>
      <c r="AE216" s="158">
        <f t="shared" si="127"/>
        <v>5027.3691462913021</v>
      </c>
      <c r="AF216" s="158">
        <f t="shared" si="127"/>
        <v>5240.0482847075828</v>
      </c>
      <c r="AG216" s="158">
        <f t="shared" si="127"/>
        <v>5475.7598013572224</v>
      </c>
      <c r="AH216" s="187">
        <f t="shared" si="127"/>
        <v>5758.4759851110957</v>
      </c>
    </row>
    <row r="217" spans="1:34">
      <c r="A217" t="s">
        <v>401</v>
      </c>
      <c r="C217" s="330">
        <f>C114</f>
        <v>1707.1285000000003</v>
      </c>
      <c r="D217" s="330">
        <f t="shared" ref="D217:AH217" si="128">D114</f>
        <v>1771.1442277511505</v>
      </c>
      <c r="E217" s="330">
        <f t="shared" si="128"/>
        <v>1815.1322306885479</v>
      </c>
      <c r="F217" s="330">
        <f t="shared" si="128"/>
        <v>1741.4418924480512</v>
      </c>
      <c r="G217" s="330">
        <f t="shared" si="128"/>
        <v>1747.5832727843178</v>
      </c>
      <c r="H217" s="401">
        <f t="shared" si="128"/>
        <v>1553.854756</v>
      </c>
      <c r="I217" s="14">
        <f t="shared" si="128"/>
        <v>1639.63729826387</v>
      </c>
      <c r="J217" s="14">
        <f t="shared" si="128"/>
        <v>1597.6458774897731</v>
      </c>
      <c r="K217" s="14">
        <f t="shared" si="128"/>
        <v>1662.3280113236376</v>
      </c>
      <c r="L217" s="14">
        <f t="shared" si="128"/>
        <v>1728.5289230571564</v>
      </c>
      <c r="M217" s="14">
        <f t="shared" si="128"/>
        <v>1763.0520995004267</v>
      </c>
      <c r="N217" s="187">
        <f t="shared" si="128"/>
        <v>1793.0089424999999</v>
      </c>
      <c r="O217" s="14">
        <f t="shared" si="128"/>
        <v>1802.1249184913272</v>
      </c>
      <c r="P217" s="14">
        <f t="shared" si="128"/>
        <v>1812.2283147837957</v>
      </c>
      <c r="Q217" s="14">
        <f t="shared" si="128"/>
        <v>1792.0083851836175</v>
      </c>
      <c r="R217" s="14">
        <f t="shared" si="128"/>
        <v>1804.9757910837129</v>
      </c>
      <c r="S217" s="14">
        <f t="shared" si="128"/>
        <v>1807.1326719180151</v>
      </c>
      <c r="T217" s="14">
        <f t="shared" si="128"/>
        <v>1805.8535187936477</v>
      </c>
      <c r="U217" s="14">
        <f t="shared" si="128"/>
        <v>1806.1693013235492</v>
      </c>
      <c r="V217" s="14">
        <f t="shared" si="128"/>
        <v>1807.941875560331</v>
      </c>
      <c r="W217" s="14">
        <f t="shared" si="128"/>
        <v>1823.8056220702315</v>
      </c>
      <c r="X217" s="187">
        <f t="shared" si="128"/>
        <v>1819.2022767687911</v>
      </c>
      <c r="Y217" s="158">
        <f t="shared" si="128"/>
        <v>1940.3834601119349</v>
      </c>
      <c r="Z217" s="158">
        <f t="shared" si="128"/>
        <v>2049.1755214882564</v>
      </c>
      <c r="AA217" s="158">
        <f t="shared" si="128"/>
        <v>2170.9504674118316</v>
      </c>
      <c r="AB217" s="158">
        <f t="shared" si="128"/>
        <v>2292.5536278965196</v>
      </c>
      <c r="AC217" s="158">
        <f t="shared" si="128"/>
        <v>2411.9402619427656</v>
      </c>
      <c r="AD217" s="158">
        <f t="shared" si="128"/>
        <v>2528.900741158599</v>
      </c>
      <c r="AE217" s="158">
        <f t="shared" si="128"/>
        <v>2645.9837612059482</v>
      </c>
      <c r="AF217" s="158">
        <f t="shared" si="128"/>
        <v>2757.9201498460961</v>
      </c>
      <c r="AG217" s="158">
        <f t="shared" si="128"/>
        <v>2881.9788428195902</v>
      </c>
      <c r="AH217" s="187">
        <f t="shared" si="128"/>
        <v>3030.7768342689978</v>
      </c>
    </row>
    <row r="218" spans="1:34">
      <c r="A218" t="s">
        <v>402</v>
      </c>
      <c r="C218" s="330">
        <f>C141</f>
        <v>1536.4156500000001</v>
      </c>
      <c r="D218" s="330">
        <f t="shared" ref="D218:AH218" si="129">D141</f>
        <v>1594.0298049760356</v>
      </c>
      <c r="E218" s="330">
        <f t="shared" si="129"/>
        <v>1633.6190076196931</v>
      </c>
      <c r="F218" s="330">
        <f t="shared" si="129"/>
        <v>1567.2977032032461</v>
      </c>
      <c r="G218" s="330">
        <f t="shared" si="129"/>
        <v>1572.824945505886</v>
      </c>
      <c r="H218" s="401">
        <f t="shared" si="129"/>
        <v>1398.4692804000001</v>
      </c>
      <c r="I218" s="14">
        <f t="shared" si="129"/>
        <v>1475.673568437483</v>
      </c>
      <c r="J218" s="14">
        <f t="shared" si="129"/>
        <v>1437.8812897407959</v>
      </c>
      <c r="K218" s="14">
        <f t="shared" si="129"/>
        <v>1496.095210191274</v>
      </c>
      <c r="L218" s="14">
        <f t="shared" si="129"/>
        <v>1555.6760307514407</v>
      </c>
      <c r="M218" s="14">
        <f t="shared" si="129"/>
        <v>1586.7468895503841</v>
      </c>
      <c r="N218" s="187">
        <f t="shared" si="129"/>
        <v>1613.70804825</v>
      </c>
      <c r="O218" s="14">
        <f t="shared" si="129"/>
        <v>1621.9124266421945</v>
      </c>
      <c r="P218" s="14">
        <f t="shared" si="129"/>
        <v>1631.0054833054162</v>
      </c>
      <c r="Q218" s="14">
        <f t="shared" si="129"/>
        <v>1612.8075466652558</v>
      </c>
      <c r="R218" s="14">
        <f t="shared" si="129"/>
        <v>1624.4782119753418</v>
      </c>
      <c r="S218" s="14">
        <f t="shared" si="129"/>
        <v>1626.4194047262138</v>
      </c>
      <c r="T218" s="14">
        <f t="shared" si="129"/>
        <v>1625.268166914283</v>
      </c>
      <c r="U218" s="14">
        <f t="shared" si="129"/>
        <v>1625.5523711911944</v>
      </c>
      <c r="V218" s="14">
        <f t="shared" si="129"/>
        <v>1627.1476880042978</v>
      </c>
      <c r="W218" s="14">
        <f t="shared" si="129"/>
        <v>1641.4250598632084</v>
      </c>
      <c r="X218" s="187">
        <f t="shared" si="129"/>
        <v>1637.2820490919121</v>
      </c>
      <c r="Y218" s="158">
        <f t="shared" si="129"/>
        <v>1746.3451141007415</v>
      </c>
      <c r="Z218" s="158">
        <f t="shared" si="129"/>
        <v>1844.2579693394309</v>
      </c>
      <c r="AA218" s="158">
        <f t="shared" si="129"/>
        <v>1953.8554206706488</v>
      </c>
      <c r="AB218" s="158">
        <f t="shared" si="129"/>
        <v>2063.2982651068678</v>
      </c>
      <c r="AC218" s="158">
        <f t="shared" si="129"/>
        <v>2170.7462357484887</v>
      </c>
      <c r="AD218" s="158">
        <f t="shared" si="129"/>
        <v>2276.010667042739</v>
      </c>
      <c r="AE218" s="158">
        <f t="shared" si="129"/>
        <v>2381.3853850853538</v>
      </c>
      <c r="AF218" s="158">
        <f t="shared" si="129"/>
        <v>2482.1281348614866</v>
      </c>
      <c r="AG218" s="158">
        <f t="shared" si="129"/>
        <v>2593.7809585376317</v>
      </c>
      <c r="AH218" s="187">
        <f t="shared" si="129"/>
        <v>2727.6991508420979</v>
      </c>
    </row>
    <row r="219" spans="1:34" s="1" customFormat="1">
      <c r="A219" s="1" t="s">
        <v>394</v>
      </c>
      <c r="B219" s="13"/>
      <c r="C219" s="340">
        <f>SUM(C220:C221)</f>
        <v>15685.45</v>
      </c>
      <c r="D219" s="340">
        <f t="shared" ref="D219:AH219" si="130">SUM(D220:D221)</f>
        <v>16252.530539484662</v>
      </c>
      <c r="E219" s="340">
        <f t="shared" si="130"/>
        <v>16752.411954092029</v>
      </c>
      <c r="F219" s="340">
        <f t="shared" si="130"/>
        <v>16013.278377114924</v>
      </c>
      <c r="G219" s="340">
        <f t="shared" si="130"/>
        <v>15928.23954389838</v>
      </c>
      <c r="H219" s="404">
        <f t="shared" si="130"/>
        <v>16500.666109949998</v>
      </c>
      <c r="I219" s="15">
        <f t="shared" si="130"/>
        <v>17017.710957507716</v>
      </c>
      <c r="J219" s="15">
        <f t="shared" si="130"/>
        <v>16207.147603317369</v>
      </c>
      <c r="K219" s="15">
        <f t="shared" si="130"/>
        <v>16476.743291254177</v>
      </c>
      <c r="L219" s="15">
        <f t="shared" si="130"/>
        <v>16728.389639871817</v>
      </c>
      <c r="M219" s="15">
        <f t="shared" si="130"/>
        <v>16634.780593904074</v>
      </c>
      <c r="N219" s="190">
        <f t="shared" si="130"/>
        <v>16444.638641910555</v>
      </c>
      <c r="O219" s="15">
        <f t="shared" si="130"/>
        <v>16629.559968641479</v>
      </c>
      <c r="P219" s="15">
        <f t="shared" si="130"/>
        <v>16825.814065093466</v>
      </c>
      <c r="Q219" s="15">
        <f t="shared" si="130"/>
        <v>16740.703036648218</v>
      </c>
      <c r="R219" s="15">
        <f t="shared" si="130"/>
        <v>16965.992377814611</v>
      </c>
      <c r="S219" s="15">
        <f t="shared" si="130"/>
        <v>17091.781392240897</v>
      </c>
      <c r="T219" s="15">
        <f t="shared" si="130"/>
        <v>17186.192268580548</v>
      </c>
      <c r="U219" s="15">
        <f t="shared" si="130"/>
        <v>17296.578090763134</v>
      </c>
      <c r="V219" s="15">
        <f t="shared" si="130"/>
        <v>17422.129905367205</v>
      </c>
      <c r="W219" s="15">
        <f t="shared" si="130"/>
        <v>17685.474244123463</v>
      </c>
      <c r="X219" s="190">
        <f t="shared" si="130"/>
        <v>17752.195959858193</v>
      </c>
      <c r="Y219" s="130">
        <f t="shared" si="130"/>
        <v>17614.876033676461</v>
      </c>
      <c r="Z219" s="130">
        <f t="shared" si="130"/>
        <v>17366.339568464169</v>
      </c>
      <c r="AA219" s="130">
        <f t="shared" si="130"/>
        <v>17241.62976651745</v>
      </c>
      <c r="AB219" s="130">
        <f t="shared" si="130"/>
        <v>17108.035957995249</v>
      </c>
      <c r="AC219" s="130">
        <f t="shared" si="130"/>
        <v>16948.503060168008</v>
      </c>
      <c r="AD219" s="130">
        <f t="shared" si="130"/>
        <v>16768.590471290328</v>
      </c>
      <c r="AE219" s="130">
        <f t="shared" si="130"/>
        <v>16586.164081744897</v>
      </c>
      <c r="AF219" s="130">
        <f t="shared" si="130"/>
        <v>16371.80121417635</v>
      </c>
      <c r="AG219" s="130">
        <f t="shared" si="130"/>
        <v>16227.69285828741</v>
      </c>
      <c r="AH219" s="190">
        <f t="shared" si="130"/>
        <v>16210.929038767277</v>
      </c>
    </row>
    <row r="220" spans="1:34">
      <c r="A220" t="s">
        <v>403</v>
      </c>
      <c r="C220" s="330">
        <f>SUM(C116:C117)</f>
        <v>8255.5</v>
      </c>
      <c r="D220" s="330">
        <f t="shared" ref="D220:AH220" si="131">SUM(D116:D117)</f>
        <v>8553.963441834032</v>
      </c>
      <c r="E220" s="330">
        <f t="shared" si="131"/>
        <v>8817.0589232063321</v>
      </c>
      <c r="F220" s="330">
        <f t="shared" si="131"/>
        <v>8428.0412511131181</v>
      </c>
      <c r="G220" s="330">
        <f t="shared" si="131"/>
        <v>8383.2839704728322</v>
      </c>
      <c r="H220" s="401">
        <f t="shared" si="131"/>
        <v>8684.5611104999989</v>
      </c>
      <c r="I220" s="14">
        <f t="shared" si="131"/>
        <v>8956.6899776356404</v>
      </c>
      <c r="J220" s="14">
        <f t="shared" si="131"/>
        <v>8530.0776859565103</v>
      </c>
      <c r="K220" s="14">
        <f t="shared" si="131"/>
        <v>8671.9701532916715</v>
      </c>
      <c r="L220" s="14">
        <f t="shared" si="131"/>
        <v>8804.4155999325358</v>
      </c>
      <c r="M220" s="14">
        <f t="shared" si="131"/>
        <v>8755.1476810021431</v>
      </c>
      <c r="N220" s="187">
        <f t="shared" si="131"/>
        <v>8655.0729694266083</v>
      </c>
      <c r="O220" s="14">
        <f t="shared" si="131"/>
        <v>8752.3999834955157</v>
      </c>
      <c r="P220" s="14">
        <f t="shared" si="131"/>
        <v>8855.6916132070855</v>
      </c>
      <c r="Q220" s="14">
        <f t="shared" si="131"/>
        <v>8810.8963350780086</v>
      </c>
      <c r="R220" s="14">
        <f t="shared" si="131"/>
        <v>8929.4696725340054</v>
      </c>
      <c r="S220" s="14">
        <f t="shared" si="131"/>
        <v>8995.6744169688936</v>
      </c>
      <c r="T220" s="14">
        <f t="shared" si="131"/>
        <v>9045.3643518844983</v>
      </c>
      <c r="U220" s="14">
        <f t="shared" si="131"/>
        <v>9103.4621530332297</v>
      </c>
      <c r="V220" s="14">
        <f t="shared" si="131"/>
        <v>9169.5420554564244</v>
      </c>
      <c r="W220" s="14">
        <f t="shared" si="131"/>
        <v>9308.1443390123495</v>
      </c>
      <c r="X220" s="187">
        <f t="shared" si="131"/>
        <v>9343.2610315043112</v>
      </c>
      <c r="Y220" s="158">
        <f t="shared" si="131"/>
        <v>9270.9873861455071</v>
      </c>
      <c r="Z220" s="158">
        <f t="shared" si="131"/>
        <v>9140.1787202442993</v>
      </c>
      <c r="AA220" s="158">
        <f t="shared" si="131"/>
        <v>9074.5419823776065</v>
      </c>
      <c r="AB220" s="158">
        <f t="shared" si="131"/>
        <v>9004.2294515764461</v>
      </c>
      <c r="AC220" s="158">
        <f t="shared" si="131"/>
        <v>8920.264768509478</v>
      </c>
      <c r="AD220" s="158">
        <f t="shared" si="131"/>
        <v>8825.5739322580666</v>
      </c>
      <c r="AE220" s="158">
        <f t="shared" si="131"/>
        <v>8729.56004302363</v>
      </c>
      <c r="AF220" s="158">
        <f t="shared" si="131"/>
        <v>8616.7374811454483</v>
      </c>
      <c r="AG220" s="158">
        <f t="shared" si="131"/>
        <v>8540.8909780460053</v>
      </c>
      <c r="AH220" s="187">
        <f t="shared" si="131"/>
        <v>8532.067915140673</v>
      </c>
    </row>
    <row r="221" spans="1:34">
      <c r="A221" t="s">
        <v>404</v>
      </c>
      <c r="C221" s="330">
        <f>SUM(C143:C144)</f>
        <v>7429.9500000000007</v>
      </c>
      <c r="D221" s="330">
        <f t="shared" ref="D221:AH221" si="132">SUM(D143:D144)</f>
        <v>7698.567097650629</v>
      </c>
      <c r="E221" s="330">
        <f t="shared" si="132"/>
        <v>7935.3530308856989</v>
      </c>
      <c r="F221" s="330">
        <f t="shared" si="132"/>
        <v>7585.2371260018062</v>
      </c>
      <c r="G221" s="330">
        <f t="shared" si="132"/>
        <v>7544.9555734255491</v>
      </c>
      <c r="H221" s="401">
        <f t="shared" si="132"/>
        <v>7816.104999449999</v>
      </c>
      <c r="I221" s="14">
        <f t="shared" si="132"/>
        <v>8061.0209798720762</v>
      </c>
      <c r="J221" s="14">
        <f t="shared" si="132"/>
        <v>7677.0699173608591</v>
      </c>
      <c r="K221" s="14">
        <f t="shared" si="132"/>
        <v>7804.7731379625047</v>
      </c>
      <c r="L221" s="14">
        <f t="shared" si="132"/>
        <v>7923.9740399392813</v>
      </c>
      <c r="M221" s="14">
        <f t="shared" si="132"/>
        <v>7879.6329129019296</v>
      </c>
      <c r="N221" s="187">
        <f t="shared" si="132"/>
        <v>7789.5656724839482</v>
      </c>
      <c r="O221" s="14">
        <f t="shared" si="132"/>
        <v>7877.1599851459632</v>
      </c>
      <c r="P221" s="14">
        <f t="shared" si="132"/>
        <v>7970.1224518863783</v>
      </c>
      <c r="Q221" s="14">
        <f t="shared" si="132"/>
        <v>7929.806701570209</v>
      </c>
      <c r="R221" s="14">
        <f t="shared" si="132"/>
        <v>8036.5227052806049</v>
      </c>
      <c r="S221" s="14">
        <f t="shared" si="132"/>
        <v>8096.1069752720041</v>
      </c>
      <c r="T221" s="14">
        <f t="shared" si="132"/>
        <v>8140.8279166960492</v>
      </c>
      <c r="U221" s="14">
        <f t="shared" si="132"/>
        <v>8193.1159377299064</v>
      </c>
      <c r="V221" s="14">
        <f t="shared" si="132"/>
        <v>8252.5878499107821</v>
      </c>
      <c r="W221" s="14">
        <f t="shared" si="132"/>
        <v>8377.3299051111153</v>
      </c>
      <c r="X221" s="187">
        <f t="shared" si="132"/>
        <v>8408.9349283538813</v>
      </c>
      <c r="Y221" s="158">
        <f t="shared" si="132"/>
        <v>8343.8886475309555</v>
      </c>
      <c r="Z221" s="158">
        <f t="shared" si="132"/>
        <v>8226.1608482198699</v>
      </c>
      <c r="AA221" s="158">
        <f t="shared" si="132"/>
        <v>8167.0877841398451</v>
      </c>
      <c r="AB221" s="158">
        <f t="shared" si="132"/>
        <v>8103.8065064188022</v>
      </c>
      <c r="AC221" s="158">
        <f t="shared" si="132"/>
        <v>8028.2382916585302</v>
      </c>
      <c r="AD221" s="158">
        <f t="shared" si="132"/>
        <v>7943.01653903226</v>
      </c>
      <c r="AE221" s="158">
        <f t="shared" si="132"/>
        <v>7856.6040387212661</v>
      </c>
      <c r="AF221" s="158">
        <f t="shared" si="132"/>
        <v>7755.0637330309028</v>
      </c>
      <c r="AG221" s="158">
        <f t="shared" si="132"/>
        <v>7686.8018802414044</v>
      </c>
      <c r="AH221" s="187">
        <f t="shared" si="132"/>
        <v>7678.8611236266051</v>
      </c>
    </row>
    <row r="222" spans="1:34">
      <c r="A222" s="1" t="s">
        <v>426</v>
      </c>
      <c r="C222" s="330">
        <f>SUM(C210,C213,C216,C219)</f>
        <v>19105.224010000002</v>
      </c>
      <c r="D222" s="330">
        <f t="shared" ref="D222:AH222" si="133">SUM(D210,D213,D216,D219)</f>
        <v>19934.534033777552</v>
      </c>
      <c r="E222" s="330">
        <f t="shared" si="133"/>
        <v>20543.11667512323</v>
      </c>
      <c r="F222" s="330">
        <f t="shared" si="133"/>
        <v>19860.581988297596</v>
      </c>
      <c r="G222" s="330">
        <f t="shared" si="133"/>
        <v>20088.703852230494</v>
      </c>
      <c r="H222" s="401">
        <f t="shared" si="133"/>
        <v>20320.985843342794</v>
      </c>
      <c r="I222" s="14">
        <f t="shared" si="133"/>
        <v>21084.308354813267</v>
      </c>
      <c r="J222" s="14">
        <f t="shared" si="133"/>
        <v>20213.01846063503</v>
      </c>
      <c r="K222" s="14">
        <f t="shared" si="133"/>
        <v>20705.926378432916</v>
      </c>
      <c r="L222" s="14">
        <f t="shared" si="133"/>
        <v>21218.533810784931</v>
      </c>
      <c r="M222" s="14">
        <f t="shared" si="133"/>
        <v>21361.229881864507</v>
      </c>
      <c r="N222" s="187">
        <f t="shared" si="133"/>
        <v>21495.127082896783</v>
      </c>
      <c r="O222" s="14">
        <f t="shared" si="133"/>
        <v>21746.68320032156</v>
      </c>
      <c r="P222" s="14">
        <f t="shared" si="133"/>
        <v>22013.902429322028</v>
      </c>
      <c r="Q222" s="14">
        <f t="shared" si="133"/>
        <v>21913.818804829942</v>
      </c>
      <c r="R222" s="14">
        <f t="shared" si="133"/>
        <v>22220.914866234849</v>
      </c>
      <c r="S222" s="14">
        <f t="shared" si="133"/>
        <v>22398.592577019066</v>
      </c>
      <c r="T222" s="14">
        <f t="shared" si="133"/>
        <v>22536.040962530773</v>
      </c>
      <c r="U222" s="14">
        <f t="shared" si="133"/>
        <v>22695.41684889474</v>
      </c>
      <c r="V222" s="14">
        <f t="shared" si="133"/>
        <v>22875.659136946299</v>
      </c>
      <c r="W222" s="14">
        <f t="shared" si="133"/>
        <v>23238.020562148169</v>
      </c>
      <c r="X222" s="187">
        <f t="shared" si="133"/>
        <v>23343.13918147868</v>
      </c>
      <c r="Y222" s="158">
        <f t="shared" si="133"/>
        <v>23495.668264703549</v>
      </c>
      <c r="Z222" s="158">
        <f t="shared" si="133"/>
        <v>23495.344435100749</v>
      </c>
      <c r="AA222" s="158">
        <f t="shared" si="133"/>
        <v>23631.095257917681</v>
      </c>
      <c r="AB222" s="158">
        <f t="shared" si="133"/>
        <v>23757.575109130888</v>
      </c>
      <c r="AC222" s="158">
        <f t="shared" si="133"/>
        <v>23859.755029224427</v>
      </c>
      <c r="AD222" s="158">
        <f t="shared" si="133"/>
        <v>23936.202884548318</v>
      </c>
      <c r="AE222" s="158">
        <f t="shared" si="133"/>
        <v>24014.364160069486</v>
      </c>
      <c r="AF222" s="158">
        <f t="shared" si="133"/>
        <v>24046.759727537989</v>
      </c>
      <c r="AG222" s="158">
        <f t="shared" si="133"/>
        <v>24183.616225834299</v>
      </c>
      <c r="AH222" s="187">
        <f t="shared" si="133"/>
        <v>24515.84342907264</v>
      </c>
    </row>
    <row r="223" spans="1:34" s="1" customFormat="1">
      <c r="A223" s="1" t="s">
        <v>444</v>
      </c>
      <c r="B223" s="13"/>
      <c r="C223" s="327" t="s">
        <v>0</v>
      </c>
      <c r="D223" s="340">
        <f>D210+D213</f>
        <v>316.82946156570563</v>
      </c>
      <c r="E223" s="340">
        <f t="shared" ref="E223:AH223" si="134">E210+E213</f>
        <v>341.95348272295934</v>
      </c>
      <c r="F223" s="340">
        <f t="shared" si="134"/>
        <v>538.56401553137493</v>
      </c>
      <c r="G223" s="340">
        <f t="shared" si="134"/>
        <v>840.05609004190956</v>
      </c>
      <c r="H223" s="404">
        <f>H210+H213</f>
        <v>867.99569699279573</v>
      </c>
      <c r="I223" s="15">
        <f t="shared" si="134"/>
        <v>951.28653060419992</v>
      </c>
      <c r="J223" s="15">
        <f t="shared" si="134"/>
        <v>970.34369008709291</v>
      </c>
      <c r="K223" s="15">
        <f t="shared" si="134"/>
        <v>1070.7598656638297</v>
      </c>
      <c r="L223" s="15">
        <f t="shared" si="134"/>
        <v>1205.9392171045151</v>
      </c>
      <c r="M223" s="15">
        <f t="shared" si="134"/>
        <v>1376.650298909623</v>
      </c>
      <c r="N223" s="190">
        <f t="shared" si="134"/>
        <v>1643.7714502362287</v>
      </c>
      <c r="O223" s="15">
        <f t="shared" si="134"/>
        <v>1693.0858865465598</v>
      </c>
      <c r="P223" s="15">
        <f t="shared" si="134"/>
        <v>1744.8545661393503</v>
      </c>
      <c r="Q223" s="15">
        <f t="shared" si="134"/>
        <v>1768.2998363328502</v>
      </c>
      <c r="R223" s="15">
        <f t="shared" si="134"/>
        <v>1825.468485361182</v>
      </c>
      <c r="S223" s="15">
        <f t="shared" si="134"/>
        <v>1873.2591081339397</v>
      </c>
      <c r="T223" s="15">
        <f t="shared" si="134"/>
        <v>1918.7270082422945</v>
      </c>
      <c r="U223" s="15">
        <f t="shared" si="134"/>
        <v>1967.1170856168612</v>
      </c>
      <c r="V223" s="15">
        <f t="shared" si="134"/>
        <v>2018.439668014466</v>
      </c>
      <c r="W223" s="15">
        <f t="shared" si="134"/>
        <v>2087.3156360912662</v>
      </c>
      <c r="X223" s="190">
        <f t="shared" si="134"/>
        <v>2134.4588957597834</v>
      </c>
      <c r="Y223" s="130">
        <f t="shared" si="134"/>
        <v>2194.0636568144109</v>
      </c>
      <c r="Z223" s="130">
        <f t="shared" si="134"/>
        <v>2235.5713758088923</v>
      </c>
      <c r="AA223" s="130">
        <f t="shared" si="134"/>
        <v>2264.659603317753</v>
      </c>
      <c r="AB223" s="130">
        <f t="shared" si="134"/>
        <v>2293.6872581322518</v>
      </c>
      <c r="AC223" s="130">
        <f t="shared" si="134"/>
        <v>2328.5654713651656</v>
      </c>
      <c r="AD223" s="130">
        <f t="shared" si="134"/>
        <v>2362.7010050566505</v>
      </c>
      <c r="AE223" s="130">
        <f t="shared" si="134"/>
        <v>2400.8309320332878</v>
      </c>
      <c r="AF223" s="130">
        <f t="shared" si="134"/>
        <v>2434.9102286540538</v>
      </c>
      <c r="AG223" s="130">
        <f t="shared" si="134"/>
        <v>2480.1635661896671</v>
      </c>
      <c r="AH223" s="190">
        <f t="shared" si="134"/>
        <v>2546.4384051942661</v>
      </c>
    </row>
    <row r="224" spans="1:34">
      <c r="A224" t="s">
        <v>447</v>
      </c>
      <c r="D224" s="330">
        <f>D210+D213+D216</f>
        <v>3682.0034942928919</v>
      </c>
      <c r="E224" s="330">
        <f t="shared" ref="E224:AH224" si="135">E210+E213+E216</f>
        <v>3790.7047210312007</v>
      </c>
      <c r="F224" s="330">
        <f t="shared" si="135"/>
        <v>3847.3036111826723</v>
      </c>
      <c r="G224" s="330">
        <f t="shared" si="135"/>
        <v>4160.4643083321134</v>
      </c>
      <c r="H224" s="401">
        <f t="shared" si="135"/>
        <v>3820.319733392796</v>
      </c>
      <c r="I224" s="14">
        <f t="shared" si="135"/>
        <v>4066.5973973055529</v>
      </c>
      <c r="J224" s="14">
        <f t="shared" si="135"/>
        <v>4005.8708573176618</v>
      </c>
      <c r="K224" s="14">
        <f t="shared" si="135"/>
        <v>4229.1830871787406</v>
      </c>
      <c r="L224" s="14">
        <f t="shared" si="135"/>
        <v>4490.1441709131122</v>
      </c>
      <c r="M224" s="14">
        <f t="shared" si="135"/>
        <v>4726.4492879604331</v>
      </c>
      <c r="N224" s="187">
        <f t="shared" si="135"/>
        <v>5050.4884409862289</v>
      </c>
      <c r="O224" s="14">
        <f t="shared" si="135"/>
        <v>5117.1232316800815</v>
      </c>
      <c r="P224" s="14">
        <f t="shared" si="135"/>
        <v>5188.0883642285617</v>
      </c>
      <c r="Q224" s="14">
        <f t="shared" si="135"/>
        <v>5173.115768181724</v>
      </c>
      <c r="R224" s="14">
        <f t="shared" si="135"/>
        <v>5254.9224884202367</v>
      </c>
      <c r="S224" s="14">
        <f t="shared" si="135"/>
        <v>5306.8111847781684</v>
      </c>
      <c r="T224" s="14">
        <f t="shared" si="135"/>
        <v>5349.8486939502254</v>
      </c>
      <c r="U224" s="14">
        <f t="shared" si="135"/>
        <v>5398.8387581316047</v>
      </c>
      <c r="V224" s="14">
        <f t="shared" si="135"/>
        <v>5453.5292315790948</v>
      </c>
      <c r="W224" s="14">
        <f t="shared" si="135"/>
        <v>5552.5463180247061</v>
      </c>
      <c r="X224" s="187">
        <f t="shared" si="135"/>
        <v>5590.9432216204868</v>
      </c>
      <c r="Y224" s="158">
        <f t="shared" si="135"/>
        <v>5880.7922310270878</v>
      </c>
      <c r="Z224" s="158">
        <f t="shared" si="135"/>
        <v>6129.0048666365801</v>
      </c>
      <c r="AA224" s="158">
        <f t="shared" si="135"/>
        <v>6389.4654914002331</v>
      </c>
      <c r="AB224" s="158">
        <f t="shared" si="135"/>
        <v>6649.5391511356393</v>
      </c>
      <c r="AC224" s="158">
        <f t="shared" si="135"/>
        <v>6911.2519690564204</v>
      </c>
      <c r="AD224" s="158">
        <f t="shared" si="135"/>
        <v>7167.6124132579889</v>
      </c>
      <c r="AE224" s="158">
        <f t="shared" si="135"/>
        <v>7428.2000783245894</v>
      </c>
      <c r="AF224" s="158">
        <f t="shared" si="135"/>
        <v>7674.9585133616365</v>
      </c>
      <c r="AG224" s="158">
        <f t="shared" si="135"/>
        <v>7955.9233675468895</v>
      </c>
      <c r="AH224" s="187">
        <f t="shared" si="135"/>
        <v>8304.9143903053628</v>
      </c>
    </row>
    <row r="225" spans="1:34">
      <c r="D225" s="330"/>
      <c r="E225" s="330"/>
      <c r="F225" s="330"/>
      <c r="G225" s="330"/>
      <c r="H225" s="401"/>
      <c r="I225" s="14"/>
      <c r="J225" s="14"/>
      <c r="K225" s="14"/>
      <c r="L225" s="14"/>
      <c r="M225" s="14"/>
      <c r="N225" s="187"/>
      <c r="O225" s="14"/>
      <c r="P225" s="14"/>
      <c r="Q225" s="14"/>
      <c r="R225" s="14"/>
      <c r="S225" s="14"/>
      <c r="T225" s="14"/>
      <c r="U225" s="14"/>
      <c r="V225" s="14"/>
      <c r="W225" s="14"/>
      <c r="X225" s="187"/>
    </row>
    <row r="226" spans="1:34">
      <c r="A226" s="1" t="s">
        <v>454</v>
      </c>
      <c r="D226" s="330">
        <f>D210+D213</f>
        <v>316.82946156570563</v>
      </c>
      <c r="E226" s="330">
        <f>D226+E210+E213</f>
        <v>658.78294428866502</v>
      </c>
      <c r="F226" s="330">
        <f>E226+F210+F213</f>
        <v>1197.34695982004</v>
      </c>
      <c r="G226" s="330">
        <f>F226+G210+G213</f>
        <v>2037.4030498619495</v>
      </c>
      <c r="H226" s="401">
        <f t="shared" ref="H226:X226" si="136">G226+H210+H213</f>
        <v>2905.3987468547452</v>
      </c>
      <c r="I226" s="14">
        <f t="shared" si="136"/>
        <v>3856.6852774589452</v>
      </c>
      <c r="J226" s="14">
        <f t="shared" si="136"/>
        <v>4827.0289675460381</v>
      </c>
      <c r="K226" s="14">
        <f t="shared" si="136"/>
        <v>5897.7888332098682</v>
      </c>
      <c r="L226" s="14">
        <f t="shared" si="136"/>
        <v>7103.7280503143829</v>
      </c>
      <c r="M226" s="14">
        <f t="shared" si="136"/>
        <v>8480.3783492240054</v>
      </c>
      <c r="N226" s="187">
        <f t="shared" si="136"/>
        <v>10124.149799460234</v>
      </c>
      <c r="O226" s="14">
        <f t="shared" si="136"/>
        <v>11817.235686006794</v>
      </c>
      <c r="P226" s="14">
        <f t="shared" si="136"/>
        <v>13562.090252146145</v>
      </c>
      <c r="Q226" s="14">
        <f t="shared" si="136"/>
        <v>15330.390088478995</v>
      </c>
      <c r="R226" s="14">
        <f t="shared" si="136"/>
        <v>17155.858573840178</v>
      </c>
      <c r="S226" s="14">
        <f t="shared" si="136"/>
        <v>19029.117681974116</v>
      </c>
      <c r="T226" s="14">
        <f t="shared" si="136"/>
        <v>20947.844690216411</v>
      </c>
      <c r="U226" s="14">
        <f t="shared" si="136"/>
        <v>22914.961775833272</v>
      </c>
      <c r="V226" s="14">
        <f t="shared" si="136"/>
        <v>24933.401443847739</v>
      </c>
      <c r="W226" s="14">
        <f t="shared" si="136"/>
        <v>27020.717079939004</v>
      </c>
      <c r="X226" s="187">
        <f t="shared" si="136"/>
        <v>29155.175975698789</v>
      </c>
      <c r="Y226" s="158">
        <f t="shared" ref="Y226:AH226" si="137">X226+Y210+Y213</f>
        <v>31349.239632513199</v>
      </c>
      <c r="Z226" s="158">
        <f t="shared" si="137"/>
        <v>33584.811008322089</v>
      </c>
      <c r="AA226" s="158">
        <f t="shared" si="137"/>
        <v>35849.470611639845</v>
      </c>
      <c r="AB226" s="158">
        <f t="shared" si="137"/>
        <v>38143.157869772098</v>
      </c>
      <c r="AC226" s="158">
        <f t="shared" si="137"/>
        <v>40471.723341137265</v>
      </c>
      <c r="AD226" s="158">
        <f t="shared" si="137"/>
        <v>42834.424346193919</v>
      </c>
      <c r="AE226" s="158">
        <f t="shared" si="137"/>
        <v>45235.255278227203</v>
      </c>
      <c r="AF226" s="158">
        <f t="shared" si="137"/>
        <v>47670.165506881254</v>
      </c>
      <c r="AG226" s="158">
        <f t="shared" si="137"/>
        <v>50150.32907307092</v>
      </c>
      <c r="AH226" s="187">
        <f t="shared" si="137"/>
        <v>52696.767478265188</v>
      </c>
    </row>
    <row r="227" spans="1:34">
      <c r="A227" s="1" t="s">
        <v>455</v>
      </c>
      <c r="D227" s="330">
        <f>D219</f>
        <v>16252.530539484662</v>
      </c>
      <c r="E227" s="330">
        <f>D227+E219</f>
        <v>33004.942493576687</v>
      </c>
      <c r="F227" s="330">
        <f>E227+F219</f>
        <v>49018.220870691614</v>
      </c>
      <c r="G227" s="330">
        <f t="shared" ref="G227:X227" si="138">F227+G219</f>
        <v>64946.460414589994</v>
      </c>
      <c r="H227" s="401">
        <f t="shared" si="138"/>
        <v>81447.126524539985</v>
      </c>
      <c r="I227" s="14">
        <f t="shared" si="138"/>
        <v>98464.837482047704</v>
      </c>
      <c r="J227" s="14">
        <f t="shared" si="138"/>
        <v>114671.98508536507</v>
      </c>
      <c r="K227" s="14">
        <f t="shared" si="138"/>
        <v>131148.72837661926</v>
      </c>
      <c r="L227" s="14">
        <f t="shared" si="138"/>
        <v>147877.11801649106</v>
      </c>
      <c r="M227" s="14">
        <f t="shared" si="138"/>
        <v>164511.89861039515</v>
      </c>
      <c r="N227" s="187">
        <f t="shared" si="138"/>
        <v>180956.53725230572</v>
      </c>
      <c r="O227" s="14">
        <f t="shared" si="138"/>
        <v>197586.09722094721</v>
      </c>
      <c r="P227" s="14">
        <f t="shared" si="138"/>
        <v>214411.91128604067</v>
      </c>
      <c r="Q227" s="14">
        <f t="shared" si="138"/>
        <v>231152.6143226889</v>
      </c>
      <c r="R227" s="14">
        <f t="shared" si="138"/>
        <v>248118.6067005035</v>
      </c>
      <c r="S227" s="14">
        <f t="shared" si="138"/>
        <v>265210.3880927444</v>
      </c>
      <c r="T227" s="14">
        <f t="shared" si="138"/>
        <v>282396.58036132494</v>
      </c>
      <c r="U227" s="14">
        <f t="shared" si="138"/>
        <v>299693.15845208807</v>
      </c>
      <c r="V227" s="14">
        <f t="shared" si="138"/>
        <v>317115.28835745528</v>
      </c>
      <c r="W227" s="14">
        <f t="shared" si="138"/>
        <v>334800.76260157872</v>
      </c>
      <c r="X227" s="187">
        <f t="shared" si="138"/>
        <v>352552.95856143691</v>
      </c>
      <c r="Y227" s="158">
        <f t="shared" ref="Y227:AH227" si="139">X227+Y219</f>
        <v>370167.83459511335</v>
      </c>
      <c r="Z227" s="158">
        <f t="shared" si="139"/>
        <v>387534.1741635775</v>
      </c>
      <c r="AA227" s="158">
        <f t="shared" si="139"/>
        <v>404775.80393009493</v>
      </c>
      <c r="AB227" s="158">
        <f t="shared" si="139"/>
        <v>421883.83988809015</v>
      </c>
      <c r="AC227" s="158">
        <f t="shared" si="139"/>
        <v>438832.34294825816</v>
      </c>
      <c r="AD227" s="158">
        <f t="shared" si="139"/>
        <v>455600.9334195485</v>
      </c>
      <c r="AE227" s="158">
        <f t="shared" si="139"/>
        <v>472187.09750129341</v>
      </c>
      <c r="AF227" s="158">
        <f t="shared" si="139"/>
        <v>488558.89871546975</v>
      </c>
      <c r="AG227" s="158">
        <f t="shared" si="139"/>
        <v>504786.59157375718</v>
      </c>
      <c r="AH227" s="187">
        <f t="shared" si="139"/>
        <v>520997.52061252447</v>
      </c>
    </row>
    <row r="228" spans="1:34">
      <c r="A228" s="1" t="s">
        <v>457</v>
      </c>
      <c r="D228" s="330">
        <f t="shared" ref="D228:AH228" si="140">D227-D207</f>
        <v>-412.50246051533759</v>
      </c>
      <c r="E228" s="330">
        <f t="shared" si="140"/>
        <v>-941.18485397331824</v>
      </c>
      <c r="F228" s="330">
        <f t="shared" si="140"/>
        <v>-1212.157339958394</v>
      </c>
      <c r="G228" s="330">
        <f t="shared" si="140"/>
        <v>-1561.9542949600145</v>
      </c>
      <c r="H228" s="401">
        <f>H227-H207</f>
        <v>-1562.2259949600266</v>
      </c>
      <c r="I228" s="14">
        <f t="shared" si="140"/>
        <v>-1562.9530031023023</v>
      </c>
      <c r="J228" s="14">
        <f t="shared" si="140"/>
        <v>-1468.3667965849454</v>
      </c>
      <c r="K228" s="14">
        <f t="shared" si="140"/>
        <v>-1360.1746647307591</v>
      </c>
      <c r="L228" s="14">
        <f t="shared" si="140"/>
        <v>-1426.7094453089521</v>
      </c>
      <c r="M228" s="14">
        <f t="shared" si="140"/>
        <v>-1615.4678276048799</v>
      </c>
      <c r="N228" s="187">
        <f t="shared" si="140"/>
        <v>-1828.1127478443086</v>
      </c>
      <c r="O228" s="14">
        <f t="shared" si="140"/>
        <v>-2045.3889227028121</v>
      </c>
      <c r="P228" s="14">
        <f t="shared" si="140"/>
        <v>-2313.4729943093553</v>
      </c>
      <c r="Q228" s="14">
        <f t="shared" si="140"/>
        <v>-2565.4355899111251</v>
      </c>
      <c r="R228" s="14">
        <f t="shared" si="140"/>
        <v>-2827.1153622465208</v>
      </c>
      <c r="S228" s="14">
        <f t="shared" si="140"/>
        <v>-3119.3719259056379</v>
      </c>
      <c r="T228" s="14">
        <f t="shared" si="140"/>
        <v>-3436.8048320750822</v>
      </c>
      <c r="U228" s="14">
        <f t="shared" si="140"/>
        <v>-3769.1179470619536</v>
      </c>
      <c r="V228" s="14">
        <f t="shared" si="140"/>
        <v>-4135.376364344731</v>
      </c>
      <c r="W228" s="14">
        <f t="shared" si="140"/>
        <v>-4562.7135039212881</v>
      </c>
      <c r="X228" s="187">
        <f t="shared" si="140"/>
        <v>-4963.121838063118</v>
      </c>
      <c r="Y228" s="158">
        <f t="shared" si="140"/>
        <v>-5542.8432770866784</v>
      </c>
      <c r="Z228" s="158">
        <f t="shared" si="140"/>
        <v>-6290.9690033725346</v>
      </c>
      <c r="AA228" s="158">
        <f t="shared" si="140"/>
        <v>-7235.3596108051133</v>
      </c>
      <c r="AB228" s="158">
        <f t="shared" si="140"/>
        <v>-8373.7061005099094</v>
      </c>
      <c r="AC228" s="158">
        <f t="shared" si="140"/>
        <v>-9702.9893891419051</v>
      </c>
      <c r="AD228" s="158">
        <f t="shared" si="140"/>
        <v>-11224.941623451596</v>
      </c>
      <c r="AE228" s="158">
        <f t="shared" si="140"/>
        <v>-12938.610339106701</v>
      </c>
      <c r="AF228" s="158">
        <f t="shared" si="140"/>
        <v>-14836.189127980382</v>
      </c>
      <c r="AG228" s="158">
        <f t="shared" si="140"/>
        <v>-16925.30575044296</v>
      </c>
      <c r="AH228" s="187">
        <f t="shared" si="140"/>
        <v>-19216.192219125689</v>
      </c>
    </row>
    <row r="229" spans="1:34">
      <c r="I229" s="129"/>
      <c r="J229" s="129"/>
      <c r="K229" s="129"/>
      <c r="L229" s="129"/>
      <c r="M229" s="129"/>
      <c r="O229" s="129"/>
      <c r="P229" s="129"/>
      <c r="Q229" s="129"/>
      <c r="R229" s="129"/>
      <c r="S229" s="129"/>
      <c r="T229" s="129"/>
      <c r="U229" s="129"/>
      <c r="V229" s="129"/>
      <c r="W229" s="129"/>
    </row>
    <row r="230" spans="1:34">
      <c r="A230" s="1" t="s">
        <v>413</v>
      </c>
    </row>
    <row r="231" spans="1:34">
      <c r="A231" t="s">
        <v>414</v>
      </c>
      <c r="C231" s="330">
        <f t="shared" ref="C231:AH231" si="141">C210-C191</f>
        <v>0</v>
      </c>
      <c r="D231" s="330">
        <f t="shared" si="141"/>
        <v>0</v>
      </c>
      <c r="E231" s="330">
        <f t="shared" si="141"/>
        <v>0</v>
      </c>
      <c r="F231" s="330">
        <f t="shared" si="141"/>
        <v>0</v>
      </c>
      <c r="G231" s="330">
        <f t="shared" si="141"/>
        <v>0</v>
      </c>
      <c r="H231" s="401">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415</v>
      </c>
      <c r="C232" s="330">
        <f t="shared" ref="C232:AH232" si="143">C211-C192</f>
        <v>0</v>
      </c>
      <c r="D232" s="330">
        <f t="shared" si="143"/>
        <v>0</v>
      </c>
      <c r="E232" s="330">
        <f t="shared" si="143"/>
        <v>0</v>
      </c>
      <c r="F232" s="330">
        <f t="shared" si="143"/>
        <v>0</v>
      </c>
      <c r="G232" s="330">
        <f t="shared" si="143"/>
        <v>0</v>
      </c>
      <c r="H232" s="401">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416</v>
      </c>
      <c r="C233" s="330">
        <f t="shared" ref="C233:AH233" si="144">C212-C193</f>
        <v>0</v>
      </c>
      <c r="D233" s="330">
        <f t="shared" si="144"/>
        <v>0</v>
      </c>
      <c r="E233" s="330">
        <f t="shared" si="144"/>
        <v>0</v>
      </c>
      <c r="F233" s="330">
        <f t="shared" si="144"/>
        <v>0</v>
      </c>
      <c r="G233" s="330">
        <f t="shared" si="144"/>
        <v>0</v>
      </c>
      <c r="H233" s="401">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417</v>
      </c>
      <c r="C234" s="330">
        <f t="shared" ref="C234:AH234" si="145">C213-C194</f>
        <v>-2.7000000000043656E-4</v>
      </c>
      <c r="D234" s="330">
        <f t="shared" si="145"/>
        <v>1.5193315657056701</v>
      </c>
      <c r="E234" s="330">
        <f t="shared" si="145"/>
        <v>15.836517906606389</v>
      </c>
      <c r="F234" s="330">
        <f t="shared" si="145"/>
        <v>18.247961552783181</v>
      </c>
      <c r="G234" s="330">
        <f t="shared" si="145"/>
        <v>13.8425329324823</v>
      </c>
      <c r="H234" s="401">
        <f>H213-H194</f>
        <v>-2.7000000000043656E-4</v>
      </c>
      <c r="I234" s="14">
        <f t="shared" si="145"/>
        <v>44.501977731404395</v>
      </c>
      <c r="J234" s="14">
        <f t="shared" si="145"/>
        <v>45.507153234297334</v>
      </c>
      <c r="K234" s="14">
        <f t="shared" si="145"/>
        <v>128.30372441103395</v>
      </c>
      <c r="L234" s="14">
        <f t="shared" si="145"/>
        <v>263.71759760171949</v>
      </c>
      <c r="M234" s="14">
        <f t="shared" si="145"/>
        <v>391.88601424682724</v>
      </c>
      <c r="N234" s="187">
        <f t="shared" si="145"/>
        <v>345.18708834343306</v>
      </c>
      <c r="O234" s="14">
        <f t="shared" si="145"/>
        <v>366.81068012376409</v>
      </c>
      <c r="P234" s="14">
        <f t="shared" si="145"/>
        <v>426.41649643655478</v>
      </c>
      <c r="Q234" s="14">
        <f t="shared" si="145"/>
        <v>447.98616624005444</v>
      </c>
      <c r="R234" s="14">
        <f t="shared" si="145"/>
        <v>420.22678423838624</v>
      </c>
      <c r="S234" s="14">
        <f t="shared" si="145"/>
        <v>464.16640911114382</v>
      </c>
      <c r="T234" s="14">
        <f t="shared" si="145"/>
        <v>507.79022051949892</v>
      </c>
      <c r="U234" s="14">
        <f t="shared" si="145"/>
        <v>553.55395221406548</v>
      </c>
      <c r="V234" s="14">
        <f t="shared" si="145"/>
        <v>604.57037374167021</v>
      </c>
      <c r="W234" s="14">
        <f t="shared" si="145"/>
        <v>664.75983669847028</v>
      </c>
      <c r="X234" s="187">
        <f t="shared" si="145"/>
        <v>618.44092064698771</v>
      </c>
      <c r="Y234" s="158">
        <f t="shared" si="145"/>
        <v>614.93183491161517</v>
      </c>
      <c r="Z234" s="158">
        <f t="shared" si="145"/>
        <v>628.01359006609664</v>
      </c>
      <c r="AA234" s="158">
        <f t="shared" si="145"/>
        <v>654.693827114957</v>
      </c>
      <c r="AB234" s="158">
        <f t="shared" si="145"/>
        <v>678.19388830945604</v>
      </c>
      <c r="AC234" s="158">
        <f t="shared" si="145"/>
        <v>702.05713901236982</v>
      </c>
      <c r="AD234" s="158">
        <f t="shared" si="145"/>
        <v>735.55500154385504</v>
      </c>
      <c r="AE234" s="158">
        <f t="shared" si="145"/>
        <v>767.96745840049198</v>
      </c>
      <c r="AF234" s="158">
        <f t="shared" si="145"/>
        <v>800.15677144125789</v>
      </c>
      <c r="AG234" s="158">
        <f t="shared" si="145"/>
        <v>817.04457102687138</v>
      </c>
      <c r="AH234" s="187">
        <f t="shared" si="145"/>
        <v>795.66006820147049</v>
      </c>
    </row>
    <row r="235" spans="1:34">
      <c r="A235" t="s">
        <v>418</v>
      </c>
      <c r="C235" s="330">
        <f t="shared" ref="C235:AH235" si="146">C214-C195</f>
        <v>0</v>
      </c>
      <c r="D235" s="330">
        <f t="shared" si="146"/>
        <v>0.7998011737829529</v>
      </c>
      <c r="E235" s="330">
        <f t="shared" si="146"/>
        <v>8.335172106518371</v>
      </c>
      <c r="F235" s="330">
        <f t="shared" si="146"/>
        <v>9.6043522455385641</v>
      </c>
      <c r="G235" s="330">
        <f t="shared" si="146"/>
        <v>7.2857122968525232</v>
      </c>
      <c r="H235" s="401">
        <f t="shared" si="146"/>
        <v>0</v>
      </c>
      <c r="I235" s="14">
        <f t="shared" si="146"/>
        <v>23.422245702219584</v>
      </c>
      <c r="J235" s="14">
        <f t="shared" si="146"/>
        <v>23.951283778543768</v>
      </c>
      <c r="K235" s="14">
        <f t="shared" si="146"/>
        <v>67.528435008075803</v>
      </c>
      <c r="L235" s="14">
        <f t="shared" si="146"/>
        <v>138.79890351344068</v>
      </c>
      <c r="M235" s="14">
        <f t="shared" si="146"/>
        <v>206.2559710050524</v>
      </c>
      <c r="N235" s="187">
        <f t="shared" si="146"/>
        <v>181.67759479703261</v>
      </c>
      <c r="O235" s="14">
        <f t="shared" si="146"/>
        <v>193.05843797267892</v>
      </c>
      <c r="P235" s="14">
        <f t="shared" si="146"/>
        <v>224.42992590766335</v>
      </c>
      <c r="Q235" s="14">
        <f t="shared" si="146"/>
        <v>235.78238626461678</v>
      </c>
      <c r="R235" s="14">
        <f t="shared" si="146"/>
        <v>221.17219146712546</v>
      </c>
      <c r="S235" s="14">
        <f t="shared" si="146"/>
        <v>244.29831505098059</v>
      </c>
      <c r="T235" s="14">
        <f t="shared" si="146"/>
        <v>267.25822076781458</v>
      </c>
      <c r="U235" s="14">
        <f t="shared" si="146"/>
        <v>291.34440063927354</v>
      </c>
      <c r="V235" s="14">
        <f t="shared" si="146"/>
        <v>318.19515442797478</v>
      </c>
      <c r="W235" s="14">
        <f t="shared" si="146"/>
        <v>349.87382667924123</v>
      </c>
      <c r="X235" s="187">
        <f t="shared" si="146"/>
        <v>325.49545496897053</v>
      </c>
      <c r="Y235" s="158">
        <f t="shared" si="146"/>
        <v>323.6485721922877</v>
      </c>
      <c r="Z235" s="158">
        <f t="shared" si="146"/>
        <v>330.53370946788061</v>
      </c>
      <c r="AA235" s="158">
        <f t="shared" si="146"/>
        <v>344.5759440579784</v>
      </c>
      <c r="AB235" s="158">
        <f t="shared" si="146"/>
        <v>356.94440186377051</v>
      </c>
      <c r="AC235" s="158">
        <f t="shared" si="146"/>
        <v>369.50401181951986</v>
      </c>
      <c r="AD235" s="158">
        <f t="shared" si="146"/>
        <v>387.13446989143631</v>
      </c>
      <c r="AE235" s="158">
        <f t="shared" si="146"/>
        <v>404.19366188331219</v>
      </c>
      <c r="AF235" s="158">
        <f t="shared" si="146"/>
        <v>421.13540931830744</v>
      </c>
      <c r="AG235" s="158">
        <f t="shared" si="146"/>
        <v>430.02372984179772</v>
      </c>
      <c r="AH235" s="187">
        <f t="shared" si="146"/>
        <v>418.76873560726187</v>
      </c>
    </row>
    <row r="236" spans="1:34">
      <c r="A236" t="s">
        <v>419</v>
      </c>
      <c r="C236" s="330">
        <f t="shared" ref="C236:AH236" si="147">C215-C196</f>
        <v>-2.7000000000043656E-4</v>
      </c>
      <c r="D236" s="330">
        <f t="shared" si="147"/>
        <v>0.71953039192266033</v>
      </c>
      <c r="E236" s="330">
        <f t="shared" si="147"/>
        <v>7.5013458000880462</v>
      </c>
      <c r="F236" s="330">
        <f t="shared" si="147"/>
        <v>8.643609307244617</v>
      </c>
      <c r="G236" s="330">
        <f t="shared" si="147"/>
        <v>6.5568206356297765</v>
      </c>
      <c r="H236" s="401">
        <f>H215-H196</f>
        <v>-2.7000000000043656E-4</v>
      </c>
      <c r="I236" s="14">
        <f t="shared" si="147"/>
        <v>21.079732029184811</v>
      </c>
      <c r="J236" s="14">
        <f t="shared" si="147"/>
        <v>21.555869455753509</v>
      </c>
      <c r="K236" s="14">
        <f t="shared" si="147"/>
        <v>60.775289402958265</v>
      </c>
      <c r="L236" s="14">
        <f t="shared" si="147"/>
        <v>124.91869408827893</v>
      </c>
      <c r="M236" s="14">
        <f t="shared" si="147"/>
        <v>185.63004324177479</v>
      </c>
      <c r="N236" s="187">
        <f t="shared" si="147"/>
        <v>163.50949354640034</v>
      </c>
      <c r="O236" s="14">
        <f t="shared" si="147"/>
        <v>173.75224215108517</v>
      </c>
      <c r="P236" s="14">
        <f t="shared" si="147"/>
        <v>201.98657052889132</v>
      </c>
      <c r="Q236" s="14">
        <f t="shared" si="147"/>
        <v>212.20377997543767</v>
      </c>
      <c r="R236" s="14">
        <f t="shared" si="147"/>
        <v>199.05459277126079</v>
      </c>
      <c r="S236" s="14">
        <f t="shared" si="147"/>
        <v>219.86809406016334</v>
      </c>
      <c r="T236" s="14">
        <f t="shared" si="147"/>
        <v>240.53199975168422</v>
      </c>
      <c r="U236" s="14">
        <f t="shared" si="147"/>
        <v>262.20955157479204</v>
      </c>
      <c r="V236" s="14">
        <f t="shared" si="147"/>
        <v>286.37521931369542</v>
      </c>
      <c r="W236" s="14">
        <f t="shared" si="147"/>
        <v>314.88601001922905</v>
      </c>
      <c r="X236" s="187">
        <f t="shared" si="147"/>
        <v>292.94546567801706</v>
      </c>
      <c r="Y236" s="158">
        <f t="shared" si="147"/>
        <v>291.28326271932781</v>
      </c>
      <c r="Z236" s="158">
        <f t="shared" si="147"/>
        <v>297.47988059821591</v>
      </c>
      <c r="AA236" s="158">
        <f t="shared" si="147"/>
        <v>310.11788305697849</v>
      </c>
      <c r="AB236" s="158">
        <f t="shared" si="147"/>
        <v>321.24948644568553</v>
      </c>
      <c r="AC236" s="158">
        <f t="shared" si="147"/>
        <v>332.55312719285018</v>
      </c>
      <c r="AD236" s="158">
        <f t="shared" si="147"/>
        <v>348.42053165241896</v>
      </c>
      <c r="AE236" s="158">
        <f t="shared" si="147"/>
        <v>363.77379651717979</v>
      </c>
      <c r="AF236" s="158">
        <f t="shared" si="147"/>
        <v>379.02136212295045</v>
      </c>
      <c r="AG236" s="158">
        <f t="shared" si="147"/>
        <v>387.02084118507355</v>
      </c>
      <c r="AH236" s="187">
        <f t="shared" si="147"/>
        <v>376.89133259420851</v>
      </c>
    </row>
    <row r="237" spans="1:34">
      <c r="A237" t="s">
        <v>420</v>
      </c>
      <c r="C237" s="330">
        <f t="shared" ref="C237:AH237" si="148">C216-C197</f>
        <v>0</v>
      </c>
      <c r="D237" s="330">
        <f t="shared" si="148"/>
        <v>533.62588272718585</v>
      </c>
      <c r="E237" s="330">
        <f t="shared" si="148"/>
        <v>671.23148830824084</v>
      </c>
      <c r="F237" s="330">
        <f t="shared" si="148"/>
        <v>348.17108875129679</v>
      </c>
      <c r="G237" s="330">
        <f t="shared" si="148"/>
        <v>447.59363389020427</v>
      </c>
      <c r="H237" s="401">
        <f t="shared" si="148"/>
        <v>0</v>
      </c>
      <c r="I237" s="14">
        <f t="shared" si="148"/>
        <v>-38.629892248647593</v>
      </c>
      <c r="J237" s="14">
        <f t="shared" si="148"/>
        <v>-155.5447587694307</v>
      </c>
      <c r="K237" s="14">
        <f t="shared" si="148"/>
        <v>-248.29322773508829</v>
      </c>
      <c r="L237" s="14">
        <f t="shared" si="148"/>
        <v>-122.51176619140233</v>
      </c>
      <c r="M237" s="14">
        <f t="shared" si="148"/>
        <v>-56.918001699189517</v>
      </c>
      <c r="N237" s="187">
        <f t="shared" si="148"/>
        <v>0</v>
      </c>
      <c r="O237" s="14">
        <f t="shared" si="148"/>
        <v>-16.206618116478239</v>
      </c>
      <c r="P237" s="14">
        <f t="shared" si="148"/>
        <v>2.9899279392120661</v>
      </c>
      <c r="Q237" s="14">
        <f t="shared" si="148"/>
        <v>-35.428031401126646</v>
      </c>
      <c r="R237" s="14">
        <f t="shared" si="148"/>
        <v>-10.789960190945294</v>
      </c>
      <c r="S237" s="14">
        <f t="shared" si="148"/>
        <v>-6.6916158557710332</v>
      </c>
      <c r="T237" s="14">
        <f t="shared" si="148"/>
        <v>-9.1222775420692415</v>
      </c>
      <c r="U237" s="14">
        <f t="shared" si="148"/>
        <v>-27.436614985255801</v>
      </c>
      <c r="V237" s="14">
        <f t="shared" si="148"/>
        <v>-24.068723935370599</v>
      </c>
      <c r="W237" s="14">
        <f t="shared" si="148"/>
        <v>6.0723944334404223</v>
      </c>
      <c r="X237" s="187">
        <f t="shared" si="148"/>
        <v>-2.673961639296067</v>
      </c>
      <c r="Y237" s="158">
        <f t="shared" si="148"/>
        <v>227.57028671267699</v>
      </c>
      <c r="Z237" s="158">
        <f t="shared" si="148"/>
        <v>434.2752033276879</v>
      </c>
      <c r="AA237" s="158">
        <f t="shared" si="148"/>
        <v>665.6459760824805</v>
      </c>
      <c r="AB237" s="158">
        <f t="shared" si="148"/>
        <v>896.69171025338801</v>
      </c>
      <c r="AC237" s="158">
        <f t="shared" si="148"/>
        <v>1123.5265856912551</v>
      </c>
      <c r="AD237" s="158">
        <f t="shared" si="148"/>
        <v>1345.753120701339</v>
      </c>
      <c r="AE237" s="158">
        <f t="shared" si="148"/>
        <v>1568.2108587913026</v>
      </c>
      <c r="AF237" s="158">
        <f t="shared" si="148"/>
        <v>1780.8886434575834</v>
      </c>
      <c r="AG237" s="158">
        <f t="shared" si="148"/>
        <v>2016.5998893572228</v>
      </c>
      <c r="AH237" s="187">
        <f t="shared" si="148"/>
        <v>2299.3176976110963</v>
      </c>
    </row>
    <row r="238" spans="1:34">
      <c r="A238" t="s">
        <v>421</v>
      </c>
      <c r="C238" s="330">
        <f t="shared" ref="C238:AH238" si="149">C217-C198</f>
        <v>0</v>
      </c>
      <c r="D238" s="330">
        <f t="shared" si="149"/>
        <v>280.85572775115043</v>
      </c>
      <c r="E238" s="330">
        <f t="shared" si="149"/>
        <v>353.27973068854772</v>
      </c>
      <c r="F238" s="330">
        <f t="shared" si="149"/>
        <v>183.24794144805105</v>
      </c>
      <c r="G238" s="330">
        <f t="shared" si="149"/>
        <v>235.57559678431812</v>
      </c>
      <c r="H238" s="401">
        <f t="shared" si="149"/>
        <v>0</v>
      </c>
      <c r="I238" s="14">
        <f t="shared" si="149"/>
        <v>-20.33152223613024</v>
      </c>
      <c r="J238" s="14">
        <f t="shared" si="149"/>
        <v>-81.865662510226912</v>
      </c>
      <c r="K238" s="14">
        <f t="shared" si="149"/>
        <v>-130.68064617636219</v>
      </c>
      <c r="L238" s="14">
        <f t="shared" si="149"/>
        <v>-64.479876942843475</v>
      </c>
      <c r="M238" s="14">
        <f t="shared" si="149"/>
        <v>-29.956842999573155</v>
      </c>
      <c r="N238" s="187">
        <f t="shared" si="149"/>
        <v>0</v>
      </c>
      <c r="O238" s="14">
        <f t="shared" si="149"/>
        <v>-8.5297990086726259</v>
      </c>
      <c r="P238" s="14">
        <f t="shared" si="149"/>
        <v>1.5736462837958243</v>
      </c>
      <c r="Q238" s="14">
        <f t="shared" si="149"/>
        <v>-18.646332316382313</v>
      </c>
      <c r="R238" s="14">
        <f t="shared" si="149"/>
        <v>-5.6789264162869131</v>
      </c>
      <c r="S238" s="14">
        <f t="shared" si="149"/>
        <v>-3.5219030819846466</v>
      </c>
      <c r="T238" s="14">
        <f t="shared" si="149"/>
        <v>-4.8011987063521246</v>
      </c>
      <c r="U238" s="14">
        <f t="shared" si="149"/>
        <v>-14.440323676450589</v>
      </c>
      <c r="V238" s="14">
        <f t="shared" si="149"/>
        <v>-12.667749439668796</v>
      </c>
      <c r="W238" s="14">
        <f t="shared" si="149"/>
        <v>3.1959970702316696</v>
      </c>
      <c r="X238" s="187">
        <f t="shared" si="149"/>
        <v>-1.4073482312087435</v>
      </c>
      <c r="Y238" s="158">
        <f t="shared" si="149"/>
        <v>119.77383511193511</v>
      </c>
      <c r="Z238" s="158">
        <f t="shared" si="149"/>
        <v>228.56589648825661</v>
      </c>
      <c r="AA238" s="158">
        <f t="shared" si="149"/>
        <v>350.33998741183177</v>
      </c>
      <c r="AB238" s="158">
        <f t="shared" si="149"/>
        <v>471.94300539651977</v>
      </c>
      <c r="AC238" s="158">
        <f t="shared" si="149"/>
        <v>591.32978194276575</v>
      </c>
      <c r="AD238" s="158">
        <f t="shared" si="149"/>
        <v>708.29111615859915</v>
      </c>
      <c r="AE238" s="158">
        <f t="shared" si="149"/>
        <v>825.37413620594839</v>
      </c>
      <c r="AF238" s="158">
        <f t="shared" si="149"/>
        <v>937.30981234609635</v>
      </c>
      <c r="AG238" s="158">
        <f t="shared" si="149"/>
        <v>1061.3683628195904</v>
      </c>
      <c r="AH238" s="187">
        <f t="shared" si="149"/>
        <v>1210.167209268998</v>
      </c>
    </row>
    <row r="239" spans="1:34">
      <c r="A239" t="s">
        <v>422</v>
      </c>
      <c r="C239" s="330">
        <f t="shared" ref="C239:AH239" si="150">C218-C199</f>
        <v>0</v>
      </c>
      <c r="D239" s="330">
        <f t="shared" si="150"/>
        <v>252.77015497603543</v>
      </c>
      <c r="E239" s="330">
        <f t="shared" si="150"/>
        <v>317.95175761969313</v>
      </c>
      <c r="F239" s="330">
        <f t="shared" si="150"/>
        <v>164.92314730324574</v>
      </c>
      <c r="G239" s="330">
        <f t="shared" si="150"/>
        <v>212.01803710588615</v>
      </c>
      <c r="H239" s="401">
        <f t="shared" si="150"/>
        <v>0</v>
      </c>
      <c r="I239" s="14">
        <f t="shared" si="150"/>
        <v>-18.298370012517353</v>
      </c>
      <c r="J239" s="14">
        <f t="shared" si="150"/>
        <v>-73.679096259204016</v>
      </c>
      <c r="K239" s="14">
        <f t="shared" si="150"/>
        <v>-117.61258155872588</v>
      </c>
      <c r="L239" s="14">
        <f t="shared" si="150"/>
        <v>-58.031889248559082</v>
      </c>
      <c r="M239" s="14">
        <f t="shared" si="150"/>
        <v>-26.961158699615908</v>
      </c>
      <c r="N239" s="187">
        <f t="shared" si="150"/>
        <v>0</v>
      </c>
      <c r="O239" s="14">
        <f t="shared" si="150"/>
        <v>-7.676819107805386</v>
      </c>
      <c r="P239" s="14">
        <f t="shared" si="150"/>
        <v>1.4162816554162418</v>
      </c>
      <c r="Q239" s="14">
        <f t="shared" si="150"/>
        <v>-16.781699084744105</v>
      </c>
      <c r="R239" s="14">
        <f t="shared" si="150"/>
        <v>-5.1110337746581536</v>
      </c>
      <c r="S239" s="14">
        <f t="shared" si="150"/>
        <v>-3.1697127737861592</v>
      </c>
      <c r="T239" s="14">
        <f t="shared" si="150"/>
        <v>-4.3210788357168894</v>
      </c>
      <c r="U239" s="14">
        <f t="shared" si="150"/>
        <v>-12.996291308805439</v>
      </c>
      <c r="V239" s="14">
        <f t="shared" si="150"/>
        <v>-11.40097449570203</v>
      </c>
      <c r="W239" s="14">
        <f t="shared" si="150"/>
        <v>2.8763973632085253</v>
      </c>
      <c r="X239" s="187">
        <f t="shared" si="150"/>
        <v>-1.2666134080877782</v>
      </c>
      <c r="Y239" s="158">
        <f t="shared" si="150"/>
        <v>107.79645160074165</v>
      </c>
      <c r="Z239" s="158">
        <f t="shared" si="150"/>
        <v>205.70930683943106</v>
      </c>
      <c r="AA239" s="158">
        <f t="shared" si="150"/>
        <v>315.30598867064896</v>
      </c>
      <c r="AB239" s="158">
        <f t="shared" si="150"/>
        <v>424.74870485686779</v>
      </c>
      <c r="AC239" s="158">
        <f t="shared" si="150"/>
        <v>532.19680374848895</v>
      </c>
      <c r="AD239" s="158">
        <f t="shared" si="150"/>
        <v>637.46200454273912</v>
      </c>
      <c r="AE239" s="158">
        <f t="shared" si="150"/>
        <v>742.83672258535398</v>
      </c>
      <c r="AF239" s="158">
        <f t="shared" si="150"/>
        <v>843.57883111148681</v>
      </c>
      <c r="AG239" s="158">
        <f t="shared" si="150"/>
        <v>955.23152653763191</v>
      </c>
      <c r="AH239" s="187">
        <f t="shared" si="150"/>
        <v>1089.150488342098</v>
      </c>
    </row>
    <row r="240" spans="1:34">
      <c r="A240" t="s">
        <v>394</v>
      </c>
      <c r="C240" s="330">
        <f>C219-C200</f>
        <v>4.8070000000006985</v>
      </c>
      <c r="D240" s="330">
        <f t="shared" ref="D240:AH240" si="151">D219-D200+D249+D252</f>
        <v>-412.50246051533759</v>
      </c>
      <c r="E240" s="330">
        <f t="shared" si="151"/>
        <v>-528.68239345797338</v>
      </c>
      <c r="F240" s="330">
        <f t="shared" si="151"/>
        <v>-270.9724859850794</v>
      </c>
      <c r="G240" s="330">
        <f t="shared" si="151"/>
        <v>-349.79695500162052</v>
      </c>
      <c r="H240" s="401">
        <f t="shared" si="151"/>
        <v>-0.27170000000478467</v>
      </c>
      <c r="I240" s="14">
        <f t="shared" si="151"/>
        <v>-0.72700814228664967</v>
      </c>
      <c r="J240" s="14">
        <f t="shared" si="151"/>
        <v>94.586206517366008</v>
      </c>
      <c r="K240" s="14">
        <f t="shared" si="151"/>
        <v>108.19213185417539</v>
      </c>
      <c r="L240" s="14">
        <f t="shared" si="151"/>
        <v>-66.534780578185746</v>
      </c>
      <c r="M240" s="14">
        <f t="shared" si="151"/>
        <v>-188.75838229592773</v>
      </c>
      <c r="N240" s="187">
        <f t="shared" si="151"/>
        <v>-212.64492023945058</v>
      </c>
      <c r="O240" s="14">
        <f t="shared" si="151"/>
        <v>-217.27617485852534</v>
      </c>
      <c r="P240" s="14">
        <f t="shared" si="151"/>
        <v>-268.08407160653587</v>
      </c>
      <c r="Q240" s="14">
        <f t="shared" si="151"/>
        <v>-251.96259560178441</v>
      </c>
      <c r="R240" s="14">
        <f t="shared" si="151"/>
        <v>-261.67977233539568</v>
      </c>
      <c r="S240" s="14">
        <f t="shared" si="151"/>
        <v>-292.25656365910254</v>
      </c>
      <c r="T240" s="14">
        <f t="shared" si="151"/>
        <v>-317.43290616945887</v>
      </c>
      <c r="U240" s="14">
        <f t="shared" si="151"/>
        <v>-332.31311498687137</v>
      </c>
      <c r="V240" s="14">
        <f t="shared" si="151"/>
        <v>-366.25841728279192</v>
      </c>
      <c r="W240" s="14">
        <f t="shared" si="151"/>
        <v>-427.3371395765389</v>
      </c>
      <c r="X240" s="187">
        <f t="shared" si="151"/>
        <v>-400.40833414181179</v>
      </c>
      <c r="Y240" s="158">
        <f t="shared" si="151"/>
        <v>-579.72143902353855</v>
      </c>
      <c r="Z240" s="158">
        <f t="shared" si="151"/>
        <v>-748.12572628583075</v>
      </c>
      <c r="AA240" s="158">
        <f t="shared" si="151"/>
        <v>-944.39060743254959</v>
      </c>
      <c r="AB240" s="158">
        <f t="shared" si="151"/>
        <v>-1138.3464897047525</v>
      </c>
      <c r="AC240" s="158">
        <f t="shared" si="151"/>
        <v>-1329.283288631992</v>
      </c>
      <c r="AD240" s="158">
        <f t="shared" si="151"/>
        <v>-1521.952234309676</v>
      </c>
      <c r="AE240" s="158">
        <f t="shared" si="151"/>
        <v>-1713.6687156551016</v>
      </c>
      <c r="AF240" s="158">
        <f t="shared" si="151"/>
        <v>-1897.5787888736486</v>
      </c>
      <c r="AG240" s="158">
        <f t="shared" si="151"/>
        <v>-2089.1166224625886</v>
      </c>
      <c r="AH240" s="187">
        <f t="shared" si="151"/>
        <v>-2290.8864686827255</v>
      </c>
    </row>
    <row r="241" spans="1:34">
      <c r="A241" t="s">
        <v>423</v>
      </c>
      <c r="C241" s="330">
        <f>C220-C201</f>
        <v>2.5300000000006548</v>
      </c>
      <c r="D241" s="330">
        <f t="shared" ref="D241:AH241" si="152">D220-D201+D250+D253</f>
        <v>-217.10655816596773</v>
      </c>
      <c r="E241" s="330">
        <f t="shared" si="152"/>
        <v>-278.25389129366886</v>
      </c>
      <c r="F241" s="330">
        <f t="shared" si="152"/>
        <v>-142.61709788688313</v>
      </c>
      <c r="G241" s="330">
        <f t="shared" si="152"/>
        <v>-184.10366052716927</v>
      </c>
      <c r="H241" s="401">
        <f t="shared" si="152"/>
        <v>-0.14300000000184809</v>
      </c>
      <c r="I241" s="14">
        <f t="shared" si="152"/>
        <v>-0.38263586436005426</v>
      </c>
      <c r="J241" s="14">
        <f t="shared" si="152"/>
        <v>49.782213956508713</v>
      </c>
      <c r="K241" s="14">
        <f t="shared" si="152"/>
        <v>56.943227291671064</v>
      </c>
      <c r="L241" s="14">
        <f t="shared" si="152"/>
        <v>-35.018305567466086</v>
      </c>
      <c r="M241" s="14">
        <f t="shared" si="152"/>
        <v>-99.346516997857179</v>
      </c>
      <c r="N241" s="187">
        <f t="shared" si="152"/>
        <v>-111.91837907339323</v>
      </c>
      <c r="O241" s="14">
        <f t="shared" si="152"/>
        <v>-114.3558815044853</v>
      </c>
      <c r="P241" s="14">
        <f t="shared" si="152"/>
        <v>-141.09687979291448</v>
      </c>
      <c r="Q241" s="14">
        <f t="shared" si="152"/>
        <v>-132.6118924219918</v>
      </c>
      <c r="R241" s="14">
        <f t="shared" si="152"/>
        <v>-137.72619596599725</v>
      </c>
      <c r="S241" s="14">
        <f t="shared" si="152"/>
        <v>-153.81924403110679</v>
      </c>
      <c r="T241" s="14">
        <f t="shared" si="152"/>
        <v>-167.06995061550515</v>
      </c>
      <c r="U241" s="14">
        <f t="shared" si="152"/>
        <v>-174.90163946677239</v>
      </c>
      <c r="V241" s="14">
        <f t="shared" si="152"/>
        <v>-192.76758804357451</v>
      </c>
      <c r="W241" s="14">
        <f t="shared" si="152"/>
        <v>-224.91428398765129</v>
      </c>
      <c r="X241" s="187">
        <f t="shared" si="152"/>
        <v>-210.74122849568994</v>
      </c>
      <c r="Y241" s="158">
        <f t="shared" si="152"/>
        <v>-305.11654685449321</v>
      </c>
      <c r="Z241" s="158">
        <f t="shared" si="152"/>
        <v>-393.75038225570097</v>
      </c>
      <c r="AA241" s="158">
        <f t="shared" si="152"/>
        <v>-497.04768812239308</v>
      </c>
      <c r="AB241" s="158">
        <f t="shared" si="152"/>
        <v>-599.1297314235544</v>
      </c>
      <c r="AC241" s="158">
        <f t="shared" si="152"/>
        <v>-699.62278349052212</v>
      </c>
      <c r="AD241" s="158">
        <f t="shared" si="152"/>
        <v>-801.02749174193559</v>
      </c>
      <c r="AE241" s="158">
        <f t="shared" si="152"/>
        <v>-901.93090297636991</v>
      </c>
      <c r="AF241" s="158">
        <f t="shared" si="152"/>
        <v>-998.72567835455084</v>
      </c>
      <c r="AG241" s="158">
        <f t="shared" si="152"/>
        <v>-1099.535064453994</v>
      </c>
      <c r="AH241" s="187">
        <f t="shared" si="152"/>
        <v>-1205.729720359328</v>
      </c>
    </row>
    <row r="242" spans="1:34">
      <c r="A242" t="s">
        <v>424</v>
      </c>
      <c r="C242" s="330">
        <f>C221-C202</f>
        <v>2.2770000000000437</v>
      </c>
      <c r="D242" s="330">
        <f t="shared" ref="D242:AH242" si="153">D221-D202+D251+D254</f>
        <v>-195.39590234937168</v>
      </c>
      <c r="E242" s="330">
        <f t="shared" si="153"/>
        <v>-250.4285021643027</v>
      </c>
      <c r="F242" s="330">
        <f t="shared" si="153"/>
        <v>-128.35538809819627</v>
      </c>
      <c r="G242" s="330">
        <f t="shared" si="153"/>
        <v>-165.69329447445125</v>
      </c>
      <c r="H242" s="401">
        <f t="shared" si="153"/>
        <v>-0.12870000000202708</v>
      </c>
      <c r="I242" s="14">
        <f t="shared" si="153"/>
        <v>-0.34437227792477643</v>
      </c>
      <c r="J242" s="14">
        <f t="shared" si="153"/>
        <v>44.803992560858205</v>
      </c>
      <c r="K242" s="14">
        <f t="shared" si="153"/>
        <v>51.248904562504322</v>
      </c>
      <c r="L242" s="14">
        <f t="shared" si="153"/>
        <v>-31.51647501071966</v>
      </c>
      <c r="M242" s="14">
        <f t="shared" si="153"/>
        <v>-89.411865298071461</v>
      </c>
      <c r="N242" s="187">
        <f t="shared" si="153"/>
        <v>-100.72654116605372</v>
      </c>
      <c r="O242" s="14">
        <f t="shared" si="153"/>
        <v>-102.92029335403822</v>
      </c>
      <c r="P242" s="14">
        <f t="shared" si="153"/>
        <v>-126.9871918136223</v>
      </c>
      <c r="Q242" s="14">
        <f t="shared" si="153"/>
        <v>-119.35070317979171</v>
      </c>
      <c r="R242" s="14">
        <f t="shared" si="153"/>
        <v>-123.95357636939752</v>
      </c>
      <c r="S242" s="14">
        <f t="shared" si="153"/>
        <v>-138.43731962799666</v>
      </c>
      <c r="T242" s="14">
        <f t="shared" si="153"/>
        <v>-150.36295555395373</v>
      </c>
      <c r="U242" s="14">
        <f t="shared" si="153"/>
        <v>-157.41147552009534</v>
      </c>
      <c r="V242" s="14">
        <f t="shared" si="153"/>
        <v>-173.49082923921742</v>
      </c>
      <c r="W242" s="14">
        <f t="shared" si="153"/>
        <v>-202.4228555888858</v>
      </c>
      <c r="X242" s="187">
        <f t="shared" si="153"/>
        <v>-189.66710564612004</v>
      </c>
      <c r="Y242" s="158">
        <f t="shared" si="153"/>
        <v>-274.60489216904352</v>
      </c>
      <c r="Z242" s="158">
        <f t="shared" si="153"/>
        <v>-354.3753440301316</v>
      </c>
      <c r="AA242" s="158">
        <f t="shared" si="153"/>
        <v>-447.34291931015468</v>
      </c>
      <c r="AB242" s="158">
        <f t="shared" si="153"/>
        <v>-539.21675828119896</v>
      </c>
      <c r="AC242" s="158">
        <f t="shared" si="153"/>
        <v>-629.66050514146991</v>
      </c>
      <c r="AD242" s="158">
        <f t="shared" si="153"/>
        <v>-720.92474256774221</v>
      </c>
      <c r="AE242" s="158">
        <f t="shared" si="153"/>
        <v>-811.73781267873437</v>
      </c>
      <c r="AF242" s="158">
        <f t="shared" si="153"/>
        <v>-898.85311051909684</v>
      </c>
      <c r="AG242" s="158">
        <f t="shared" si="153"/>
        <v>-989.58155800859458</v>
      </c>
      <c r="AH242" s="187">
        <f t="shared" si="153"/>
        <v>-1085.1567483233966</v>
      </c>
    </row>
    <row r="243" spans="1:34" s="1" customFormat="1">
      <c r="A243" s="1" t="s">
        <v>405</v>
      </c>
      <c r="B243" s="13"/>
      <c r="C243" s="340">
        <f>C222-C203</f>
        <v>4.8067300000002433</v>
      </c>
      <c r="D243" s="340">
        <f t="shared" ref="D243:AH243" si="154">D222-D203+D249+D252</f>
        <v>122.64275377755257</v>
      </c>
      <c r="E243" s="340">
        <f t="shared" si="154"/>
        <v>158.38561275687243</v>
      </c>
      <c r="F243" s="340">
        <f t="shared" si="154"/>
        <v>95.446564319001482</v>
      </c>
      <c r="G243" s="340">
        <f t="shared" si="154"/>
        <v>111.63921182106424</v>
      </c>
      <c r="H243" s="404">
        <f t="shared" si="154"/>
        <v>-0.27197000000523985</v>
      </c>
      <c r="I243" s="15">
        <f t="shared" si="154"/>
        <v>5.1450773404685606</v>
      </c>
      <c r="J243" s="15">
        <f t="shared" si="154"/>
        <v>-15.45139901776929</v>
      </c>
      <c r="K243" s="15">
        <f t="shared" si="154"/>
        <v>-11.797371469881909</v>
      </c>
      <c r="L243" s="15">
        <f t="shared" si="154"/>
        <v>74.671050832133915</v>
      </c>
      <c r="M243" s="15">
        <f t="shared" si="154"/>
        <v>146.20963025170931</v>
      </c>
      <c r="N243" s="190">
        <f t="shared" si="154"/>
        <v>132.54216810398066</v>
      </c>
      <c r="O243" s="15">
        <f t="shared" si="154"/>
        <v>133.32788714876006</v>
      </c>
      <c r="P243" s="15">
        <f t="shared" si="154"/>
        <v>161.32235276923166</v>
      </c>
      <c r="Q243" s="15">
        <f t="shared" si="154"/>
        <v>160.59553923714338</v>
      </c>
      <c r="R243" s="15">
        <f t="shared" si="154"/>
        <v>147.7570517120439</v>
      </c>
      <c r="S243" s="15">
        <f t="shared" si="154"/>
        <v>165.21822959627025</v>
      </c>
      <c r="T243" s="15">
        <f t="shared" si="154"/>
        <v>181.23503680797148</v>
      </c>
      <c r="U243" s="15">
        <f t="shared" si="154"/>
        <v>193.80422224193899</v>
      </c>
      <c r="V243" s="15">
        <f t="shared" si="154"/>
        <v>214.24323252350587</v>
      </c>
      <c r="W243" s="15">
        <f t="shared" si="154"/>
        <v>243.49509155537089</v>
      </c>
      <c r="X243" s="190">
        <f t="shared" si="154"/>
        <v>215.35862486587939</v>
      </c>
      <c r="Y243" s="130">
        <f t="shared" si="154"/>
        <v>262.78068260075452</v>
      </c>
      <c r="Z243" s="130">
        <f t="shared" si="154"/>
        <v>314.1630671079547</v>
      </c>
      <c r="AA243" s="130">
        <f t="shared" si="154"/>
        <v>375.9491957648861</v>
      </c>
      <c r="AB243" s="130">
        <f t="shared" si="154"/>
        <v>436.53910885809091</v>
      </c>
      <c r="AC243" s="130">
        <f t="shared" si="154"/>
        <v>496.30043607162952</v>
      </c>
      <c r="AD243" s="130">
        <f t="shared" si="154"/>
        <v>559.35588793551869</v>
      </c>
      <c r="AE243" s="130">
        <f t="shared" si="154"/>
        <v>622.50960153669075</v>
      </c>
      <c r="AF243" s="130">
        <f t="shared" si="154"/>
        <v>683.46662602519427</v>
      </c>
      <c r="AG243" s="130">
        <f t="shared" si="154"/>
        <v>744.52783792150512</v>
      </c>
      <c r="AH243" s="190">
        <f t="shared" si="154"/>
        <v>804.09129712984213</v>
      </c>
    </row>
    <row r="244" spans="1:34">
      <c r="A244" t="s">
        <v>445</v>
      </c>
      <c r="C244" s="330"/>
      <c r="D244" s="330">
        <f>D231+D234</f>
        <v>1.5193315657056701</v>
      </c>
      <c r="E244" s="330">
        <f t="shared" ref="E244:N244" si="155">E231+E234</f>
        <v>15.836517906606389</v>
      </c>
      <c r="F244" s="330">
        <f t="shared" si="155"/>
        <v>18.247961552783181</v>
      </c>
      <c r="G244" s="330">
        <f t="shared" si="155"/>
        <v>13.8425329324823</v>
      </c>
      <c r="H244" s="401">
        <f t="shared" si="155"/>
        <v>-2.7000000000043656E-4</v>
      </c>
      <c r="I244" s="14">
        <f t="shared" si="155"/>
        <v>44.501977731404395</v>
      </c>
      <c r="J244" s="14">
        <f t="shared" si="155"/>
        <v>45.507153234297334</v>
      </c>
      <c r="K244" s="14">
        <f t="shared" si="155"/>
        <v>128.30372441103395</v>
      </c>
      <c r="L244" s="14">
        <f t="shared" si="155"/>
        <v>263.71759760171949</v>
      </c>
      <c r="M244" s="14">
        <f t="shared" si="155"/>
        <v>391.88601424682724</v>
      </c>
      <c r="N244" s="187">
        <f t="shared" si="155"/>
        <v>345.18708834343306</v>
      </c>
      <c r="O244" s="14">
        <f>O231+O234</f>
        <v>366.81068012376409</v>
      </c>
      <c r="P244" s="14">
        <f t="shared" ref="P244:AH244" si="156">P231+P234</f>
        <v>426.41649643655478</v>
      </c>
      <c r="Q244" s="14">
        <f t="shared" si="156"/>
        <v>447.98616624005444</v>
      </c>
      <c r="R244" s="14">
        <f t="shared" si="156"/>
        <v>420.22678423838624</v>
      </c>
      <c r="S244" s="14">
        <f t="shared" si="156"/>
        <v>464.16640911114382</v>
      </c>
      <c r="T244" s="14">
        <f t="shared" si="156"/>
        <v>507.79022051949892</v>
      </c>
      <c r="U244" s="14">
        <f t="shared" si="156"/>
        <v>553.55395221406548</v>
      </c>
      <c r="V244" s="14">
        <f t="shared" si="156"/>
        <v>604.57037374167021</v>
      </c>
      <c r="W244" s="14">
        <f t="shared" si="156"/>
        <v>664.75983669847028</v>
      </c>
      <c r="X244" s="187">
        <f t="shared" si="156"/>
        <v>618.44092064698771</v>
      </c>
      <c r="Y244" s="158">
        <f t="shared" si="156"/>
        <v>614.93183491161517</v>
      </c>
      <c r="Z244" s="158">
        <f t="shared" si="156"/>
        <v>628.01359006609664</v>
      </c>
      <c r="AA244" s="158">
        <f t="shared" si="156"/>
        <v>654.693827114957</v>
      </c>
      <c r="AB244" s="158">
        <f t="shared" si="156"/>
        <v>678.19388830945604</v>
      </c>
      <c r="AC244" s="158">
        <f t="shared" si="156"/>
        <v>702.05713901236982</v>
      </c>
      <c r="AD244" s="158">
        <f t="shared" si="156"/>
        <v>735.55500154385504</v>
      </c>
      <c r="AE244" s="158">
        <f t="shared" si="156"/>
        <v>767.96745840049198</v>
      </c>
      <c r="AF244" s="158">
        <f t="shared" si="156"/>
        <v>800.15677144125789</v>
      </c>
      <c r="AG244" s="158">
        <f t="shared" si="156"/>
        <v>817.04457102687138</v>
      </c>
      <c r="AH244" s="187">
        <f t="shared" si="156"/>
        <v>795.66006820147049</v>
      </c>
    </row>
    <row r="245" spans="1:34">
      <c r="A245" t="s">
        <v>446</v>
      </c>
      <c r="D245" s="330">
        <f>D231+D234+D237</f>
        <v>535.14521429289152</v>
      </c>
      <c r="E245" s="330">
        <f t="shared" ref="E245:N245" si="157">E231+E234+E237</f>
        <v>687.06800621484717</v>
      </c>
      <c r="F245" s="330">
        <f t="shared" si="157"/>
        <v>366.41905030407997</v>
      </c>
      <c r="G245" s="330">
        <f t="shared" si="157"/>
        <v>461.43616682268657</v>
      </c>
      <c r="H245" s="401">
        <f t="shared" si="157"/>
        <v>-2.7000000000043656E-4</v>
      </c>
      <c r="I245" s="14">
        <f t="shared" si="157"/>
        <v>5.8720854827568019</v>
      </c>
      <c r="J245" s="14">
        <f t="shared" si="157"/>
        <v>-110.03760553513337</v>
      </c>
      <c r="K245" s="14">
        <f t="shared" si="157"/>
        <v>-119.98950332405434</v>
      </c>
      <c r="L245" s="14">
        <f t="shared" si="157"/>
        <v>141.20583141031716</v>
      </c>
      <c r="M245" s="14">
        <f t="shared" si="157"/>
        <v>334.96801254763773</v>
      </c>
      <c r="N245" s="187">
        <f t="shared" si="157"/>
        <v>345.18708834343306</v>
      </c>
      <c r="O245" s="14">
        <f>O231+O234+O237</f>
        <v>350.60406200728585</v>
      </c>
      <c r="P245" s="14">
        <f t="shared" ref="P245:AH245" si="158">P231+P234+P237</f>
        <v>429.40642437576685</v>
      </c>
      <c r="Q245" s="14">
        <f t="shared" si="158"/>
        <v>412.5581348389278</v>
      </c>
      <c r="R245" s="14">
        <f t="shared" si="158"/>
        <v>409.43682404744095</v>
      </c>
      <c r="S245" s="14">
        <f t="shared" si="158"/>
        <v>457.47479325537279</v>
      </c>
      <c r="T245" s="14">
        <f t="shared" si="158"/>
        <v>498.66794297742968</v>
      </c>
      <c r="U245" s="14">
        <f t="shared" si="158"/>
        <v>526.11733722880967</v>
      </c>
      <c r="V245" s="14">
        <f t="shared" si="158"/>
        <v>580.50164980629961</v>
      </c>
      <c r="W245" s="14">
        <f t="shared" si="158"/>
        <v>670.8322311319107</v>
      </c>
      <c r="X245" s="187">
        <f t="shared" si="158"/>
        <v>615.76695900769164</v>
      </c>
      <c r="Y245" s="158">
        <f t="shared" si="158"/>
        <v>842.50212162429216</v>
      </c>
      <c r="Z245" s="158">
        <f t="shared" si="158"/>
        <v>1062.2887933937845</v>
      </c>
      <c r="AA245" s="158">
        <f t="shared" si="158"/>
        <v>1320.3398031974375</v>
      </c>
      <c r="AB245" s="158">
        <f t="shared" si="158"/>
        <v>1574.8855985628441</v>
      </c>
      <c r="AC245" s="158">
        <f t="shared" si="158"/>
        <v>1825.583724703625</v>
      </c>
      <c r="AD245" s="158">
        <f t="shared" si="158"/>
        <v>2081.3081222451938</v>
      </c>
      <c r="AE245" s="158">
        <f t="shared" si="158"/>
        <v>2336.1783171917946</v>
      </c>
      <c r="AF245" s="158">
        <f t="shared" si="158"/>
        <v>2581.045414898841</v>
      </c>
      <c r="AG245" s="158">
        <f t="shared" si="158"/>
        <v>2833.6444603840941</v>
      </c>
      <c r="AH245" s="187">
        <f t="shared" si="158"/>
        <v>3094.9777658125668</v>
      </c>
    </row>
    <row r="246" spans="1:34" s="1" customFormat="1">
      <c r="A246" s="1" t="s">
        <v>449</v>
      </c>
      <c r="B246" s="13"/>
      <c r="C246" s="327"/>
      <c r="D246" s="340">
        <f>D243</f>
        <v>122.64275377755257</v>
      </c>
      <c r="E246" s="340">
        <f>D246+E243</f>
        <v>281.028366534425</v>
      </c>
      <c r="F246" s="340">
        <f>E246+F243</f>
        <v>376.47493085342649</v>
      </c>
      <c r="G246" s="340">
        <f>F246+G243</f>
        <v>488.11414267449072</v>
      </c>
      <c r="H246" s="404"/>
      <c r="I246" s="15">
        <f t="shared" ref="I246:X246" si="159">H246+I243</f>
        <v>5.1450773404685606</v>
      </c>
      <c r="J246" s="15">
        <f t="shared" si="159"/>
        <v>-10.30632167730073</v>
      </c>
      <c r="K246" s="15">
        <f t="shared" si="159"/>
        <v>-22.103693147182639</v>
      </c>
      <c r="L246" s="15">
        <f t="shared" si="159"/>
        <v>52.567357684951276</v>
      </c>
      <c r="M246" s="15">
        <f t="shared" si="159"/>
        <v>198.77698793666059</v>
      </c>
      <c r="N246" s="190">
        <f t="shared" si="159"/>
        <v>331.31915604064125</v>
      </c>
      <c r="O246" s="15">
        <f t="shared" si="159"/>
        <v>464.6470431894013</v>
      </c>
      <c r="P246" s="15">
        <f t="shared" si="159"/>
        <v>625.96939595863296</v>
      </c>
      <c r="Q246" s="15">
        <f t="shared" si="159"/>
        <v>786.56493519577634</v>
      </c>
      <c r="R246" s="15">
        <f t="shared" si="159"/>
        <v>934.32198690782025</v>
      </c>
      <c r="S246" s="15">
        <f t="shared" si="159"/>
        <v>1099.5402165040905</v>
      </c>
      <c r="T246" s="15">
        <f t="shared" si="159"/>
        <v>1280.775253312062</v>
      </c>
      <c r="U246" s="15">
        <f t="shared" si="159"/>
        <v>1474.579475554001</v>
      </c>
      <c r="V246" s="15">
        <f t="shared" si="159"/>
        <v>1688.8227080775068</v>
      </c>
      <c r="W246" s="15">
        <f t="shared" si="159"/>
        <v>1932.3177996328777</v>
      </c>
      <c r="X246" s="190">
        <f t="shared" si="159"/>
        <v>2147.6764244987571</v>
      </c>
      <c r="Y246" s="130">
        <f t="shared" ref="Y246:AH246" si="160">X246+Y243</f>
        <v>2410.4571070995116</v>
      </c>
      <c r="Z246" s="130">
        <f t="shared" si="160"/>
        <v>2724.6201742074663</v>
      </c>
      <c r="AA246" s="130">
        <f t="shared" si="160"/>
        <v>3100.5693699723524</v>
      </c>
      <c r="AB246" s="130">
        <f t="shared" si="160"/>
        <v>3537.1084788304433</v>
      </c>
      <c r="AC246" s="130">
        <f t="shared" si="160"/>
        <v>4033.4089149020729</v>
      </c>
      <c r="AD246" s="130">
        <f t="shared" si="160"/>
        <v>4592.7648028375916</v>
      </c>
      <c r="AE246" s="130">
        <f t="shared" si="160"/>
        <v>5215.2744043742823</v>
      </c>
      <c r="AF246" s="130">
        <f t="shared" si="160"/>
        <v>5898.7410303994766</v>
      </c>
      <c r="AG246" s="130">
        <f t="shared" si="160"/>
        <v>6643.2688683209817</v>
      </c>
      <c r="AH246" s="190">
        <f t="shared" si="160"/>
        <v>7447.3601654508238</v>
      </c>
    </row>
    <row r="247" spans="1:34">
      <c r="A247" t="s">
        <v>458</v>
      </c>
      <c r="D247" s="342" t="b">
        <f t="shared" ref="D247:AH247" si="161">IF(D185-D246&lt;1,TRUE,FALSE)</f>
        <v>1</v>
      </c>
      <c r="E247" s="342" t="b">
        <f t="shared" si="161"/>
        <v>1</v>
      </c>
      <c r="F247" s="342" t="b">
        <f t="shared" si="161"/>
        <v>1</v>
      </c>
      <c r="G247" s="342" t="b">
        <f t="shared" si="161"/>
        <v>1</v>
      </c>
      <c r="H247" s="407"/>
      <c r="I247" s="133" t="b">
        <f t="shared" si="161"/>
        <v>1</v>
      </c>
      <c r="J247" s="133" t="b">
        <f t="shared" si="161"/>
        <v>1</v>
      </c>
      <c r="K247" s="133" t="b">
        <f t="shared" si="161"/>
        <v>1</v>
      </c>
      <c r="L247" s="133" t="b">
        <f t="shared" si="161"/>
        <v>1</v>
      </c>
      <c r="M247" s="133" t="b">
        <f t="shared" si="161"/>
        <v>1</v>
      </c>
      <c r="N247" s="193"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3" t="b">
        <f t="shared" si="161"/>
        <v>1</v>
      </c>
      <c r="Y247" s="289" t="b">
        <f t="shared" si="161"/>
        <v>1</v>
      </c>
      <c r="Z247" s="289" t="b">
        <f t="shared" si="161"/>
        <v>1</v>
      </c>
      <c r="AA247" s="289" t="b">
        <f t="shared" si="161"/>
        <v>1</v>
      </c>
      <c r="AB247" s="289" t="b">
        <f t="shared" si="161"/>
        <v>1</v>
      </c>
      <c r="AC247" s="289" t="b">
        <f t="shared" si="161"/>
        <v>1</v>
      </c>
      <c r="AD247" s="289" t="b">
        <f t="shared" si="161"/>
        <v>1</v>
      </c>
      <c r="AE247" s="289" t="b">
        <f t="shared" si="161"/>
        <v>1</v>
      </c>
      <c r="AF247" s="289" t="b">
        <f t="shared" si="161"/>
        <v>1</v>
      </c>
      <c r="AG247" s="289" t="b">
        <f t="shared" si="161"/>
        <v>1</v>
      </c>
      <c r="AH247" s="193" t="b">
        <f t="shared" si="161"/>
        <v>1</v>
      </c>
    </row>
    <row r="248" spans="1:34">
      <c r="A248" t="s">
        <v>439</v>
      </c>
    </row>
    <row r="249" spans="1:34" s="1" customFormat="1">
      <c r="A249" s="1" t="s">
        <v>440</v>
      </c>
      <c r="B249" s="13"/>
      <c r="C249" s="327"/>
      <c r="D249" s="340">
        <f>D$29*(EIA_electricity_aeo2014!F$60) * Inputs!$M$60</f>
        <v>0</v>
      </c>
      <c r="E249" s="340">
        <f>E$29*(EIA_electricity_aeo2014!G$60) * Inputs!$M$60</f>
        <v>0</v>
      </c>
      <c r="F249" s="340">
        <f>F$29*(EIA_electricity_aeo2014!H$60) * Inputs!$M$60</f>
        <v>0</v>
      </c>
      <c r="G249" s="340">
        <f>G$29*(EIA_electricity_aeo2014!I$60) * Inputs!$M$60</f>
        <v>0</v>
      </c>
      <c r="H249" s="404">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442</v>
      </c>
      <c r="D250" s="330">
        <f>D$29*(EIA_electricity_aeo2014!F$60) * Inputs!$C$60</f>
        <v>0</v>
      </c>
      <c r="E250" s="330">
        <f>E$29*(EIA_electricity_aeo2014!G$60) * Inputs!$C$60</f>
        <v>0</v>
      </c>
      <c r="F250" s="330">
        <f>F$29*(EIA_electricity_aeo2014!H$60) * Inputs!$C$60</f>
        <v>0</v>
      </c>
      <c r="G250" s="330">
        <f>G$29*(EIA_electricity_aeo2014!I$60) * Inputs!$C$60</f>
        <v>0</v>
      </c>
      <c r="H250" s="401">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443</v>
      </c>
      <c r="D251" s="330">
        <f>D250*Inputs!$H$60</f>
        <v>0</v>
      </c>
      <c r="E251" s="330">
        <f>E250*Inputs!$H$60</f>
        <v>0</v>
      </c>
      <c r="F251" s="330">
        <f>F250*Inputs!$H$60</f>
        <v>0</v>
      </c>
      <c r="G251" s="330">
        <f>G250*Inputs!$H$60</f>
        <v>0</v>
      </c>
      <c r="H251" s="401">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441</v>
      </c>
      <c r="B252" s="13"/>
      <c r="C252" s="327"/>
      <c r="D252" s="340">
        <f>D$29*(1-EIA_electricity_aeo2014!F$60) * Inputs!$M$61</f>
        <v>0</v>
      </c>
      <c r="E252" s="340">
        <f>E$29*(1-EIA_electricity_aeo2014!G$60) * Inputs!$M$61</f>
        <v>0</v>
      </c>
      <c r="F252" s="340">
        <f>F$29*(1-EIA_electricity_aeo2014!H$60) * Inputs!$M$61</f>
        <v>0</v>
      </c>
      <c r="G252" s="340">
        <f>G$29*(1-EIA_electricity_aeo2014!I$60) * Inputs!$M$61</f>
        <v>0</v>
      </c>
      <c r="H252" s="404">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442</v>
      </c>
      <c r="D253" s="330">
        <f>D$29*(1-EIA_electricity_aeo2014!F$60) * Inputs!$C$61</f>
        <v>0</v>
      </c>
      <c r="E253" s="330">
        <f>E$29*(1-EIA_electricity_aeo2014!G$60) * Inputs!$C$61</f>
        <v>0</v>
      </c>
      <c r="F253" s="330">
        <f>F$29*(1-EIA_electricity_aeo2014!H$60) * Inputs!$C$61</f>
        <v>0</v>
      </c>
      <c r="G253" s="330">
        <f>G$29*(1-EIA_electricity_aeo2014!I$60) * Inputs!$C$61</f>
        <v>0</v>
      </c>
      <c r="H253" s="401">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443</v>
      </c>
      <c r="D254" s="330">
        <f>D253*Inputs!$H$61</f>
        <v>0</v>
      </c>
      <c r="E254" s="330">
        <f>E253*Inputs!$H$61</f>
        <v>0</v>
      </c>
      <c r="F254" s="330">
        <f>F253*Inputs!$H$61</f>
        <v>0</v>
      </c>
      <c r="G254" s="330">
        <f>G253*Inputs!$H$61</f>
        <v>0</v>
      </c>
      <c r="H254" s="401">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C39" activePane="bottomRight" state="frozen"/>
      <selection pane="topRight" activeCell="C1" sqref="C1"/>
      <selection pane="bottomLeft" activeCell="A3" sqref="A3"/>
      <selection pane="bottomRight" activeCell="AF25" sqref="AF25"/>
    </sheetView>
  </sheetViews>
  <sheetFormatPr baseColWidth="10" defaultColWidth="8.83203125" defaultRowHeight="14" x14ac:dyDescent="0"/>
  <cols>
    <col min="1" max="1" width="25.6640625" bestFit="1" customWidth="1"/>
    <col min="2" max="2" width="5.6640625" style="2" bestFit="1" customWidth="1"/>
    <col min="3" max="3" width="13.33203125" style="326" bestFit="1" customWidth="1"/>
    <col min="4" max="4" width="12.33203125" style="326" customWidth="1"/>
    <col min="5" max="5" width="14.1640625" style="326" customWidth="1"/>
    <col min="6" max="6" width="11.33203125" style="326" bestFit="1" customWidth="1"/>
    <col min="7" max="7" width="14.33203125" style="326"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1"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6" t="s">
        <v>0</v>
      </c>
      <c r="D1" s="326" t="s">
        <v>0</v>
      </c>
      <c r="E1" s="392" t="s">
        <v>0</v>
      </c>
    </row>
    <row r="2" spans="1:34" s="1" customFormat="1">
      <c r="B2" s="2" t="s">
        <v>127</v>
      </c>
      <c r="C2" s="327">
        <v>2009</v>
      </c>
      <c r="D2" s="327">
        <v>2010</v>
      </c>
      <c r="E2" s="327">
        <v>2011</v>
      </c>
      <c r="F2" s="327">
        <v>2012</v>
      </c>
      <c r="G2" s="327">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7"/>
      <c r="D3" s="327"/>
      <c r="E3" s="327"/>
      <c r="F3" s="327"/>
      <c r="G3" s="327"/>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8">
        <f>EIA_electricity_aeo2014!E58 * 1000</f>
        <v>87780</v>
      </c>
      <c r="D4" s="328">
        <f>EIA_electricity_aeo2014!F58 * 1000</f>
        <v>91417.999999999985</v>
      </c>
      <c r="E4" s="328">
        <f>EIA_electricity_aeo2014!G58 * 1000</f>
        <v>94046.09357407724</v>
      </c>
      <c r="F4" s="328">
        <f>EIA_electricity_aeo2014!H58 * 1000</f>
        <v>90573.784274012505</v>
      </c>
      <c r="G4" s="328">
        <f>EIA_electricity_aeo2014!I58 * 1000</f>
        <v>91242.844410161706</v>
      </c>
      <c r="H4" s="21">
        <f>EIA_electricity_aeo2014!J58 * 1000</f>
        <v>92721.202265491374</v>
      </c>
      <c r="I4" s="21">
        <f>EIA_electricity_aeo2014!K58 * 1000</f>
        <v>96045.173325268042</v>
      </c>
      <c r="J4" s="21">
        <f>EIA_electricity_aeo2014!L58 * 1000</f>
        <v>91899.590125834526</v>
      </c>
      <c r="K4" s="21">
        <f>EIA_electricity_aeo2014!M58 * 1000</f>
        <v>93928.205112634969</v>
      </c>
      <c r="L4" s="21">
        <f>EIA_electricity_aeo2014!N58 * 1000</f>
        <v>95970.599660646607</v>
      </c>
      <c r="M4" s="21">
        <f>EIA_electricity_aeo2014!O58 * 1000</f>
        <v>96214.445202221221</v>
      </c>
      <c r="N4" s="387">
        <f>EIA_electricity_aeo2014!P58 * 1000</f>
        <v>96205.086304200639</v>
      </c>
      <c r="O4" s="21">
        <f>EIA_electricity_aeo2014!Q58 * 1000</f>
        <v>97301.03619287294</v>
      </c>
      <c r="P4" s="21">
        <f>EIA_electricity_aeo2014!R58 * 1000</f>
        <v>98464.47858769614</v>
      </c>
      <c r="Q4" s="21">
        <f>EIA_electricity_aeo2014!S58 * 1000</f>
        <v>97984.669769571759</v>
      </c>
      <c r="R4" s="21">
        <f>EIA_electricity_aeo2014!T58 * 1000</f>
        <v>99324.969805963861</v>
      </c>
      <c r="S4" s="21">
        <f>EIA_electricity_aeo2014!U58 * 1000</f>
        <v>100083.81011123699</v>
      </c>
      <c r="T4" s="21">
        <f>EIA_electricity_aeo2014!V58 * 1000</f>
        <v>100660.95387969889</v>
      </c>
      <c r="U4" s="21">
        <f>EIA_electricity_aeo2014!W58 * 1000</f>
        <v>101335.10892562049</v>
      </c>
      <c r="V4" s="21">
        <f>EIA_electricity_aeo2014!X58 * 1000</f>
        <v>102100.38417958764</v>
      </c>
      <c r="W4" s="21">
        <f>EIA_electricity_aeo2014!Y58 * 1000</f>
        <v>103676.80505783756</v>
      </c>
      <c r="X4" s="387">
        <f>EIA_electricity_aeo2014!Z58 * 1000</f>
        <v>104102.9772568789</v>
      </c>
      <c r="Y4" s="21">
        <f>EIA_electricity_aeo2014!AA58 * 1000</f>
        <v>104464.60056975513</v>
      </c>
      <c r="Z4" s="21">
        <f>EIA_electricity_aeo2014!AB58 * 1000</f>
        <v>104156.08581491635</v>
      </c>
      <c r="AA4" s="21">
        <f>EIA_electricity_aeo2014!AC58 * 1000</f>
        <v>104505.19988879721</v>
      </c>
      <c r="AB4" s="21">
        <f>EIA_electricity_aeo2014!AD58 * 1000</f>
        <v>104811.36141112373</v>
      </c>
      <c r="AC4" s="21">
        <f>EIA_electricity_aeo2014!AE58 * 1000</f>
        <v>104991.73027572203</v>
      </c>
      <c r="AD4" s="21">
        <f>EIA_electricity_aeo2014!AF58 * 1000</f>
        <v>105054.8353860377</v>
      </c>
      <c r="AE4" s="21">
        <f>EIA_electricity_aeo2014!AG58 * 1000</f>
        <v>105117.29568939461</v>
      </c>
      <c r="AF4" s="21">
        <f>EIA_electricity_aeo2014!AH58 * 1000</f>
        <v>104978.62417466169</v>
      </c>
      <c r="AG4" s="21">
        <f>EIA_electricity_aeo2014!AI58 * 1000</f>
        <v>105293.98610536149</v>
      </c>
      <c r="AH4" s="21">
        <f>EIA_electricity_aeo2014!AJ58 * 1000</f>
        <v>106453.94011646594</v>
      </c>
    </row>
    <row r="5" spans="1:34">
      <c r="A5" s="9" t="s">
        <v>61</v>
      </c>
      <c r="B5" s="34">
        <v>0</v>
      </c>
      <c r="C5" s="329">
        <v>0</v>
      </c>
      <c r="D5" s="329"/>
      <c r="E5" s="329"/>
      <c r="F5" s="329"/>
      <c r="G5" s="329"/>
      <c r="H5" s="3"/>
      <c r="I5" s="3"/>
      <c r="J5" s="3"/>
      <c r="K5" s="3"/>
      <c r="L5" s="3"/>
      <c r="M5" s="3"/>
      <c r="N5" s="387"/>
      <c r="O5" s="3"/>
      <c r="P5" s="3"/>
      <c r="Q5" s="3"/>
      <c r="R5" s="3"/>
      <c r="S5" s="3"/>
      <c r="T5" s="3"/>
      <c r="U5" s="3"/>
      <c r="V5" s="3"/>
      <c r="W5" s="3"/>
      <c r="X5" s="184"/>
    </row>
    <row r="6" spans="1:34">
      <c r="A6" s="9" t="s">
        <v>60</v>
      </c>
      <c r="B6" s="34">
        <v>0</v>
      </c>
      <c r="C6" s="329">
        <v>0</v>
      </c>
      <c r="D6" s="329"/>
      <c r="E6" s="393" t="s">
        <v>0</v>
      </c>
      <c r="F6" s="329"/>
      <c r="G6" s="329"/>
      <c r="H6" s="3"/>
      <c r="I6" s="3"/>
      <c r="J6" s="3"/>
      <c r="K6" s="3"/>
      <c r="L6" s="3"/>
      <c r="M6" s="3"/>
      <c r="N6" s="387"/>
      <c r="O6" s="3"/>
      <c r="P6" s="3"/>
      <c r="Q6" s="3"/>
      <c r="R6" s="3"/>
      <c r="S6" s="3"/>
      <c r="T6" s="3"/>
      <c r="U6" s="3"/>
      <c r="V6" s="3"/>
      <c r="W6" s="3"/>
      <c r="X6" s="184"/>
    </row>
    <row r="7" spans="1:34">
      <c r="A7" s="9" t="s">
        <v>49</v>
      </c>
      <c r="B7" s="34">
        <v>0</v>
      </c>
      <c r="C7" s="329">
        <f>EIA_RE_aeo2014!E73*1000-C15</f>
        <v>1816.99</v>
      </c>
      <c r="D7" s="329">
        <f>EIA_RE_aeo2014!F73*1000-D15</f>
        <v>1538.99</v>
      </c>
      <c r="E7" s="329">
        <f>EIA_RE_aeo2014!G73*1000-E15</f>
        <v>1461.0900000000001</v>
      </c>
      <c r="F7" s="329">
        <f>EIA_RE_aeo2014!H73*1000-F15</f>
        <v>1118.1400000000001</v>
      </c>
      <c r="G7" s="329">
        <f>EIA_RE_aeo2014!I73*1000-G15</f>
        <v>1413.0294999999999</v>
      </c>
      <c r="H7" s="174">
        <f>EIA_RE_aeo2014!J73*1000-H15</f>
        <v>1668.1748</v>
      </c>
      <c r="I7" s="174">
        <f>EIA_RE_aeo2014!K73*1000-I15</f>
        <v>2161.1687499999998</v>
      </c>
      <c r="J7" s="174">
        <f>EIA_RE_aeo2014!L73*1000-J15</f>
        <v>2205.2876999999999</v>
      </c>
      <c r="K7" s="174">
        <f>EIA_RE_aeo2014!M73*1000-K15</f>
        <v>2961.9351499999998</v>
      </c>
      <c r="L7" s="174">
        <f>EIA_RE_aeo2014!N73*1000-L15</f>
        <v>2961.9360999999994</v>
      </c>
      <c r="M7" s="174">
        <f>EIA_RE_aeo2014!O73*1000-M15</f>
        <v>2961.93705</v>
      </c>
      <c r="N7" s="184">
        <f>EIA_RE_aeo2014!P73*1000-N15</f>
        <v>2961.93705</v>
      </c>
      <c r="O7" s="174">
        <f>EIA_RE_aeo2014!Q73*1000-O15</f>
        <v>3079.5755499999996</v>
      </c>
      <c r="P7" s="174">
        <f>EIA_RE_aeo2014!R73*1000-P15</f>
        <v>3079.5755499999996</v>
      </c>
      <c r="Q7" s="174">
        <f>EIA_RE_aeo2014!S73*1000-Q15</f>
        <v>3079.5755499999996</v>
      </c>
      <c r="R7" s="174">
        <f>EIA_RE_aeo2014!T73*1000-R15</f>
        <v>3079.5755499999996</v>
      </c>
      <c r="S7" s="83">
        <f>EIA_RE_aeo2014!U73*1000-S15</f>
        <v>3079.5745999999999</v>
      </c>
      <c r="T7" s="83">
        <f>EIA_RE_aeo2014!V73*1000-T15</f>
        <v>3079.5755499999996</v>
      </c>
      <c r="U7" s="83">
        <f>EIA_RE_aeo2014!W73*1000-U15</f>
        <v>3145.9415999999997</v>
      </c>
      <c r="V7" s="83">
        <f>EIA_RE_aeo2014!X73*1000-V15</f>
        <v>3145.9415999999997</v>
      </c>
      <c r="W7" s="83">
        <f>EIA_RE_aeo2014!Y73*1000-W15</f>
        <v>3145.9415999999997</v>
      </c>
      <c r="X7" s="184">
        <f>EIA_RE_aeo2014!Z73*1000-X15</f>
        <v>3145.9415999999997</v>
      </c>
      <c r="Y7" s="174">
        <f>EIA_RE_aeo2014!AA73*1000-Y15</f>
        <v>3145.9415999999997</v>
      </c>
      <c r="Z7" s="174">
        <f>EIA_RE_aeo2014!AB73*1000-Z15</f>
        <v>3145.9415999999997</v>
      </c>
      <c r="AA7" s="174">
        <f>EIA_RE_aeo2014!AC73*1000-AA15</f>
        <v>3145.9472999999994</v>
      </c>
      <c r="AB7" s="174">
        <f>EIA_RE_aeo2014!AD73*1000-AB15</f>
        <v>3145.9482499999999</v>
      </c>
      <c r="AC7" s="174">
        <f>EIA_RE_aeo2014!AE73*1000-AC15</f>
        <v>3145.9472999999994</v>
      </c>
      <c r="AD7" s="174">
        <f>EIA_RE_aeo2014!AF73*1000-AD15</f>
        <v>3145.9415999999997</v>
      </c>
      <c r="AE7" s="174">
        <f>EIA_RE_aeo2014!AG73*1000-AE15</f>
        <v>3145.9415999999997</v>
      </c>
      <c r="AF7" s="174">
        <f>EIA_RE_aeo2014!AH73*1000-AF15</f>
        <v>3145.9463499999993</v>
      </c>
      <c r="AG7" s="174">
        <f>EIA_RE_aeo2014!AI73*1000-AG15</f>
        <v>3145.9472999999994</v>
      </c>
      <c r="AH7" s="174">
        <f>EIA_RE_aeo2014!AJ73*1000-AH15</f>
        <v>3145.9415999999997</v>
      </c>
    </row>
    <row r="8" spans="1:34">
      <c r="A8" s="9" t="s">
        <v>59</v>
      </c>
      <c r="B8" s="34">
        <v>0</v>
      </c>
      <c r="C8" s="329">
        <f>EIA_electricity_aeo2014!E52*1000</f>
        <v>10247</v>
      </c>
      <c r="D8" s="329">
        <f>EIA_electricity_aeo2014!F52*1000</f>
        <v>8996</v>
      </c>
      <c r="E8" s="329">
        <f>EIA_electricity_aeo2014!G52*1000</f>
        <v>8876.35</v>
      </c>
      <c r="F8" s="329">
        <f>EIA_electricity_aeo2014!H52*1000</f>
        <v>9931.9496500000005</v>
      </c>
      <c r="G8" s="329">
        <f>EIA_electricity_aeo2014!I52*1000</f>
        <v>9286.0946499999973</v>
      </c>
      <c r="H8" s="3">
        <f>EIA_electricity_aeo2014!J52*1000</f>
        <v>9311.6323999999986</v>
      </c>
      <c r="I8" s="3">
        <f>EIA_electricity_aeo2014!K52*1000</f>
        <v>9541.3822</v>
      </c>
      <c r="J8" s="3">
        <f>EIA_electricity_aeo2014!L52*1000</f>
        <v>9633.7027499999986</v>
      </c>
      <c r="K8" s="3">
        <f>EIA_electricity_aeo2014!M52*1000</f>
        <v>9633.7027499999986</v>
      </c>
      <c r="L8" s="3">
        <f>EIA_electricity_aeo2014!N52*1000</f>
        <v>9633.7027499999986</v>
      </c>
      <c r="M8" s="3">
        <f>EIA_electricity_aeo2014!O52*1000</f>
        <v>9633.7027499999986</v>
      </c>
      <c r="N8" s="387">
        <f>EIA_electricity_aeo2014!P52*1000</f>
        <v>9633.7027499999986</v>
      </c>
      <c r="O8" s="3">
        <f>EIA_electricity_aeo2014!Q52*1000</f>
        <v>9633.7027499999986</v>
      </c>
      <c r="P8" s="3">
        <f>EIA_electricity_aeo2014!R52*1000</f>
        <v>9633.7023999999983</v>
      </c>
      <c r="Q8" s="3">
        <f>EIA_electricity_aeo2014!S52*1000</f>
        <v>9633.7027499999986</v>
      </c>
      <c r="R8" s="3">
        <f>EIA_electricity_aeo2014!T52*1000</f>
        <v>9633.7027499999986</v>
      </c>
      <c r="S8" s="3">
        <f>EIA_electricity_aeo2014!U52*1000</f>
        <v>9633.7027499999986</v>
      </c>
      <c r="T8" s="3">
        <f>EIA_electricity_aeo2014!V52*1000</f>
        <v>9633.7027499999986</v>
      </c>
      <c r="U8" s="3">
        <f>EIA_electricity_aeo2014!W52*1000</f>
        <v>9633.7027499999986</v>
      </c>
      <c r="V8" s="3">
        <f>EIA_electricity_aeo2014!X52*1000</f>
        <v>9633.7027499999986</v>
      </c>
      <c r="W8" s="3">
        <f>EIA_electricity_aeo2014!Y52*1000</f>
        <v>9633.7027499999986</v>
      </c>
      <c r="X8" s="184">
        <f>EIA_electricity_aeo2014!Z52*1000</f>
        <v>9633.7027499999986</v>
      </c>
      <c r="Y8" s="174">
        <f>EIA_electricity_aeo2014!AA52*1000</f>
        <v>9633.7027499999986</v>
      </c>
      <c r="Z8" s="174">
        <f>EIA_electricity_aeo2014!AB52*1000</f>
        <v>9633.7027499999986</v>
      </c>
      <c r="AA8" s="174">
        <f>EIA_electricity_aeo2014!AC52*1000</f>
        <v>9633.7027499999986</v>
      </c>
      <c r="AB8" s="174">
        <f>EIA_electricity_aeo2014!AD52*1000</f>
        <v>9633.7027499999986</v>
      </c>
      <c r="AC8" s="174">
        <f>EIA_electricity_aeo2014!AE52*1000</f>
        <v>9633.7027499999986</v>
      </c>
      <c r="AD8" s="174">
        <f>EIA_electricity_aeo2014!AF52*1000</f>
        <v>9633.7027499999986</v>
      </c>
      <c r="AE8" s="174">
        <f>EIA_electricity_aeo2014!AG52*1000</f>
        <v>9633.7027499999986</v>
      </c>
      <c r="AF8" s="174">
        <f>EIA_electricity_aeo2014!AH52*1000</f>
        <v>9633.7027499999986</v>
      </c>
      <c r="AG8" s="174">
        <f>EIA_electricity_aeo2014!AI52*1000</f>
        <v>9633.7027499999986</v>
      </c>
      <c r="AH8" s="174">
        <f>EIA_electricity_aeo2014!AJ52*1000</f>
        <v>9633.7027499999986</v>
      </c>
    </row>
    <row r="9" spans="1:34">
      <c r="A9" s="9"/>
      <c r="B9" s="34"/>
      <c r="C9" s="329"/>
      <c r="D9" s="329"/>
      <c r="E9" s="329"/>
      <c r="F9" s="329"/>
      <c r="G9" s="329"/>
      <c r="H9" s="118"/>
      <c r="I9" s="118"/>
      <c r="J9" s="118"/>
      <c r="K9" s="118"/>
      <c r="L9" s="118"/>
      <c r="M9" s="118"/>
      <c r="N9" s="387"/>
      <c r="O9" s="118"/>
      <c r="P9" s="118"/>
      <c r="Q9" s="118"/>
      <c r="R9" s="118"/>
      <c r="S9" s="118"/>
      <c r="T9" s="118"/>
      <c r="U9" s="118"/>
      <c r="V9" s="118"/>
      <c r="W9" s="118"/>
      <c r="X9" s="184"/>
    </row>
    <row r="10" spans="1:34" s="20" customFormat="1">
      <c r="A10" s="9" t="s">
        <v>125</v>
      </c>
      <c r="B10" s="35">
        <v>1</v>
      </c>
      <c r="C10" s="329">
        <f>EIA_RE_aeo2014!E76*1000</f>
        <v>2</v>
      </c>
      <c r="D10" s="329">
        <f>EIA_RE_aeo2014!F76*1000</f>
        <v>0</v>
      </c>
      <c r="E10" s="329">
        <f>EIA_RE_aeo2014!G76*1000</f>
        <v>0.39865000000000006</v>
      </c>
      <c r="F10" s="329">
        <f>EIA_RE_aeo2014!H76*1000</f>
        <v>0.42143000000000003</v>
      </c>
      <c r="G10" s="329">
        <f>EIA_RE_aeo2014!I76*1000</f>
        <v>31.111449999999998</v>
      </c>
      <c r="H10" s="83">
        <f>EIA_RE_aeo2014!J76*1000</f>
        <v>30.685330000000008</v>
      </c>
      <c r="I10" s="174">
        <f>EIA_RE_aeo2014!K76*1000</f>
        <v>25.26905</v>
      </c>
      <c r="J10" s="174">
        <f>EIA_RE_aeo2014!L76*1000</f>
        <v>1.94367</v>
      </c>
      <c r="K10" s="174">
        <f>EIA_RE_aeo2014!M76*1000</f>
        <v>46.40487000000001</v>
      </c>
      <c r="L10" s="174">
        <f>EIA_RE_aeo2014!N76*1000</f>
        <v>45.671220000000005</v>
      </c>
      <c r="M10" s="174">
        <f>EIA_RE_aeo2014!O76*1000</f>
        <v>151.86086</v>
      </c>
      <c r="N10" s="184">
        <f>EIA_RE_aeo2014!P76*1000</f>
        <v>938.60903000000008</v>
      </c>
      <c r="O10" s="174">
        <f>EIA_RE_aeo2014!Q76*1000</f>
        <v>1007.3651000000001</v>
      </c>
      <c r="P10" s="174">
        <f>EIA_RE_aeo2014!R76*1000</f>
        <v>987.67782000000011</v>
      </c>
      <c r="Q10" s="174">
        <f>EIA_RE_aeo2014!S76*1000</f>
        <v>992.36982999999987</v>
      </c>
      <c r="R10" s="174">
        <f>EIA_RE_aeo2014!T76*1000</f>
        <v>1205.0352000000003</v>
      </c>
      <c r="S10" s="83">
        <f>EIA_RE_aeo2014!U76*1000</f>
        <v>1214.4621</v>
      </c>
      <c r="T10" s="83">
        <f>EIA_RE_aeo2014!V76*1000</f>
        <v>1219.1454000000001</v>
      </c>
      <c r="U10" s="83">
        <f>EIA_RE_aeo2014!W76*1000</f>
        <v>1222.8411200000003</v>
      </c>
      <c r="V10" s="83">
        <f>EIA_RE_aeo2014!X76*1000</f>
        <v>1221.6746500000002</v>
      </c>
      <c r="W10" s="83">
        <f>EIA_RE_aeo2014!Y76*1000</f>
        <v>1243.5193300000003</v>
      </c>
      <c r="X10" s="184">
        <f>EIA_RE_aeo2014!Z76*1000</f>
        <v>1472.5548099999999</v>
      </c>
      <c r="Y10" s="174">
        <f>EIA_RE_aeo2014!AA76*1000</f>
        <v>1619.59502</v>
      </c>
      <c r="Z10" s="174">
        <f>EIA_RE_aeo2014!AB76*1000</f>
        <v>1674.9959800000001</v>
      </c>
      <c r="AA10" s="174">
        <f>EIA_RE_aeo2014!AC76*1000</f>
        <v>1673.5099200000002</v>
      </c>
      <c r="AB10" s="174">
        <f>EIA_RE_aeo2014!AD76*1000</f>
        <v>1672.1793</v>
      </c>
      <c r="AC10" s="174">
        <f>EIA_RE_aeo2014!AE76*1000</f>
        <v>1689.1443700000004</v>
      </c>
      <c r="AD10" s="174">
        <f>EIA_RE_aeo2014!AF76*1000</f>
        <v>1688.6164100000001</v>
      </c>
      <c r="AE10" s="174">
        <f>EIA_RE_aeo2014!AG76*1000</f>
        <v>1688.32429</v>
      </c>
      <c r="AF10" s="174">
        <f>EIA_RE_aeo2014!AH76*1000</f>
        <v>1682.98171</v>
      </c>
      <c r="AG10" s="174">
        <f>EIA_RE_aeo2014!AI76*1000</f>
        <v>1680.2045600000001</v>
      </c>
      <c r="AH10" s="174">
        <f>EIA_RE_aeo2014!AJ76*1000</f>
        <v>1669.5455299999999</v>
      </c>
    </row>
    <row r="11" spans="1:34" s="20" customFormat="1">
      <c r="A11" s="9" t="s">
        <v>50</v>
      </c>
      <c r="B11" s="35">
        <v>1</v>
      </c>
      <c r="C11" s="329">
        <f>EIA_RE_aeo2014!E74*1000</f>
        <v>0</v>
      </c>
      <c r="D11" s="329">
        <f>EIA_RE_aeo2014!F74*1000</f>
        <v>0</v>
      </c>
      <c r="E11" s="329">
        <f>EIA_RE_aeo2014!G74*1000</f>
        <v>1.0000000000000001E-7</v>
      </c>
      <c r="F11" s="329">
        <f>EIA_RE_aeo2014!H74*1000</f>
        <v>1.0000000000000001E-7</v>
      </c>
      <c r="G11" s="329">
        <f>EIA_RE_aeo2014!I74*1000</f>
        <v>1.0000000000000001E-7</v>
      </c>
      <c r="H11" s="83">
        <f>EIA_RE_aeo2014!J74*1000</f>
        <v>1.0000000000000001E-7</v>
      </c>
      <c r="I11" s="83">
        <f>EIA_RE_aeo2014!K74*1000</f>
        <v>1.0000000000000001E-7</v>
      </c>
      <c r="J11" s="83">
        <f>EIA_RE_aeo2014!L74*1000</f>
        <v>1.0000000000000001E-7</v>
      </c>
      <c r="K11" s="83">
        <f>EIA_RE_aeo2014!M74*1000</f>
        <v>1.0000000000000001E-7</v>
      </c>
      <c r="L11" s="83">
        <f>EIA_RE_aeo2014!N74*1000</f>
        <v>1.0000000000000001E-7</v>
      </c>
      <c r="M11" s="83">
        <f>EIA_RE_aeo2014!O74*1000</f>
        <v>1.0000000000000001E-7</v>
      </c>
      <c r="N11" s="387">
        <f>EIA_RE_aeo2014!P74*1000</f>
        <v>1.0000000000000001E-7</v>
      </c>
      <c r="O11" s="83">
        <f>EIA_RE_aeo2014!Q74*1000</f>
        <v>1.0000000000000001E-7</v>
      </c>
      <c r="P11" s="83">
        <f>EIA_RE_aeo2014!R74*1000</f>
        <v>1.0000000000000001E-7</v>
      </c>
      <c r="Q11" s="83">
        <f>EIA_RE_aeo2014!S74*1000</f>
        <v>1.0000000000000001E-7</v>
      </c>
      <c r="R11" s="83">
        <f>EIA_RE_aeo2014!T74*1000</f>
        <v>1.0000000000000001E-7</v>
      </c>
      <c r="S11" s="83">
        <f>EIA_RE_aeo2014!U74*1000</f>
        <v>1.0000000000000001E-7</v>
      </c>
      <c r="T11" s="83">
        <f>EIA_RE_aeo2014!V74*1000</f>
        <v>1.0000000000000001E-7</v>
      </c>
      <c r="U11" s="83">
        <f>EIA_RE_aeo2014!W74*1000</f>
        <v>1.0000000000000001E-7</v>
      </c>
      <c r="V11" s="83">
        <f>EIA_RE_aeo2014!X74*1000</f>
        <v>1.0000000000000001E-7</v>
      </c>
      <c r="W11" s="83">
        <f>EIA_RE_aeo2014!Y74*1000</f>
        <v>1.0000000000000001E-7</v>
      </c>
      <c r="X11" s="184">
        <f>EIA_RE_aeo2014!Z74*1000</f>
        <v>1.0000000000000001E-7</v>
      </c>
      <c r="Y11" s="174">
        <f>EIA_RE_aeo2014!AA74*1000</f>
        <v>1.0000000000000001E-7</v>
      </c>
      <c r="Z11" s="174">
        <f>EIA_RE_aeo2014!AB74*1000</f>
        <v>1.0000000000000001E-7</v>
      </c>
      <c r="AA11" s="174">
        <f>EIA_RE_aeo2014!AC74*1000</f>
        <v>1.0000000000000001E-7</v>
      </c>
      <c r="AB11" s="174">
        <f>EIA_RE_aeo2014!AD74*1000</f>
        <v>1.0000000000000001E-7</v>
      </c>
      <c r="AC11" s="174">
        <f>EIA_RE_aeo2014!AE74*1000</f>
        <v>1.0000000000000001E-7</v>
      </c>
      <c r="AD11" s="174">
        <f>EIA_RE_aeo2014!AF74*1000</f>
        <v>1.0000000000000001E-7</v>
      </c>
      <c r="AE11" s="174">
        <f>EIA_RE_aeo2014!AG74*1000</f>
        <v>1.0000000000000001E-7</v>
      </c>
      <c r="AF11" s="174">
        <f>EIA_RE_aeo2014!AH74*1000</f>
        <v>1.0000000000000001E-7</v>
      </c>
      <c r="AG11" s="174">
        <f>EIA_RE_aeo2014!AI74*1000</f>
        <v>1.0000000000000001E-7</v>
      </c>
      <c r="AH11" s="174">
        <f>EIA_RE_aeo2014!AJ74*1000</f>
        <v>1.0000000000000001E-7</v>
      </c>
    </row>
    <row r="12" spans="1:34" s="20" customFormat="1">
      <c r="A12" s="9" t="s">
        <v>51</v>
      </c>
      <c r="B12" s="35">
        <v>1</v>
      </c>
      <c r="C12" s="329">
        <f>EIA_RE_aeo2014!E75*1000</f>
        <v>50</v>
      </c>
      <c r="D12" s="329">
        <f>EIA_RE_aeo2014!F75*1000</f>
        <v>58</v>
      </c>
      <c r="E12" s="329">
        <f>EIA_RE_aeo2014!G75*1000</f>
        <v>11.141355153869656</v>
      </c>
      <c r="F12" s="329">
        <f>EIA_RE_aeo2014!H75*1000</f>
        <v>10.016442670497469</v>
      </c>
      <c r="G12" s="329">
        <f>EIA_RE_aeo2014!I75*1000</f>
        <v>10.771120392727141</v>
      </c>
      <c r="H12" s="83">
        <f>EIA_RE_aeo2014!J75*1000</f>
        <v>11.468675351914071</v>
      </c>
      <c r="I12" s="174">
        <f>EIA_RE_aeo2014!K75*1000</f>
        <v>11.468675351914071</v>
      </c>
      <c r="J12" s="174">
        <f>EIA_RE_aeo2014!L75*1000</f>
        <v>11.468675351914071</v>
      </c>
      <c r="K12" s="174">
        <f>EIA_RE_aeo2014!M75*1000</f>
        <v>11.468675351914071</v>
      </c>
      <c r="L12" s="174">
        <f>EIA_RE_aeo2014!N75*1000</f>
        <v>11.468675351914071</v>
      </c>
      <c r="M12" s="174">
        <f>EIA_RE_aeo2014!O75*1000</f>
        <v>11.468675351914071</v>
      </c>
      <c r="N12" s="184">
        <f>EIA_RE_aeo2014!P75*1000</f>
        <v>11.468675351914071</v>
      </c>
      <c r="O12" s="174">
        <f>EIA_RE_aeo2014!Q75*1000</f>
        <v>11.468675351914071</v>
      </c>
      <c r="P12" s="174">
        <f>EIA_RE_aeo2014!R75*1000</f>
        <v>11.468675351914071</v>
      </c>
      <c r="Q12" s="174">
        <f>EIA_RE_aeo2014!S75*1000</f>
        <v>11.468675351914071</v>
      </c>
      <c r="R12" s="174">
        <f>EIA_RE_aeo2014!T75*1000</f>
        <v>11.468675351914071</v>
      </c>
      <c r="S12" s="83">
        <f>EIA_RE_aeo2014!U75*1000</f>
        <v>11.468675351914071</v>
      </c>
      <c r="T12" s="83">
        <f>EIA_RE_aeo2014!V75*1000</f>
        <v>11.468675351914071</v>
      </c>
      <c r="U12" s="83">
        <f>EIA_RE_aeo2014!W75*1000</f>
        <v>11.468675351914071</v>
      </c>
      <c r="V12" s="83">
        <f>EIA_RE_aeo2014!X75*1000</f>
        <v>11.468675351914071</v>
      </c>
      <c r="W12" s="83">
        <f>EIA_RE_aeo2014!Y75*1000</f>
        <v>11.468675351914071</v>
      </c>
      <c r="X12" s="184">
        <f>EIA_RE_aeo2014!Z75*1000</f>
        <v>11.468675351914071</v>
      </c>
      <c r="Y12" s="174">
        <f>EIA_RE_aeo2014!AA75*1000</f>
        <v>11.468675351914071</v>
      </c>
      <c r="Z12" s="174">
        <f>EIA_RE_aeo2014!AB75*1000</f>
        <v>11.468675351914071</v>
      </c>
      <c r="AA12" s="174">
        <f>EIA_RE_aeo2014!AC75*1000</f>
        <v>11.468675351914071</v>
      </c>
      <c r="AB12" s="174">
        <f>EIA_RE_aeo2014!AD75*1000</f>
        <v>11.468675351914071</v>
      </c>
      <c r="AC12" s="174">
        <f>EIA_RE_aeo2014!AE75*1000</f>
        <v>11.468675351914071</v>
      </c>
      <c r="AD12" s="174">
        <f>EIA_RE_aeo2014!AF75*1000</f>
        <v>11.468675351914071</v>
      </c>
      <c r="AE12" s="174">
        <f>EIA_RE_aeo2014!AG75*1000</f>
        <v>11.468675351914071</v>
      </c>
      <c r="AF12" s="174">
        <f>EIA_RE_aeo2014!AH75*1000</f>
        <v>11.468675351914071</v>
      </c>
      <c r="AG12" s="174">
        <f>EIA_RE_aeo2014!AI75*1000</f>
        <v>11.468675351914071</v>
      </c>
      <c r="AH12" s="174">
        <f>EIA_RE_aeo2014!AJ75*1000</f>
        <v>11.468675351914071</v>
      </c>
    </row>
    <row r="13" spans="1:34">
      <c r="A13" s="9" t="s">
        <v>347</v>
      </c>
      <c r="B13" s="34">
        <v>1</v>
      </c>
      <c r="C13" s="329">
        <f>(EIA_RE_aeo2014!E34+EIA_RE_aeo2014!E54)*1000</f>
        <v>0</v>
      </c>
      <c r="D13" s="329">
        <f>(EIA_RE_aeo2014!F34+EIA_RE_aeo2014!F54)*1000</f>
        <v>0</v>
      </c>
      <c r="E13" s="329">
        <f>(EIA_RE_aeo2014!G34+EIA_RE_aeo2014!G54)*1000</f>
        <v>0.2</v>
      </c>
      <c r="F13" s="329">
        <f>(EIA_RE_aeo2014!H34+EIA_RE_aeo2014!H54)*1000</f>
        <v>0.2</v>
      </c>
      <c r="G13" s="329">
        <f>(EIA_RE_aeo2014!I34+EIA_RE_aeo2014!I54)*1000</f>
        <v>0.2</v>
      </c>
      <c r="H13" s="83">
        <f>(EIA_RE_aeo2014!J34+EIA_RE_aeo2014!J54)*1000</f>
        <v>0.2</v>
      </c>
      <c r="I13" s="83">
        <f>(EIA_RE_aeo2014!K34+EIA_RE_aeo2014!K54)*1000</f>
        <v>0.2</v>
      </c>
      <c r="J13" s="83">
        <f>(EIA_RE_aeo2014!L34+EIA_RE_aeo2014!L54)*1000</f>
        <v>0.2</v>
      </c>
      <c r="K13" s="83">
        <f>(EIA_RE_aeo2014!M34+EIA_RE_aeo2014!M54)*1000</f>
        <v>0.2</v>
      </c>
      <c r="L13" s="83">
        <f>(EIA_RE_aeo2014!N34+EIA_RE_aeo2014!N54)*1000</f>
        <v>0.2</v>
      </c>
      <c r="M13" s="83">
        <f>(EIA_RE_aeo2014!O34+EIA_RE_aeo2014!O54)*1000</f>
        <v>0.2</v>
      </c>
      <c r="N13" s="387">
        <f>(EIA_RE_aeo2014!P34+EIA_RE_aeo2014!P54)*1000</f>
        <v>0.2</v>
      </c>
      <c r="O13" s="83">
        <f>(EIA_RE_aeo2014!Q34+EIA_RE_aeo2014!Q54)*1000</f>
        <v>0.2</v>
      </c>
      <c r="P13" s="83">
        <f>(EIA_RE_aeo2014!R34+EIA_RE_aeo2014!R54)*1000</f>
        <v>0.2</v>
      </c>
      <c r="Q13" s="83">
        <f>(EIA_RE_aeo2014!S34+EIA_RE_aeo2014!S54)*1000</f>
        <v>0.2</v>
      </c>
      <c r="R13" s="83">
        <f>(EIA_RE_aeo2014!T34+EIA_RE_aeo2014!T54)*1000</f>
        <v>0.2</v>
      </c>
      <c r="S13" s="83">
        <f>(EIA_RE_aeo2014!U34+EIA_RE_aeo2014!U54)*1000</f>
        <v>0.2</v>
      </c>
      <c r="T13" s="83">
        <f>(EIA_RE_aeo2014!V34+EIA_RE_aeo2014!V54)*1000</f>
        <v>0.2</v>
      </c>
      <c r="U13" s="83">
        <f>(EIA_RE_aeo2014!W34+EIA_RE_aeo2014!W54)*1000</f>
        <v>0.2</v>
      </c>
      <c r="V13" s="83">
        <f>(EIA_RE_aeo2014!X34+EIA_RE_aeo2014!X54)*1000</f>
        <v>0.2</v>
      </c>
      <c r="W13" s="83">
        <f>(EIA_RE_aeo2014!Y34+EIA_RE_aeo2014!Y54)*1000</f>
        <v>0.2</v>
      </c>
      <c r="X13" s="184">
        <f>(EIA_RE_aeo2014!Z34+EIA_RE_aeo2014!Z54)*1000</f>
        <v>0.2</v>
      </c>
      <c r="Y13" s="174">
        <f>(EIA_RE_aeo2014!AA34+EIA_RE_aeo2014!AA54)*1000</f>
        <v>0.2</v>
      </c>
      <c r="Z13" s="174">
        <f>(EIA_RE_aeo2014!AB34+EIA_RE_aeo2014!AB54)*1000</f>
        <v>0.2</v>
      </c>
      <c r="AA13" s="174">
        <f>(EIA_RE_aeo2014!AC34+EIA_RE_aeo2014!AC54)*1000</f>
        <v>0.2</v>
      </c>
      <c r="AB13" s="174">
        <f>(EIA_RE_aeo2014!AD34+EIA_RE_aeo2014!AD54)*1000</f>
        <v>0.2</v>
      </c>
      <c r="AC13" s="174">
        <f>(EIA_RE_aeo2014!AE34+EIA_RE_aeo2014!AE54)*1000</f>
        <v>0.2</v>
      </c>
      <c r="AD13" s="174">
        <f>(EIA_RE_aeo2014!AF34+EIA_RE_aeo2014!AF54)*1000</f>
        <v>0.2</v>
      </c>
      <c r="AE13" s="174">
        <f>(EIA_RE_aeo2014!AG34+EIA_RE_aeo2014!AG54)*1000</f>
        <v>0.2</v>
      </c>
      <c r="AF13" s="174">
        <f>(EIA_RE_aeo2014!AH34+EIA_RE_aeo2014!AH54)*1000</f>
        <v>0.2</v>
      </c>
      <c r="AG13" s="174">
        <f>(EIA_RE_aeo2014!AI34+EIA_RE_aeo2014!AI54)*1000</f>
        <v>0.2</v>
      </c>
      <c r="AH13" s="174">
        <f>EIA_RE_aeo2014!AJ77*1000</f>
        <v>0</v>
      </c>
    </row>
    <row r="14" spans="1:34">
      <c r="A14" s="9" t="s">
        <v>348</v>
      </c>
      <c r="B14" s="34">
        <v>1</v>
      </c>
      <c r="C14" s="329">
        <f>EIA_RE_aeo2014!E33*1000</f>
        <v>0</v>
      </c>
      <c r="D14" s="329">
        <f>EIA_RE_aeo2014!F33*1000</f>
        <v>0</v>
      </c>
      <c r="E14" s="329">
        <f>EIA_RE_aeo2014!G33*1000</f>
        <v>0.1</v>
      </c>
      <c r="F14" s="329">
        <f>EIA_RE_aeo2014!H33*1000</f>
        <v>0.1</v>
      </c>
      <c r="G14" s="329">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87">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4">
        <f>EIA_RE_aeo2014!Z33*1000</f>
        <v>0.1</v>
      </c>
      <c r="Y14" s="174">
        <f>EIA_RE_aeo2014!AA33*1000</f>
        <v>0.1</v>
      </c>
      <c r="Z14" s="174">
        <f>EIA_RE_aeo2014!AB33*1000</f>
        <v>0.1</v>
      </c>
      <c r="AA14" s="174">
        <f>EIA_RE_aeo2014!AC33*1000</f>
        <v>0.1</v>
      </c>
      <c r="AB14" s="174">
        <f>EIA_RE_aeo2014!AD33*1000</f>
        <v>0.1</v>
      </c>
      <c r="AC14" s="174">
        <f>EIA_RE_aeo2014!AE33*1000</f>
        <v>0.1</v>
      </c>
      <c r="AD14" s="174">
        <f>EIA_RE_aeo2014!AF33*1000</f>
        <v>0.1</v>
      </c>
      <c r="AE14" s="174">
        <f>EIA_RE_aeo2014!AG33*1000</f>
        <v>0.1</v>
      </c>
      <c r="AF14" s="174">
        <f>EIA_RE_aeo2014!AH33*1000</f>
        <v>0.1</v>
      </c>
      <c r="AG14" s="174">
        <f>EIA_RE_aeo2014!AI33*1000</f>
        <v>0.1</v>
      </c>
      <c r="AH14" s="174">
        <f>EIA_RE_aeo2014!AJ33*1000</f>
        <v>0.1</v>
      </c>
    </row>
    <row r="15" spans="1:34" s="513" customFormat="1">
      <c r="A15" s="510" t="s">
        <v>717</v>
      </c>
      <c r="B15" s="511">
        <v>1</v>
      </c>
      <c r="C15" s="512">
        <v>0.01</v>
      </c>
      <c r="D15" s="512">
        <v>0.01</v>
      </c>
      <c r="E15" s="512">
        <v>0.01</v>
      </c>
      <c r="F15" s="512">
        <v>0.01</v>
      </c>
      <c r="G15" s="512">
        <v>0.01</v>
      </c>
      <c r="H15" s="512">
        <v>0.01</v>
      </c>
      <c r="I15" s="512">
        <v>0.01</v>
      </c>
      <c r="J15" s="512">
        <v>0.01</v>
      </c>
      <c r="K15" s="512">
        <v>0.01</v>
      </c>
      <c r="L15" s="512">
        <v>0.01</v>
      </c>
      <c r="M15" s="512">
        <v>0.01</v>
      </c>
      <c r="N15" s="512">
        <v>0.01</v>
      </c>
      <c r="O15" s="512">
        <v>0.01</v>
      </c>
      <c r="P15" s="512">
        <v>0.01</v>
      </c>
      <c r="Q15" s="512">
        <v>0.01</v>
      </c>
      <c r="R15" s="512">
        <v>0.01</v>
      </c>
      <c r="S15" s="512">
        <v>0.01</v>
      </c>
      <c r="T15" s="512">
        <v>0.01</v>
      </c>
      <c r="U15" s="512">
        <v>0.01</v>
      </c>
      <c r="V15" s="512">
        <v>0.01</v>
      </c>
      <c r="W15" s="512">
        <v>0.01</v>
      </c>
      <c r="X15" s="512">
        <v>0.01</v>
      </c>
      <c r="Y15" s="512">
        <v>0.01</v>
      </c>
      <c r="Z15" s="512">
        <v>0.01</v>
      </c>
      <c r="AA15" s="512">
        <v>0.01</v>
      </c>
      <c r="AB15" s="512">
        <v>0.01</v>
      </c>
      <c r="AC15" s="512">
        <v>0.01</v>
      </c>
      <c r="AD15" s="512">
        <v>0.01</v>
      </c>
      <c r="AE15" s="512">
        <v>0.01</v>
      </c>
      <c r="AF15" s="512">
        <v>0.01</v>
      </c>
      <c r="AG15" s="512">
        <v>0.01</v>
      </c>
      <c r="AH15" s="512">
        <v>0.01</v>
      </c>
    </row>
    <row r="16" spans="1:34">
      <c r="A16" s="9" t="s">
        <v>53</v>
      </c>
      <c r="B16" s="34">
        <v>1</v>
      </c>
      <c r="C16" s="329">
        <f>EIA_RE_aeo2014!E78*1000</f>
        <v>499</v>
      </c>
      <c r="D16" s="329">
        <f>EIA_RE_aeo2014!F78*1000</f>
        <v>925</v>
      </c>
      <c r="E16" s="329">
        <f>EIA_RE_aeo2014!G78*1000</f>
        <v>998.24640000000011</v>
      </c>
      <c r="F16" s="329">
        <f>EIA_RE_aeo2014!H78*1000</f>
        <v>1600.4464</v>
      </c>
      <c r="G16" s="329">
        <f>EIA_RE_aeo2014!I78*1000</f>
        <v>2508.9204</v>
      </c>
      <c r="H16" s="3">
        <f>EIA_RE_aeo2014!J78*1000</f>
        <v>2638.1886000000004</v>
      </c>
      <c r="I16" s="3">
        <f>EIA_RE_aeo2014!K78*1000</f>
        <v>2764.9677999999999</v>
      </c>
      <c r="J16" s="3">
        <f>EIA_RE_aeo2014!L78*1000</f>
        <v>2849.67</v>
      </c>
      <c r="K16" s="3">
        <f>EIA_RE_aeo2014!M78*1000</f>
        <v>2849.2972000000004</v>
      </c>
      <c r="L16" s="3">
        <f>EIA_RE_aeo2014!N78*1000</f>
        <v>2849.4774000000002</v>
      </c>
      <c r="M16" s="3">
        <f>EIA_RE_aeo2014!O78*1000</f>
        <v>2850.0129999999999</v>
      </c>
      <c r="N16" s="387">
        <f>EIA_RE_aeo2014!P78*1000</f>
        <v>2849.7267999999999</v>
      </c>
      <c r="O16" s="3">
        <f>EIA_RE_aeo2014!Q78*1000</f>
        <v>2850.5230000000001</v>
      </c>
      <c r="P16" s="3">
        <f>EIA_RE_aeo2014!R78*1000</f>
        <v>2850.5790000000002</v>
      </c>
      <c r="Q16" s="3">
        <f>EIA_RE_aeo2014!S78*1000</f>
        <v>2850.5898000000002</v>
      </c>
      <c r="R16" s="3">
        <f>EIA_RE_aeo2014!T78*1000</f>
        <v>2850.8206000000005</v>
      </c>
      <c r="S16" s="3">
        <f>EIA_RE_aeo2014!U78*1000</f>
        <v>2851.0982000000004</v>
      </c>
      <c r="T16" s="3">
        <f>EIA_RE_aeo2014!V78*1000</f>
        <v>2851.0221999999999</v>
      </c>
      <c r="U16" s="3">
        <f>EIA_RE_aeo2014!W78*1000</f>
        <v>2854.5879999999997</v>
      </c>
      <c r="V16" s="3">
        <f>EIA_RE_aeo2014!X78*1000</f>
        <v>2856.9767999999999</v>
      </c>
      <c r="W16" s="3">
        <f>EIA_RE_aeo2014!Y78*1000</f>
        <v>2856.8854000000006</v>
      </c>
      <c r="X16" s="184">
        <f>EIA_RE_aeo2014!Z78*1000</f>
        <v>2863.3158000000003</v>
      </c>
      <c r="Y16" s="174">
        <f>EIA_RE_aeo2014!AA78*1000</f>
        <v>2877.0768000000003</v>
      </c>
      <c r="Z16" s="174">
        <f>EIA_RE_aeo2014!AB78*1000</f>
        <v>2896.6463999999996</v>
      </c>
      <c r="AA16" s="174">
        <f>EIA_RE_aeo2014!AC78*1000</f>
        <v>2905.9372000000003</v>
      </c>
      <c r="AB16" s="174">
        <f>EIA_RE_aeo2014!AD78*1000</f>
        <v>2924.6942000000004</v>
      </c>
      <c r="AC16" s="174">
        <f>EIA_RE_aeo2014!AE78*1000</f>
        <v>2937.8394000000003</v>
      </c>
      <c r="AD16" s="174">
        <f>EIA_RE_aeo2014!AF78*1000</f>
        <v>2940.4657999999999</v>
      </c>
      <c r="AE16" s="174">
        <f>EIA_RE_aeo2014!AG78*1000</f>
        <v>2958.5278000000003</v>
      </c>
      <c r="AF16" s="174">
        <f>EIA_RE_aeo2014!AH78*1000</f>
        <v>2970.9788000000003</v>
      </c>
      <c r="AG16" s="174">
        <f>EIA_RE_aeo2014!AI78*1000</f>
        <v>3062.2284000000004</v>
      </c>
      <c r="AH16" s="174">
        <f>EIA_RE_aeo2014!AJ78*1000</f>
        <v>3347.7160000000003</v>
      </c>
    </row>
    <row r="17" spans="1:34">
      <c r="A17" s="11" t="s">
        <v>327</v>
      </c>
      <c r="B17" s="36"/>
      <c r="C17" s="329">
        <f t="shared" ref="C17:AH17" si="0">SUM(C7:C16)</f>
        <v>12615</v>
      </c>
      <c r="D17" s="329">
        <f t="shared" si="0"/>
        <v>11518</v>
      </c>
      <c r="E17" s="329">
        <f t="shared" si="0"/>
        <v>11347.536405253872</v>
      </c>
      <c r="F17" s="329">
        <f t="shared" si="0"/>
        <v>12661.283922770501</v>
      </c>
      <c r="G17" s="329">
        <f t="shared" si="0"/>
        <v>13250.237120492726</v>
      </c>
      <c r="H17" s="3">
        <f t="shared" si="0"/>
        <v>13660.459805451916</v>
      </c>
      <c r="I17" s="3">
        <f t="shared" si="0"/>
        <v>14504.566475451918</v>
      </c>
      <c r="J17" s="3">
        <f t="shared" si="0"/>
        <v>14702.382795451915</v>
      </c>
      <c r="K17" s="3">
        <f t="shared" si="0"/>
        <v>15503.118645451916</v>
      </c>
      <c r="L17" s="3">
        <f t="shared" si="0"/>
        <v>15502.566145451914</v>
      </c>
      <c r="M17" s="3">
        <f t="shared" si="0"/>
        <v>15609.292335451915</v>
      </c>
      <c r="N17" s="387">
        <f t="shared" si="0"/>
        <v>16395.754305451916</v>
      </c>
      <c r="O17" s="3">
        <f t="shared" si="0"/>
        <v>16582.945075451917</v>
      </c>
      <c r="P17" s="3">
        <f t="shared" si="0"/>
        <v>16563.313445451917</v>
      </c>
      <c r="Q17" s="3">
        <f t="shared" si="0"/>
        <v>16568.016605451914</v>
      </c>
      <c r="R17" s="3">
        <f t="shared" si="0"/>
        <v>16780.912775451914</v>
      </c>
      <c r="S17" s="3">
        <f t="shared" si="0"/>
        <v>16790.616325451916</v>
      </c>
      <c r="T17" s="3">
        <f t="shared" si="0"/>
        <v>16795.224575451914</v>
      </c>
      <c r="U17" s="3">
        <f t="shared" si="0"/>
        <v>16868.852145451914</v>
      </c>
      <c r="V17" s="3">
        <f t="shared" si="0"/>
        <v>16870.074475451915</v>
      </c>
      <c r="W17" s="3">
        <f t="shared" si="0"/>
        <v>16891.827755451915</v>
      </c>
      <c r="X17" s="184">
        <f t="shared" si="0"/>
        <v>17127.293635451915</v>
      </c>
      <c r="Y17" s="174">
        <f t="shared" si="0"/>
        <v>17288.094845451917</v>
      </c>
      <c r="Z17" s="174">
        <f t="shared" si="0"/>
        <v>17363.065405451915</v>
      </c>
      <c r="AA17" s="174">
        <f t="shared" si="0"/>
        <v>17370.875845451916</v>
      </c>
      <c r="AB17" s="174">
        <f t="shared" si="0"/>
        <v>17388.303175451914</v>
      </c>
      <c r="AC17" s="174">
        <f t="shared" si="0"/>
        <v>17418.412495451914</v>
      </c>
      <c r="AD17" s="174">
        <f t="shared" si="0"/>
        <v>17420.505235451914</v>
      </c>
      <c r="AE17" s="174">
        <f t="shared" si="0"/>
        <v>17438.275115451917</v>
      </c>
      <c r="AF17" s="174">
        <f t="shared" si="0"/>
        <v>17445.388285451914</v>
      </c>
      <c r="AG17" s="174">
        <f t="shared" si="0"/>
        <v>17533.861685451917</v>
      </c>
      <c r="AH17" s="174">
        <f t="shared" si="0"/>
        <v>17808.484555451912</v>
      </c>
    </row>
    <row r="18" spans="1:34">
      <c r="A18" s="10" t="s">
        <v>126</v>
      </c>
      <c r="B18" s="37"/>
      <c r="C18" s="330">
        <f t="shared" ref="C18:AH18" si="1">SUMPRODUCT($B7:$B16,C7:C16)</f>
        <v>551.01</v>
      </c>
      <c r="D18" s="330">
        <f t="shared" si="1"/>
        <v>983.01</v>
      </c>
      <c r="E18" s="330">
        <f t="shared" si="1"/>
        <v>1010.0964052538698</v>
      </c>
      <c r="F18" s="330">
        <f t="shared" si="1"/>
        <v>1611.1942727704975</v>
      </c>
      <c r="G18" s="330">
        <f t="shared" si="1"/>
        <v>2551.1129704927271</v>
      </c>
      <c r="H18" s="14">
        <f t="shared" si="1"/>
        <v>2680.6526054519145</v>
      </c>
      <c r="I18" s="14">
        <f t="shared" si="1"/>
        <v>2802.0155254519141</v>
      </c>
      <c r="J18" s="14">
        <f t="shared" si="1"/>
        <v>2863.392345451914</v>
      </c>
      <c r="K18" s="14">
        <f t="shared" si="1"/>
        <v>2907.4807454519146</v>
      </c>
      <c r="L18" s="14">
        <f t="shared" si="1"/>
        <v>2906.9272954519142</v>
      </c>
      <c r="M18" s="14">
        <f t="shared" si="1"/>
        <v>3013.652535451914</v>
      </c>
      <c r="N18" s="190">
        <f t="shared" si="1"/>
        <v>3800.1145054519138</v>
      </c>
      <c r="O18" s="14">
        <f t="shared" si="1"/>
        <v>3869.6667754519144</v>
      </c>
      <c r="P18" s="14">
        <f t="shared" si="1"/>
        <v>3850.0354954519144</v>
      </c>
      <c r="Q18" s="14">
        <f t="shared" si="1"/>
        <v>3854.7383054519141</v>
      </c>
      <c r="R18" s="14">
        <f t="shared" si="1"/>
        <v>4067.634475451915</v>
      </c>
      <c r="S18" s="14">
        <f t="shared" si="1"/>
        <v>4077.3389754519144</v>
      </c>
      <c r="T18" s="14">
        <f t="shared" si="1"/>
        <v>4081.9462754519141</v>
      </c>
      <c r="U18" s="14">
        <f t="shared" si="1"/>
        <v>4089.2077954519141</v>
      </c>
      <c r="V18" s="14">
        <f t="shared" si="1"/>
        <v>4090.4301254519141</v>
      </c>
      <c r="W18" s="14">
        <f t="shared" si="1"/>
        <v>4112.183405451915</v>
      </c>
      <c r="X18" s="187">
        <f t="shared" si="1"/>
        <v>4347.6492854519147</v>
      </c>
      <c r="Y18" s="14">
        <f t="shared" si="1"/>
        <v>4508.4504954519143</v>
      </c>
      <c r="Z18" s="14">
        <f t="shared" si="1"/>
        <v>4583.4210554519141</v>
      </c>
      <c r="AA18" s="14">
        <f t="shared" si="1"/>
        <v>4591.2257954519146</v>
      </c>
      <c r="AB18" s="14">
        <f t="shared" si="1"/>
        <v>4608.6521754519144</v>
      </c>
      <c r="AC18" s="14">
        <f t="shared" si="1"/>
        <v>4638.7624454519146</v>
      </c>
      <c r="AD18" s="14">
        <f t="shared" si="1"/>
        <v>4640.8608854519143</v>
      </c>
      <c r="AE18" s="14">
        <f t="shared" si="1"/>
        <v>4658.6307654519142</v>
      </c>
      <c r="AF18" s="14">
        <f t="shared" si="1"/>
        <v>4665.7391854519146</v>
      </c>
      <c r="AG18" s="14">
        <f t="shared" si="1"/>
        <v>4754.2116354519148</v>
      </c>
      <c r="AH18" s="14">
        <f t="shared" si="1"/>
        <v>5028.8402054519138</v>
      </c>
    </row>
    <row r="19" spans="1:34">
      <c r="A19" s="10" t="s">
        <v>112</v>
      </c>
      <c r="B19" s="37"/>
      <c r="C19" s="331">
        <f t="shared" ref="C19:AH19" si="2">C18/C4</f>
        <v>6.27717019822283E-3</v>
      </c>
      <c r="D19" s="331">
        <f t="shared" si="2"/>
        <v>1.0752915180817784E-2</v>
      </c>
      <c r="E19" s="331">
        <f t="shared" si="2"/>
        <v>1.0740439787201237E-2</v>
      </c>
      <c r="F19" s="331">
        <f t="shared" si="2"/>
        <v>1.7788748540042868E-2</v>
      </c>
      <c r="G19" s="331">
        <f t="shared" si="2"/>
        <v>2.7959594935738432E-2</v>
      </c>
      <c r="H19" s="23">
        <f t="shared" si="2"/>
        <v>2.8910891359845856E-2</v>
      </c>
      <c r="I19" s="23">
        <f t="shared" si="2"/>
        <v>2.917393376929589E-2</v>
      </c>
      <c r="J19" s="23">
        <f t="shared" si="2"/>
        <v>3.1157835867724575E-2</v>
      </c>
      <c r="K19" s="23">
        <f t="shared" si="2"/>
        <v>3.0954288352102323E-2</v>
      </c>
      <c r="L19" s="23">
        <f t="shared" si="2"/>
        <v>3.0289769009788938E-2</v>
      </c>
      <c r="M19" s="23">
        <f t="shared" si="2"/>
        <v>3.132224614628179E-2</v>
      </c>
      <c r="N19" s="183">
        <f t="shared" si="2"/>
        <v>3.9500141327621134E-2</v>
      </c>
      <c r="O19" s="23">
        <f t="shared" si="2"/>
        <v>3.9770046927160657E-2</v>
      </c>
      <c r="P19" s="23">
        <f t="shared" si="2"/>
        <v>3.9100755426465079E-2</v>
      </c>
      <c r="Q19" s="23">
        <f t="shared" si="2"/>
        <v>3.9340218368006052E-2</v>
      </c>
      <c r="R19" s="23">
        <f t="shared" si="2"/>
        <v>4.0952788441801051E-2</v>
      </c>
      <c r="S19" s="23">
        <f t="shared" si="2"/>
        <v>4.0739246147006226E-2</v>
      </c>
      <c r="T19" s="23">
        <f t="shared" si="2"/>
        <v>4.0551436461950252E-2</v>
      </c>
      <c r="U19" s="23">
        <f t="shared" si="2"/>
        <v>4.0353317214603029E-2</v>
      </c>
      <c r="V19" s="23">
        <f t="shared" si="2"/>
        <v>4.0062827954272198E-2</v>
      </c>
      <c r="W19" s="23">
        <f t="shared" si="2"/>
        <v>3.9663485030792332E-2</v>
      </c>
      <c r="X19" s="185">
        <f t="shared" si="2"/>
        <v>4.1762967784522521E-2</v>
      </c>
      <c r="Y19" s="172">
        <f t="shared" si="2"/>
        <v>4.3157686631285629E-2</v>
      </c>
      <c r="Z19" s="172">
        <f t="shared" si="2"/>
        <v>4.4005312023692768E-2</v>
      </c>
      <c r="AA19" s="172">
        <f t="shared" si="2"/>
        <v>4.3932988983681052E-2</v>
      </c>
      <c r="AB19" s="172">
        <f t="shared" si="2"/>
        <v>4.3970921791335438E-2</v>
      </c>
      <c r="AC19" s="172">
        <f t="shared" si="2"/>
        <v>4.4182169712508948E-2</v>
      </c>
      <c r="AD19" s="172">
        <f t="shared" si="2"/>
        <v>4.4175604753445813E-2</v>
      </c>
      <c r="AE19" s="172">
        <f t="shared" si="2"/>
        <v>4.4318403883005605E-2</v>
      </c>
      <c r="AF19" s="172">
        <f t="shared" si="2"/>
        <v>4.4444659302155985E-2</v>
      </c>
      <c r="AG19" s="172">
        <f t="shared" si="2"/>
        <v>4.5151787023189109E-2</v>
      </c>
      <c r="AH19" s="172">
        <f t="shared" si="2"/>
        <v>4.7239587374127354E-2</v>
      </c>
    </row>
    <row r="20" spans="1:34">
      <c r="A20" s="10" t="s">
        <v>142</v>
      </c>
      <c r="B20" s="37"/>
      <c r="C20" s="330">
        <f>EIA_electricity_aeo2014!E49*1000</f>
        <v>71611</v>
      </c>
      <c r="D20" s="330">
        <f>EIA_electricity_aeo2014!F49*1000</f>
        <v>75047</v>
      </c>
      <c r="E20" s="330">
        <f>EIA_electricity_aeo2014!G49*1000</f>
        <v>78971.199450000015</v>
      </c>
      <c r="F20" s="330">
        <f>EIA_electricity_aeo2014!H49*1000</f>
        <v>72911.848900000012</v>
      </c>
      <c r="G20" s="330">
        <f>EIA_electricity_aeo2014!I49*1000</f>
        <v>76156.092100000009</v>
      </c>
      <c r="H20" s="14">
        <f>EIA_electricity_aeo2014!J49*1000</f>
        <v>77069.350050000008</v>
      </c>
      <c r="I20" s="14">
        <f>EIA_electricity_aeo2014!K49*1000</f>
        <v>79163.736850000001</v>
      </c>
      <c r="J20" s="14">
        <f>EIA_electricity_aeo2014!L49*1000</f>
        <v>74004.27870000001</v>
      </c>
      <c r="K20" s="14">
        <f>EIA_electricity_aeo2014!M49*1000</f>
        <v>75476.26460000001</v>
      </c>
      <c r="L20" s="14">
        <f>EIA_electricity_aeo2014!N49*1000</f>
        <v>77523.864550000013</v>
      </c>
      <c r="M20" s="14">
        <f>EIA_electricity_aeo2014!O49*1000</f>
        <v>77635.616300000009</v>
      </c>
      <c r="N20" s="190">
        <f>EIA_electricity_aeo2014!P49*1000</f>
        <v>76794.490850000017</v>
      </c>
      <c r="O20" s="14">
        <f>EIA_electricity_aeo2014!Q49*1000</f>
        <v>77394.905500000008</v>
      </c>
      <c r="P20" s="14">
        <f>EIA_electricity_aeo2014!R49*1000</f>
        <v>77952.212799999994</v>
      </c>
      <c r="Q20" s="14">
        <f>EIA_electricity_aeo2014!S49*1000</f>
        <v>77715.591249999998</v>
      </c>
      <c r="R20" s="14">
        <f>EIA_electricity_aeo2014!T49*1000</f>
        <v>79081.506350000011</v>
      </c>
      <c r="S20" s="14">
        <f>EIA_electricity_aeo2014!U49*1000</f>
        <v>79457.703600000008</v>
      </c>
      <c r="T20" s="14">
        <f>EIA_electricity_aeo2014!V49*1000</f>
        <v>79549.406750000024</v>
      </c>
      <c r="U20" s="14">
        <f>EIA_electricity_aeo2014!W49*1000</f>
        <v>79898.926250000019</v>
      </c>
      <c r="V20" s="14">
        <f>EIA_electricity_aeo2014!X49*1000</f>
        <v>80226.892349999995</v>
      </c>
      <c r="W20" s="14">
        <f>EIA_electricity_aeo2014!Y49*1000</f>
        <v>81495.758300000001</v>
      </c>
      <c r="X20" s="187">
        <f>EIA_electricity_aeo2014!Z49*1000</f>
        <v>81433.429000000004</v>
      </c>
      <c r="Y20" s="14">
        <f>EIA_electricity_aeo2014!AA49*1000</f>
        <v>81241.6198</v>
      </c>
      <c r="Z20" s="14">
        <f>EIA_electricity_aeo2014!AB49*1000</f>
        <v>81125.354750000013</v>
      </c>
      <c r="AA20" s="14">
        <f>EIA_electricity_aeo2014!AC49*1000</f>
        <v>81055.992050000001</v>
      </c>
      <c r="AB20" s="14">
        <f>EIA_electricity_aeo2014!AD49*1000</f>
        <v>80984.115300000005</v>
      </c>
      <c r="AC20" s="14">
        <f>EIA_electricity_aeo2014!AE49*1000</f>
        <v>80902.230200000005</v>
      </c>
      <c r="AD20" s="14">
        <f>EIA_electricity_aeo2014!AF49*1000</f>
        <v>80845.807900000014</v>
      </c>
      <c r="AE20" s="14">
        <f>EIA_electricity_aeo2014!AG49*1000</f>
        <v>80786.085600000006</v>
      </c>
      <c r="AF20" s="14">
        <f>EIA_electricity_aeo2014!AH49*1000</f>
        <v>80728.999450000003</v>
      </c>
      <c r="AG20" s="14">
        <f>EIA_electricity_aeo2014!AI49*1000</f>
        <v>80679.816250000003</v>
      </c>
      <c r="AH20" s="14">
        <f>EIA_electricity_aeo2014!AJ49*1000</f>
        <v>80625.419050000011</v>
      </c>
    </row>
    <row r="21" spans="1:34">
      <c r="A21" s="10" t="s">
        <v>222</v>
      </c>
      <c r="B21" s="37"/>
      <c r="C21" s="330">
        <f>EIA_electricity_aeo2014!E51*1000</f>
        <v>3416</v>
      </c>
      <c r="D21" s="330">
        <f>EIA_electricity_aeo2014!F51*1000</f>
        <v>4690</v>
      </c>
      <c r="E21" s="330">
        <f>EIA_electricity_aeo2014!G51*1000</f>
        <v>3713.4625000000001</v>
      </c>
      <c r="F21" s="330">
        <f>EIA_electricity_aeo2014!H51*1000</f>
        <v>5003.2269999999999</v>
      </c>
      <c r="G21" s="330">
        <f>EIA_electricity_aeo2014!I51*1000</f>
        <v>1729.25</v>
      </c>
      <c r="H21" s="14">
        <f>EIA_electricity_aeo2014!J51*1000</f>
        <v>1882.5055</v>
      </c>
      <c r="I21" s="14">
        <f>EIA_electricity_aeo2014!K51*1000</f>
        <v>2264.1959999999999</v>
      </c>
      <c r="J21" s="14">
        <f>EIA_electricity_aeo2014!L51*1000</f>
        <v>3089.3164999999999</v>
      </c>
      <c r="K21" s="14">
        <f>EIA_electricity_aeo2014!M51*1000</f>
        <v>2842.1620000000003</v>
      </c>
      <c r="L21" s="14">
        <f>EIA_electricity_aeo2014!N51*1000</f>
        <v>2834.6254999999996</v>
      </c>
      <c r="M21" s="14">
        <f>EIA_electricity_aeo2014!O51*1000</f>
        <v>2859.7855</v>
      </c>
      <c r="N21" s="190">
        <f>EIA_electricity_aeo2014!P51*1000</f>
        <v>2905.4304999999999</v>
      </c>
      <c r="O21" s="14">
        <f>EIA_electricity_aeo2014!Q51*1000</f>
        <v>3211.9660000000003</v>
      </c>
      <c r="P21" s="14">
        <f>EIA_electricity_aeo2014!R51*1000</f>
        <v>3836.7735000000002</v>
      </c>
      <c r="Q21" s="14">
        <f>EIA_electricity_aeo2014!S51*1000</f>
        <v>3589.029</v>
      </c>
      <c r="R21" s="14">
        <f>EIA_electricity_aeo2014!T51*1000</f>
        <v>3347.547</v>
      </c>
      <c r="S21" s="14">
        <f>EIA_electricity_aeo2014!U51*1000</f>
        <v>3719.5115000000001</v>
      </c>
      <c r="T21" s="14">
        <f>EIA_electricity_aeo2014!V51*1000</f>
        <v>4199.9960000000001</v>
      </c>
      <c r="U21" s="14">
        <f>EIA_electricity_aeo2014!W51*1000</f>
        <v>4449.8355000000001</v>
      </c>
      <c r="V21" s="14">
        <f>EIA_electricity_aeo2014!X51*1000</f>
        <v>4885.0134999999991</v>
      </c>
      <c r="W21" s="14">
        <f>EIA_electricity_aeo2014!Y51*1000</f>
        <v>5168.4110000000001</v>
      </c>
      <c r="X21" s="187">
        <f>EIA_electricity_aeo2014!Z51*1000</f>
        <v>5421.1369999999997</v>
      </c>
      <c r="Y21" s="14">
        <f>EIA_electricity_aeo2014!AA51*1000</f>
        <v>5813.8705</v>
      </c>
      <c r="Z21" s="14">
        <f>EIA_electricity_aeo2014!AB51*1000</f>
        <v>5546.7280000000001</v>
      </c>
      <c r="AA21" s="14">
        <f>EIA_electricity_aeo2014!AC51*1000</f>
        <v>5958.4594999999999</v>
      </c>
      <c r="AB21" s="14">
        <f>EIA_electricity_aeo2014!AD51*1000</f>
        <v>6319.1500000000005</v>
      </c>
      <c r="AC21" s="14">
        <f>EIA_electricity_aeo2014!AE51*1000</f>
        <v>6551.2929999999997</v>
      </c>
      <c r="AD21" s="14">
        <f>EIA_electricity_aeo2014!AF51*1000</f>
        <v>6668.7505000000001</v>
      </c>
      <c r="AE21" s="14">
        <f>EIA_electricity_aeo2014!AG51*1000</f>
        <v>6772.9230000000007</v>
      </c>
      <c r="AF21" s="14">
        <f>EIA_electricity_aeo2014!AH51*1000</f>
        <v>6684.3020000000006</v>
      </c>
      <c r="AG21" s="14">
        <f>EIA_electricity_aeo2014!AI51*1000</f>
        <v>6960.4204999999993</v>
      </c>
      <c r="AH21" s="14">
        <f>EIA_electricity_aeo2014!AJ51*1000</f>
        <v>7900.0140000000001</v>
      </c>
    </row>
    <row r="22" spans="1:34">
      <c r="A22" s="10" t="s">
        <v>351</v>
      </c>
      <c r="B22" s="37"/>
      <c r="C22" s="329">
        <f>SUM(C17,C20:C21)</f>
        <v>87642</v>
      </c>
      <c r="D22" s="329">
        <f t="shared" ref="D22:AH22" si="3">SUM(D17,D20:D21)</f>
        <v>91255</v>
      </c>
      <c r="E22" s="329">
        <f t="shared" si="3"/>
        <v>94032.198355253873</v>
      </c>
      <c r="F22" s="329">
        <f t="shared" si="3"/>
        <v>90576.359822770508</v>
      </c>
      <c r="G22" s="329">
        <f t="shared" si="3"/>
        <v>91135.579220492742</v>
      </c>
      <c r="H22" s="79">
        <f t="shared" si="3"/>
        <v>92612.315355451923</v>
      </c>
      <c r="I22" s="79">
        <f t="shared" si="3"/>
        <v>95932.499325451921</v>
      </c>
      <c r="J22" s="79">
        <f t="shared" si="3"/>
        <v>91795.977995451933</v>
      </c>
      <c r="K22" s="79">
        <f t="shared" si="3"/>
        <v>93821.545245451925</v>
      </c>
      <c r="L22" s="79">
        <f t="shared" si="3"/>
        <v>95861.056195451922</v>
      </c>
      <c r="M22" s="79">
        <f t="shared" si="3"/>
        <v>96104.694135451922</v>
      </c>
      <c r="N22" s="387">
        <f t="shared" si="3"/>
        <v>96095.675655451938</v>
      </c>
      <c r="O22" s="79">
        <f t="shared" si="3"/>
        <v>97189.816575451929</v>
      </c>
      <c r="P22" s="79">
        <f t="shared" si="3"/>
        <v>98352.299745451906</v>
      </c>
      <c r="Q22" s="79">
        <f t="shared" si="3"/>
        <v>97872.636855451899</v>
      </c>
      <c r="R22" s="79">
        <f t="shared" si="3"/>
        <v>99209.966125451931</v>
      </c>
      <c r="S22" s="79">
        <f t="shared" si="3"/>
        <v>99967.831425451921</v>
      </c>
      <c r="T22" s="79">
        <f t="shared" si="3"/>
        <v>100544.62732545193</v>
      </c>
      <c r="U22" s="79">
        <f t="shared" si="3"/>
        <v>101217.61389545193</v>
      </c>
      <c r="V22" s="79">
        <f t="shared" si="3"/>
        <v>101981.98032545191</v>
      </c>
      <c r="W22" s="79">
        <f t="shared" si="3"/>
        <v>103555.99705545191</v>
      </c>
      <c r="X22" s="184">
        <f t="shared" si="3"/>
        <v>103981.85963545192</v>
      </c>
      <c r="Y22" s="174">
        <f t="shared" si="3"/>
        <v>104343.58514545193</v>
      </c>
      <c r="Z22" s="174">
        <f t="shared" si="3"/>
        <v>104035.14815545193</v>
      </c>
      <c r="AA22" s="174">
        <f t="shared" si="3"/>
        <v>104385.32739545191</v>
      </c>
      <c r="AB22" s="174">
        <f t="shared" si="3"/>
        <v>104691.56847545192</v>
      </c>
      <c r="AC22" s="174">
        <f t="shared" si="3"/>
        <v>104871.93569545192</v>
      </c>
      <c r="AD22" s="174">
        <f t="shared" si="3"/>
        <v>104935.06363545192</v>
      </c>
      <c r="AE22" s="174">
        <f t="shared" si="3"/>
        <v>104997.28371545192</v>
      </c>
      <c r="AF22" s="174">
        <f t="shared" si="3"/>
        <v>104858.68973545192</v>
      </c>
      <c r="AG22" s="174">
        <f t="shared" si="3"/>
        <v>105174.09843545192</v>
      </c>
      <c r="AH22" s="174">
        <f t="shared" si="3"/>
        <v>106333.91760545192</v>
      </c>
    </row>
    <row r="23" spans="1:34">
      <c r="A23" s="10" t="s">
        <v>328</v>
      </c>
      <c r="B23" s="37"/>
      <c r="C23" s="329">
        <f>EIA_electricity_aeo2014!E50*1000+EIA_electricity_aeo2014!E55*1000</f>
        <v>115</v>
      </c>
      <c r="D23" s="329">
        <f>EIA_electricity_aeo2014!F50*1000+EIA_electricity_aeo2014!F55*1000</f>
        <v>158</v>
      </c>
      <c r="E23" s="329">
        <f>EIA_electricity_aeo2014!G50*1000+EIA_electricity_aeo2014!G55*1000</f>
        <v>14.195218823351698</v>
      </c>
      <c r="F23" s="329">
        <f>EIA_electricity_aeo2014!H50*1000+EIA_electricity_aeo2014!H55*1000</f>
        <v>-2.2755487579813618</v>
      </c>
      <c r="G23" s="329">
        <f>EIA_electricity_aeo2014!I50*1000+EIA_electricity_aeo2014!I55*1000</f>
        <v>107.56518966899057</v>
      </c>
      <c r="H23" s="329">
        <f>EIA_electricity_aeo2014!J50*1000+EIA_electricity_aeo2014!J55*1000</f>
        <v>109.18691003946373</v>
      </c>
      <c r="I23" s="329">
        <f>EIA_electricity_aeo2014!K50*1000+EIA_electricity_aeo2014!K55*1000</f>
        <v>112.97399981611736</v>
      </c>
      <c r="J23" s="329">
        <f>EIA_electricity_aeo2014!L50*1000+EIA_electricity_aeo2014!L55*1000</f>
        <v>103.91213038260514</v>
      </c>
      <c r="K23" s="329">
        <f>EIA_electricity_aeo2014!M50*1000+EIA_electricity_aeo2014!M55*1000</f>
        <v>106.95986718305116</v>
      </c>
      <c r="L23" s="329">
        <f>EIA_electricity_aeo2014!N50*1000+EIA_electricity_aeo2014!N55*1000</f>
        <v>109.84346519469045</v>
      </c>
      <c r="M23" s="329">
        <f>EIA_electricity_aeo2014!O50*1000+EIA_electricity_aeo2014!O55*1000</f>
        <v>110.05106676929063</v>
      </c>
      <c r="N23" s="329">
        <f>EIA_electricity_aeo2014!P50*1000+EIA_electricity_aeo2014!P55*1000</f>
        <v>109.71064874871817</v>
      </c>
      <c r="O23" s="329">
        <f>EIA_electricity_aeo2014!Q50*1000+EIA_electricity_aeo2014!Q55*1000</f>
        <v>111.51961742101865</v>
      </c>
      <c r="P23" s="329">
        <f>EIA_electricity_aeo2014!R50*1000+EIA_electricity_aeo2014!R55*1000</f>
        <v>112.47884224421506</v>
      </c>
      <c r="Q23" s="329">
        <f>EIA_electricity_aeo2014!S50*1000+EIA_electricity_aeo2014!S55*1000</f>
        <v>112.33291411984698</v>
      </c>
      <c r="R23" s="329">
        <f>EIA_electricity_aeo2014!T50*1000+EIA_electricity_aeo2014!T55*1000</f>
        <v>115.30368051193247</v>
      </c>
      <c r="S23" s="329">
        <f>EIA_electricity_aeo2014!U50*1000+EIA_electricity_aeo2014!U55*1000</f>
        <v>116.27868578508078</v>
      </c>
      <c r="T23" s="329">
        <f>EIA_electricity_aeo2014!V50*1000+EIA_electricity_aeo2014!V55*1000</f>
        <v>116.62655424695838</v>
      </c>
      <c r="U23" s="329">
        <f>EIA_electricity_aeo2014!W50*1000+EIA_electricity_aeo2014!W55*1000</f>
        <v>117.79503016854579</v>
      </c>
      <c r="V23" s="329">
        <f>EIA_electricity_aeo2014!X50*1000+EIA_electricity_aeo2014!X55*1000</f>
        <v>118.7038541357422</v>
      </c>
      <c r="W23" s="329">
        <f>EIA_electricity_aeo2014!Y50*1000+EIA_electricity_aeo2014!Y55*1000</f>
        <v>121.10800238561708</v>
      </c>
      <c r="X23" s="329">
        <f>EIA_electricity_aeo2014!Z50*1000+EIA_electricity_aeo2014!Z55*1000</f>
        <v>121.41762142697476</v>
      </c>
      <c r="Y23" s="329">
        <f>EIA_electricity_aeo2014!AA50*1000+EIA_electricity_aeo2014!AA55*1000</f>
        <v>121.31542430322484</v>
      </c>
      <c r="Z23" s="329">
        <f>EIA_electricity_aeo2014!AB50*1000+EIA_electricity_aeo2014!AB55*1000</f>
        <v>121.23765946443145</v>
      </c>
      <c r="AA23" s="329">
        <f>EIA_electricity_aeo2014!AC50*1000+EIA_electricity_aeo2014!AC55*1000</f>
        <v>120.17249334530247</v>
      </c>
      <c r="AB23" s="329">
        <f>EIA_electricity_aeo2014!AD50*1000+EIA_electricity_aeo2014!AD55*1000</f>
        <v>120.09293567182608</v>
      </c>
      <c r="AC23" s="329">
        <f>EIA_electricity_aeo2014!AE50*1000+EIA_electricity_aeo2014!AE55*1000</f>
        <v>120.09458027011979</v>
      </c>
      <c r="AD23" s="329">
        <f>EIA_electricity_aeo2014!AF50*1000+EIA_electricity_aeo2014!AF55*1000</f>
        <v>120.07175058576593</v>
      </c>
      <c r="AE23" s="329">
        <f>EIA_electricity_aeo2014!AG50*1000+EIA_electricity_aeo2014!AG55*1000</f>
        <v>120.3119739426795</v>
      </c>
      <c r="AF23" s="329">
        <f>EIA_electricity_aeo2014!AH50*1000+EIA_electricity_aeo2014!AH55*1000</f>
        <v>120.2344392097626</v>
      </c>
      <c r="AG23" s="329">
        <f>EIA_electricity_aeo2014!AI50*1000+EIA_electricity_aeo2014!AI55*1000</f>
        <v>120.18766990956247</v>
      </c>
      <c r="AH23" s="329">
        <f>EIA_electricity_aeo2014!AJ50*1000+EIA_electricity_aeo2014!AJ55*1000</f>
        <v>120.12251101402501</v>
      </c>
    </row>
    <row r="24" spans="1:34">
      <c r="A24" s="10" t="s">
        <v>345</v>
      </c>
      <c r="B24" s="37"/>
      <c r="C24" s="329">
        <f>SUM(C22:C23)</f>
        <v>87757</v>
      </c>
      <c r="D24" s="329">
        <f t="shared" ref="D24:AH24" si="4">SUM(D22:D23)</f>
        <v>91413</v>
      </c>
      <c r="E24" s="329">
        <f t="shared" si="4"/>
        <v>94046.393574077229</v>
      </c>
      <c r="F24" s="329">
        <f t="shared" si="4"/>
        <v>90574.084274012523</v>
      </c>
      <c r="G24" s="329">
        <f t="shared" si="4"/>
        <v>91243.144410161738</v>
      </c>
      <c r="H24" s="83">
        <f t="shared" si="4"/>
        <v>92721.502265491392</v>
      </c>
      <c r="I24" s="83">
        <f t="shared" si="4"/>
        <v>96045.473325268045</v>
      </c>
      <c r="J24" s="83">
        <f t="shared" si="4"/>
        <v>91899.890125834543</v>
      </c>
      <c r="K24" s="83">
        <f t="shared" si="4"/>
        <v>93928.505112634972</v>
      </c>
      <c r="L24" s="83">
        <f t="shared" si="4"/>
        <v>95970.89966064661</v>
      </c>
      <c r="M24" s="83">
        <f t="shared" si="4"/>
        <v>96214.745202221209</v>
      </c>
      <c r="N24" s="387">
        <f t="shared" si="4"/>
        <v>96205.386304200656</v>
      </c>
      <c r="O24" s="83">
        <f t="shared" si="4"/>
        <v>97301.336192872943</v>
      </c>
      <c r="P24" s="83">
        <f t="shared" si="4"/>
        <v>98464.778587696128</v>
      </c>
      <c r="Q24" s="83">
        <f t="shared" si="4"/>
        <v>97984.969769571748</v>
      </c>
      <c r="R24" s="83">
        <f t="shared" si="4"/>
        <v>99325.269805963864</v>
      </c>
      <c r="S24" s="83">
        <f t="shared" si="4"/>
        <v>100084.11011123701</v>
      </c>
      <c r="T24" s="83">
        <f t="shared" si="4"/>
        <v>100661.2538796989</v>
      </c>
      <c r="U24" s="83">
        <f t="shared" si="4"/>
        <v>101335.40892562048</v>
      </c>
      <c r="V24" s="83">
        <f t="shared" si="4"/>
        <v>102100.68417958765</v>
      </c>
      <c r="W24" s="83">
        <f t="shared" si="4"/>
        <v>103677.10505783753</v>
      </c>
      <c r="X24" s="184">
        <f t="shared" si="4"/>
        <v>104103.27725687889</v>
      </c>
      <c r="Y24" s="174">
        <f t="shared" si="4"/>
        <v>104464.90056975515</v>
      </c>
      <c r="Z24" s="174">
        <f t="shared" si="4"/>
        <v>104156.38581491636</v>
      </c>
      <c r="AA24" s="174">
        <f t="shared" si="4"/>
        <v>104505.49988879722</v>
      </c>
      <c r="AB24" s="174">
        <f t="shared" si="4"/>
        <v>104811.66141112374</v>
      </c>
      <c r="AC24" s="174">
        <f t="shared" si="4"/>
        <v>104992.03027572203</v>
      </c>
      <c r="AD24" s="174">
        <f t="shared" si="4"/>
        <v>105055.13538603768</v>
      </c>
      <c r="AE24" s="174">
        <f t="shared" si="4"/>
        <v>105117.5956893946</v>
      </c>
      <c r="AF24" s="174">
        <f t="shared" si="4"/>
        <v>104978.92417466168</v>
      </c>
      <c r="AG24" s="174">
        <f t="shared" si="4"/>
        <v>105294.28610536148</v>
      </c>
      <c r="AH24" s="174">
        <f t="shared" si="4"/>
        <v>106454.04011646594</v>
      </c>
    </row>
    <row r="25" spans="1:34">
      <c r="A25" s="10" t="s">
        <v>346</v>
      </c>
      <c r="B25" s="37"/>
      <c r="C25" s="331">
        <f t="shared" ref="C25:AH25" si="5">C24/C4-1</f>
        <v>-2.6201868307129672E-4</v>
      </c>
      <c r="D25" s="331">
        <f t="shared" si="5"/>
        <v>-5.4693823973273048E-5</v>
      </c>
      <c r="E25" s="331">
        <f t="shared" si="5"/>
        <v>3.1899251589084798E-6</v>
      </c>
      <c r="F25" s="331">
        <f t="shared" si="5"/>
        <v>3.3122166906984774E-6</v>
      </c>
      <c r="G25" s="331">
        <f t="shared" si="5"/>
        <v>3.2879290641218972E-6</v>
      </c>
      <c r="H25" s="82">
        <f t="shared" si="5"/>
        <v>3.2355059327304758E-6</v>
      </c>
      <c r="I25" s="82">
        <f t="shared" si="5"/>
        <v>3.1235302058174597E-6</v>
      </c>
      <c r="J25" s="82">
        <f t="shared" si="5"/>
        <v>3.2644324050590257E-6</v>
      </c>
      <c r="K25" s="82">
        <f t="shared" si="5"/>
        <v>3.193928805877988E-6</v>
      </c>
      <c r="L25" s="82">
        <f t="shared" si="5"/>
        <v>3.1259573354258663E-6</v>
      </c>
      <c r="M25" s="82">
        <f t="shared" si="5"/>
        <v>3.1180349204795732E-6</v>
      </c>
      <c r="N25" s="198">
        <f t="shared" si="5"/>
        <v>3.1183382454003095E-6</v>
      </c>
      <c r="O25" s="82">
        <f t="shared" si="5"/>
        <v>3.0832148529835735E-6</v>
      </c>
      <c r="P25" s="82">
        <f t="shared" si="5"/>
        <v>3.0467840208547869E-6</v>
      </c>
      <c r="Q25" s="82">
        <f t="shared" si="5"/>
        <v>3.0617034347812933E-6</v>
      </c>
      <c r="R25" s="82">
        <f t="shared" si="5"/>
        <v>3.0203885346136161E-6</v>
      </c>
      <c r="S25" s="82">
        <f t="shared" si="5"/>
        <v>2.997487802414156E-6</v>
      </c>
      <c r="T25" s="82">
        <f t="shared" si="5"/>
        <v>2.9803015810792033E-6</v>
      </c>
      <c r="U25" s="82">
        <f t="shared" si="5"/>
        <v>2.9604744413713746E-6</v>
      </c>
      <c r="V25" s="82">
        <f t="shared" si="5"/>
        <v>2.9382847324121997E-6</v>
      </c>
      <c r="W25" s="82">
        <f t="shared" si="5"/>
        <v>2.8936076859054083E-6</v>
      </c>
      <c r="X25" s="185">
        <f t="shared" si="5"/>
        <v>2.881761961948115E-6</v>
      </c>
      <c r="Y25" s="172">
        <f t="shared" si="5"/>
        <v>2.8717862163851748E-6</v>
      </c>
      <c r="Z25" s="172">
        <f t="shared" si="5"/>
        <v>2.8802925691184811E-6</v>
      </c>
      <c r="AA25" s="172">
        <f t="shared" si="5"/>
        <v>2.8706705534897736E-6</v>
      </c>
      <c r="AB25" s="172">
        <f t="shared" si="5"/>
        <v>2.8622851184767484E-6</v>
      </c>
      <c r="AC25" s="172">
        <f t="shared" si="5"/>
        <v>2.8573679013987885E-6</v>
      </c>
      <c r="AD25" s="172">
        <f t="shared" si="5"/>
        <v>2.8556515165867324E-6</v>
      </c>
      <c r="AE25" s="172">
        <f t="shared" si="5"/>
        <v>2.8539546990113962E-6</v>
      </c>
      <c r="AF25" s="172">
        <f t="shared" si="5"/>
        <v>2.8577246304894999E-6</v>
      </c>
      <c r="AG25" s="172">
        <f t="shared" si="5"/>
        <v>2.8491655703621888E-6</v>
      </c>
      <c r="AH25" s="172">
        <f t="shared" si="5"/>
        <v>9.3937340306382566E-7</v>
      </c>
    </row>
    <row r="26" spans="1:34">
      <c r="A26" s="10"/>
      <c r="B26" s="37"/>
      <c r="C26" s="331"/>
      <c r="D26" s="331"/>
      <c r="E26" s="331"/>
      <c r="F26" s="331"/>
      <c r="G26" s="331"/>
      <c r="H26" s="82"/>
      <c r="I26" s="82"/>
      <c r="J26" s="82"/>
      <c r="K26" s="82"/>
      <c r="L26" s="82"/>
      <c r="M26" s="82"/>
      <c r="N26" s="183" t="s">
        <v>0</v>
      </c>
      <c r="O26" s="91" t="s">
        <v>0</v>
      </c>
      <c r="P26" s="82"/>
      <c r="Q26" s="82"/>
      <c r="R26" s="82"/>
      <c r="S26" s="82"/>
      <c r="T26" s="82"/>
      <c r="U26" s="82"/>
      <c r="V26" s="82"/>
      <c r="W26" s="82"/>
      <c r="X26" s="185" t="s">
        <v>0</v>
      </c>
    </row>
    <row r="27" spans="1:34">
      <c r="A27" s="10"/>
      <c r="B27" s="37"/>
      <c r="C27" s="331"/>
      <c r="D27" s="331"/>
      <c r="E27" s="331"/>
      <c r="F27" s="331"/>
      <c r="G27" s="331"/>
      <c r="H27" s="164"/>
      <c r="I27" s="164"/>
      <c r="J27" s="164"/>
      <c r="K27" s="164"/>
      <c r="L27" s="164"/>
      <c r="M27" s="164"/>
      <c r="N27" s="183"/>
      <c r="O27" s="164"/>
      <c r="P27" s="164"/>
      <c r="Q27" s="164"/>
      <c r="R27" s="164"/>
      <c r="S27" s="164"/>
      <c r="T27" s="164"/>
      <c r="U27" s="164"/>
      <c r="V27" s="164"/>
      <c r="W27" s="164"/>
      <c r="X27" s="185"/>
    </row>
    <row r="28" spans="1:34">
      <c r="A28" s="9" t="s">
        <v>125</v>
      </c>
      <c r="B28" s="37"/>
      <c r="C28" s="331">
        <f t="shared" ref="C28:K28" si="6">C10/C$18</f>
        <v>3.629698190595452E-3</v>
      </c>
      <c r="D28" s="331">
        <f t="shared" si="6"/>
        <v>0</v>
      </c>
      <c r="E28" s="331">
        <f t="shared" si="6"/>
        <v>3.9466529919964075E-4</v>
      </c>
      <c r="F28" s="331">
        <f t="shared" si="6"/>
        <v>2.6156374009158955E-4</v>
      </c>
      <c r="G28" s="331">
        <f t="shared" si="6"/>
        <v>1.2195245902415316E-2</v>
      </c>
      <c r="H28" s="164">
        <f t="shared" si="6"/>
        <v>1.1446962555906031E-2</v>
      </c>
      <c r="I28" s="164">
        <f t="shared" si="6"/>
        <v>9.0181691609023343E-3</v>
      </c>
      <c r="J28" s="164">
        <f t="shared" si="6"/>
        <v>6.7879974712066254E-4</v>
      </c>
      <c r="K28" s="164">
        <f t="shared" si="6"/>
        <v>1.5960508103996823E-2</v>
      </c>
      <c r="L28" s="164">
        <f t="shared" ref="L28:L34" si="7">L10/L$18</f>
        <v>1.57111669326769E-2</v>
      </c>
      <c r="M28" s="164">
        <f t="shared" ref="M28:AH28" si="8">M10/M$18</f>
        <v>5.0390965187108942E-2</v>
      </c>
      <c r="N28" s="185">
        <f t="shared" si="8"/>
        <v>0.24699493361408056</v>
      </c>
      <c r="O28" s="164">
        <f t="shared" si="8"/>
        <v>0.26032347446308374</v>
      </c>
      <c r="P28" s="164">
        <f t="shared" si="8"/>
        <v>0.25653732833547999</v>
      </c>
      <c r="Q28" s="164">
        <f t="shared" si="8"/>
        <v>0.25744155669308355</v>
      </c>
      <c r="R28" s="164">
        <f t="shared" si="8"/>
        <v>0.29624962795264947</v>
      </c>
      <c r="S28" s="164">
        <f t="shared" si="8"/>
        <v>0.29785654499461728</v>
      </c>
      <c r="T28" s="164">
        <f t="shared" si="8"/>
        <v>0.29866767412685458</v>
      </c>
      <c r="U28" s="164">
        <f t="shared" si="8"/>
        <v>0.29904108110134797</v>
      </c>
      <c r="V28" s="164">
        <f t="shared" si="8"/>
        <v>0.29866654912361534</v>
      </c>
      <c r="W28" s="164">
        <f t="shared" si="8"/>
        <v>0.30239880068368247</v>
      </c>
      <c r="X28" s="185">
        <f t="shared" si="8"/>
        <v>0.33870137937010153</v>
      </c>
      <c r="Y28" s="172">
        <f t="shared" si="8"/>
        <v>0.3592354006401608</v>
      </c>
      <c r="Z28" s="172">
        <f t="shared" si="8"/>
        <v>0.36544667394404368</v>
      </c>
      <c r="AA28" s="172">
        <f t="shared" si="8"/>
        <v>0.3645017680589322</v>
      </c>
      <c r="AB28" s="172">
        <f t="shared" si="8"/>
        <v>0.36283478039564349</v>
      </c>
      <c r="AC28" s="172">
        <f t="shared" si="8"/>
        <v>0.36413685543568325</v>
      </c>
      <c r="AD28" s="172">
        <f t="shared" si="8"/>
        <v>0.36385844171572646</v>
      </c>
      <c r="AE28" s="172">
        <f t="shared" si="8"/>
        <v>0.36240783504897983</v>
      </c>
      <c r="AF28" s="172">
        <f t="shared" si="8"/>
        <v>0.36071062764237849</v>
      </c>
      <c r="AG28" s="172">
        <f t="shared" si="8"/>
        <v>0.35341391777151865</v>
      </c>
      <c r="AH28" s="172">
        <f t="shared" si="8"/>
        <v>0.33199415010045386</v>
      </c>
    </row>
    <row r="29" spans="1:34">
      <c r="A29" s="9" t="s">
        <v>50</v>
      </c>
      <c r="B29" s="37"/>
      <c r="C29" s="331">
        <f t="shared" ref="C29:K29" si="9">C11/C$18</f>
        <v>0</v>
      </c>
      <c r="D29" s="331">
        <f t="shared" si="9"/>
        <v>0</v>
      </c>
      <c r="E29" s="331">
        <f t="shared" si="9"/>
        <v>9.9000451323125727E-11</v>
      </c>
      <c r="F29" s="331">
        <f t="shared" si="9"/>
        <v>6.2065761832709954E-11</v>
      </c>
      <c r="G29" s="331">
        <f t="shared" si="9"/>
        <v>3.9198577701827844E-11</v>
      </c>
      <c r="H29" s="164">
        <f t="shared" si="9"/>
        <v>3.7304348872591658E-11</v>
      </c>
      <c r="I29" s="164">
        <f t="shared" si="9"/>
        <v>3.5688595973739948E-11</v>
      </c>
      <c r="J29" s="164">
        <f t="shared" si="9"/>
        <v>3.4923610855786351E-11</v>
      </c>
      <c r="K29" s="164">
        <f t="shared" si="9"/>
        <v>3.4394036884483938E-11</v>
      </c>
      <c r="L29" s="164">
        <f t="shared" si="7"/>
        <v>3.4400585166494126E-11</v>
      </c>
      <c r="M29" s="164">
        <f t="shared" ref="M29:AH29" si="10">M11/M$18</f>
        <v>3.3182325707301372E-11</v>
      </c>
      <c r="N29" s="185">
        <f t="shared" si="10"/>
        <v>2.6314996523534467E-11</v>
      </c>
      <c r="O29" s="164">
        <f t="shared" si="10"/>
        <v>2.5842018396615461E-11</v>
      </c>
      <c r="P29" s="164">
        <f t="shared" si="10"/>
        <v>2.5973786506158454E-11</v>
      </c>
      <c r="Q29" s="164">
        <f t="shared" si="10"/>
        <v>2.5942098289413296E-11</v>
      </c>
      <c r="R29" s="164">
        <f t="shared" si="10"/>
        <v>2.4584313217792263E-11</v>
      </c>
      <c r="S29" s="164">
        <f t="shared" si="10"/>
        <v>2.4525799940123068E-11</v>
      </c>
      <c r="T29" s="164">
        <f t="shared" si="10"/>
        <v>2.4498117626236755E-11</v>
      </c>
      <c r="U29" s="164">
        <f t="shared" si="10"/>
        <v>2.4454614439310639E-11</v>
      </c>
      <c r="V29" s="164">
        <f t="shared" si="10"/>
        <v>2.4447306745999462E-11</v>
      </c>
      <c r="W29" s="164">
        <f t="shared" si="10"/>
        <v>2.4317981505255929E-11</v>
      </c>
      <c r="X29" s="185">
        <f t="shared" si="10"/>
        <v>2.3000935317993468E-11</v>
      </c>
      <c r="Y29" s="172">
        <f t="shared" si="10"/>
        <v>2.2180569599439796E-11</v>
      </c>
      <c r="Z29" s="172">
        <f t="shared" si="10"/>
        <v>2.1817764239890514E-11</v>
      </c>
      <c r="AA29" s="172">
        <f t="shared" si="10"/>
        <v>2.1780675674688093E-11</v>
      </c>
      <c r="AB29" s="172">
        <f t="shared" si="10"/>
        <v>2.1698317901414251E-11</v>
      </c>
      <c r="AC29" s="172">
        <f t="shared" si="10"/>
        <v>2.1557473825383155E-11</v>
      </c>
      <c r="AD29" s="172">
        <f t="shared" si="10"/>
        <v>2.15477262663654E-11</v>
      </c>
      <c r="AE29" s="172">
        <f t="shared" si="10"/>
        <v>2.1465534624807174E-11</v>
      </c>
      <c r="AF29" s="172">
        <f t="shared" si="10"/>
        <v>2.143283111748009E-11</v>
      </c>
      <c r="AG29" s="172">
        <f t="shared" si="10"/>
        <v>2.1033981586832417E-11</v>
      </c>
      <c r="AH29" s="172">
        <f t="shared" si="10"/>
        <v>1.9885300768075126E-11</v>
      </c>
    </row>
    <row r="30" spans="1:34">
      <c r="A30" s="9" t="s">
        <v>51</v>
      </c>
      <c r="B30" s="37"/>
      <c r="C30" s="331">
        <f t="shared" ref="C30:K30" si="11">C12/C$18</f>
        <v>9.0742454764886307E-2</v>
      </c>
      <c r="D30" s="331">
        <f t="shared" si="11"/>
        <v>5.9002451653594572E-2</v>
      </c>
      <c r="E30" s="331">
        <f t="shared" si="11"/>
        <v>1.1029991885843287E-2</v>
      </c>
      <c r="F30" s="331">
        <f t="shared" si="11"/>
        <v>6.2167814519808904E-3</v>
      </c>
      <c r="G30" s="331">
        <f t="shared" si="11"/>
        <v>4.2221259965005723E-3</v>
      </c>
      <c r="H30" s="164">
        <f t="shared" si="11"/>
        <v>4.2783146643429531E-3</v>
      </c>
      <c r="I30" s="164">
        <f t="shared" si="11"/>
        <v>4.0930092098845107E-3</v>
      </c>
      <c r="J30" s="164">
        <f t="shared" si="11"/>
        <v>4.0052755502159552E-3</v>
      </c>
      <c r="K30" s="164">
        <f t="shared" si="11"/>
        <v>3.9445404306990431E-3</v>
      </c>
      <c r="L30" s="164">
        <f t="shared" si="7"/>
        <v>3.9452914319039198E-3</v>
      </c>
      <c r="M30" s="164">
        <f t="shared" ref="M30:AH30" si="12">M12/M$18</f>
        <v>3.8055732095851184E-3</v>
      </c>
      <c r="N30" s="185">
        <f t="shared" si="12"/>
        <v>3.0179815201516417E-3</v>
      </c>
      <c r="O30" s="164">
        <f t="shared" si="12"/>
        <v>2.9637371942897368E-3</v>
      </c>
      <c r="P30" s="164">
        <f t="shared" si="12"/>
        <v>2.9788492509905773E-3</v>
      </c>
      <c r="Q30" s="164">
        <f t="shared" si="12"/>
        <v>2.9752150322872642E-3</v>
      </c>
      <c r="R30" s="164">
        <f t="shared" si="12"/>
        <v>2.8194950704462938E-3</v>
      </c>
      <c r="S30" s="164">
        <f t="shared" si="12"/>
        <v>2.8127843725926499E-3</v>
      </c>
      <c r="T30" s="164">
        <f t="shared" si="12"/>
        <v>2.8096095778831309E-3</v>
      </c>
      <c r="U30" s="164">
        <f t="shared" si="12"/>
        <v>2.8046203386068386E-3</v>
      </c>
      <c r="V30" s="164">
        <f t="shared" si="12"/>
        <v>2.8037822429852659E-3</v>
      </c>
      <c r="W30" s="164">
        <f t="shared" si="12"/>
        <v>2.7889503509763089E-3</v>
      </c>
      <c r="X30" s="185">
        <f t="shared" si="12"/>
        <v>2.6379025995244151E-3</v>
      </c>
      <c r="Y30" s="172">
        <f t="shared" si="12"/>
        <v>2.543817518565097E-3</v>
      </c>
      <c r="Z30" s="172">
        <f t="shared" si="12"/>
        <v>2.5022085497190456E-3</v>
      </c>
      <c r="AA30" s="172">
        <f t="shared" si="12"/>
        <v>2.497954982583297E-3</v>
      </c>
      <c r="AB30" s="172">
        <f t="shared" si="12"/>
        <v>2.4885096369394546E-3</v>
      </c>
      <c r="AC30" s="172">
        <f t="shared" si="12"/>
        <v>2.4723566871070451E-3</v>
      </c>
      <c r="AD30" s="172">
        <f t="shared" si="12"/>
        <v>2.4712387712085625E-3</v>
      </c>
      <c r="AE30" s="172">
        <f t="shared" si="12"/>
        <v>2.4618124786718407E-3</v>
      </c>
      <c r="AF30" s="172">
        <f t="shared" si="12"/>
        <v>2.4580618195878079E-3</v>
      </c>
      <c r="AG30" s="172">
        <f t="shared" si="12"/>
        <v>2.4123190617751935E-3</v>
      </c>
      <c r="AH30" s="172">
        <f t="shared" si="12"/>
        <v>2.280580587842211E-3</v>
      </c>
    </row>
    <row r="31" spans="1:34">
      <c r="A31" s="9" t="s">
        <v>347</v>
      </c>
      <c r="B31" s="37"/>
      <c r="C31" s="331">
        <f t="shared" ref="C31:K31" si="13">C13/C$18</f>
        <v>0</v>
      </c>
      <c r="D31" s="331">
        <f t="shared" si="13"/>
        <v>0</v>
      </c>
      <c r="E31" s="331">
        <f t="shared" si="13"/>
        <v>1.9800090264625143E-4</v>
      </c>
      <c r="F31" s="331">
        <f t="shared" si="13"/>
        <v>1.241315236654199E-4</v>
      </c>
      <c r="G31" s="331">
        <f t="shared" si="13"/>
        <v>7.8397155403655685E-5</v>
      </c>
      <c r="H31" s="164">
        <f t="shared" si="13"/>
        <v>7.4608697745183301E-5</v>
      </c>
      <c r="I31" s="164">
        <f t="shared" si="13"/>
        <v>7.1377191947479901E-5</v>
      </c>
      <c r="J31" s="164">
        <f t="shared" si="13"/>
        <v>6.9847221711572696E-5</v>
      </c>
      <c r="K31" s="164">
        <f t="shared" si="13"/>
        <v>6.8788073768967883E-5</v>
      </c>
      <c r="L31" s="164">
        <f t="shared" si="7"/>
        <v>6.8801170332988254E-5</v>
      </c>
      <c r="M31" s="164">
        <f t="shared" ref="M31:AH31" si="14">M13/M$18</f>
        <v>6.6364651414602751E-5</v>
      </c>
      <c r="N31" s="185">
        <f t="shared" si="14"/>
        <v>5.2629993047068933E-5</v>
      </c>
      <c r="O31" s="164">
        <f t="shared" si="14"/>
        <v>5.1684036793230926E-5</v>
      </c>
      <c r="P31" s="164">
        <f t="shared" si="14"/>
        <v>5.1947573012316906E-5</v>
      </c>
      <c r="Q31" s="164">
        <f t="shared" si="14"/>
        <v>5.1884196578826588E-5</v>
      </c>
      <c r="R31" s="164">
        <f t="shared" si="14"/>
        <v>4.9168626435584525E-5</v>
      </c>
      <c r="S31" s="164">
        <f t="shared" si="14"/>
        <v>4.9051599880246133E-5</v>
      </c>
      <c r="T31" s="164">
        <f t="shared" si="14"/>
        <v>4.8996235252473511E-5</v>
      </c>
      <c r="U31" s="164">
        <f t="shared" si="14"/>
        <v>4.8909228878621278E-5</v>
      </c>
      <c r="V31" s="164">
        <f t="shared" si="14"/>
        <v>4.8894613491998925E-5</v>
      </c>
      <c r="W31" s="164">
        <f t="shared" si="14"/>
        <v>4.8635963010511854E-5</v>
      </c>
      <c r="X31" s="185">
        <f t="shared" si="14"/>
        <v>4.6001870635986932E-5</v>
      </c>
      <c r="Y31" s="172">
        <f t="shared" si="14"/>
        <v>4.4361139198879587E-5</v>
      </c>
      <c r="Z31" s="172">
        <f t="shared" si="14"/>
        <v>4.3635528479781026E-5</v>
      </c>
      <c r="AA31" s="172">
        <f t="shared" si="14"/>
        <v>4.3561351349376187E-5</v>
      </c>
      <c r="AB31" s="172">
        <f t="shared" si="14"/>
        <v>4.33966358028285E-5</v>
      </c>
      <c r="AC31" s="172">
        <f t="shared" si="14"/>
        <v>4.3114947650766311E-5</v>
      </c>
      <c r="AD31" s="172">
        <f t="shared" si="14"/>
        <v>4.3095452532730804E-5</v>
      </c>
      <c r="AE31" s="172">
        <f t="shared" si="14"/>
        <v>4.2931069249614343E-5</v>
      </c>
      <c r="AF31" s="172">
        <f t="shared" si="14"/>
        <v>4.2865662234960178E-5</v>
      </c>
      <c r="AG31" s="172">
        <f t="shared" si="14"/>
        <v>4.2067963173664831E-5</v>
      </c>
      <c r="AH31" s="172">
        <f t="shared" si="14"/>
        <v>0</v>
      </c>
    </row>
    <row r="32" spans="1:34">
      <c r="A32" s="9" t="s">
        <v>348</v>
      </c>
      <c r="B32" s="37"/>
      <c r="C32" s="331">
        <f t="shared" ref="C32:K32" si="15">C14/C$18</f>
        <v>0</v>
      </c>
      <c r="D32" s="331">
        <f t="shared" si="15"/>
        <v>0</v>
      </c>
      <c r="E32" s="331">
        <f t="shared" si="15"/>
        <v>9.9000451323125717E-5</v>
      </c>
      <c r="F32" s="331">
        <f t="shared" si="15"/>
        <v>6.206576183270995E-5</v>
      </c>
      <c r="G32" s="331">
        <f t="shared" si="15"/>
        <v>3.9198577701827842E-5</v>
      </c>
      <c r="H32" s="164">
        <f t="shared" si="15"/>
        <v>3.7304348872591651E-5</v>
      </c>
      <c r="I32" s="164">
        <f t="shared" si="15"/>
        <v>3.5688595973739951E-5</v>
      </c>
      <c r="J32" s="164">
        <f t="shared" si="15"/>
        <v>3.4923610855786348E-5</v>
      </c>
      <c r="K32" s="164">
        <f t="shared" si="15"/>
        <v>3.4394036884483941E-5</v>
      </c>
      <c r="L32" s="164">
        <f t="shared" si="7"/>
        <v>3.4400585166494127E-5</v>
      </c>
      <c r="M32" s="164">
        <f t="shared" ref="M32:AH32" si="16">M14/M$18</f>
        <v>3.3182325707301375E-5</v>
      </c>
      <c r="N32" s="185">
        <f t="shared" si="16"/>
        <v>2.6314996523534467E-5</v>
      </c>
      <c r="O32" s="164">
        <f t="shared" si="16"/>
        <v>2.5842018396615463E-5</v>
      </c>
      <c r="P32" s="164">
        <f t="shared" si="16"/>
        <v>2.5973786506158453E-5</v>
      </c>
      <c r="Q32" s="164">
        <f t="shared" si="16"/>
        <v>2.5942098289413294E-5</v>
      </c>
      <c r="R32" s="164">
        <f t="shared" si="16"/>
        <v>2.4584313217792262E-5</v>
      </c>
      <c r="S32" s="164">
        <f t="shared" si="16"/>
        <v>2.4525799940123066E-5</v>
      </c>
      <c r="T32" s="164">
        <f t="shared" si="16"/>
        <v>2.4498117626236755E-5</v>
      </c>
      <c r="U32" s="164">
        <f t="shared" si="16"/>
        <v>2.4454614439310639E-5</v>
      </c>
      <c r="V32" s="164">
        <f t="shared" si="16"/>
        <v>2.4447306745999462E-5</v>
      </c>
      <c r="W32" s="164">
        <f t="shared" si="16"/>
        <v>2.4317981505255927E-5</v>
      </c>
      <c r="X32" s="185">
        <f t="shared" si="16"/>
        <v>2.3000935317993466E-5</v>
      </c>
      <c r="Y32" s="172">
        <f t="shared" si="16"/>
        <v>2.2180569599439793E-5</v>
      </c>
      <c r="Z32" s="172">
        <f t="shared" si="16"/>
        <v>2.1817764239890513E-5</v>
      </c>
      <c r="AA32" s="172">
        <f t="shared" si="16"/>
        <v>2.1780675674688093E-5</v>
      </c>
      <c r="AB32" s="172">
        <f t="shared" si="16"/>
        <v>2.169831790141425E-5</v>
      </c>
      <c r="AC32" s="172">
        <f t="shared" si="16"/>
        <v>2.1557473825383155E-5</v>
      </c>
      <c r="AD32" s="172">
        <f t="shared" si="16"/>
        <v>2.1547726266365402E-5</v>
      </c>
      <c r="AE32" s="172">
        <f t="shared" si="16"/>
        <v>2.1465534624807172E-5</v>
      </c>
      <c r="AF32" s="172">
        <f t="shared" si="16"/>
        <v>2.1432831117480089E-5</v>
      </c>
      <c r="AG32" s="172">
        <f t="shared" si="16"/>
        <v>2.1033981586832415E-5</v>
      </c>
      <c r="AH32" s="172">
        <f t="shared" si="16"/>
        <v>1.9885300768075125E-5</v>
      </c>
    </row>
    <row r="33" spans="1:36">
      <c r="A33" s="9" t="s">
        <v>344</v>
      </c>
      <c r="B33" s="37"/>
      <c r="C33" s="331">
        <f t="shared" ref="C33:K33" si="17">C15/C$18</f>
        <v>1.814849095297726E-5</v>
      </c>
      <c r="D33" s="331">
        <f t="shared" si="17"/>
        <v>1.0172836491999064E-5</v>
      </c>
      <c r="E33" s="331">
        <f t="shared" si="17"/>
        <v>9.900045132312572E-6</v>
      </c>
      <c r="F33" s="331">
        <f t="shared" si="17"/>
        <v>6.2065761832709943E-6</v>
      </c>
      <c r="G33" s="331">
        <f t="shared" si="17"/>
        <v>3.9198577701827841E-6</v>
      </c>
      <c r="H33" s="164">
        <f t="shared" si="17"/>
        <v>3.7304348872591653E-6</v>
      </c>
      <c r="I33" s="164">
        <f t="shared" si="17"/>
        <v>3.5688595973739948E-6</v>
      </c>
      <c r="J33" s="164">
        <f t="shared" si="17"/>
        <v>3.4923610855786349E-6</v>
      </c>
      <c r="K33" s="164">
        <f t="shared" si="17"/>
        <v>3.4394036884483937E-6</v>
      </c>
      <c r="L33" s="164">
        <f t="shared" si="7"/>
        <v>3.4400585166494123E-6</v>
      </c>
      <c r="M33" s="164">
        <f t="shared" ref="M33:AH33" si="18">M15/M$18</f>
        <v>3.3182325707301369E-6</v>
      </c>
      <c r="N33" s="185">
        <f t="shared" si="18"/>
        <v>2.6314996523534462E-6</v>
      </c>
      <c r="O33" s="164">
        <f t="shared" si="18"/>
        <v>2.584201839661546E-6</v>
      </c>
      <c r="P33" s="164">
        <f t="shared" si="18"/>
        <v>2.5973786506158452E-6</v>
      </c>
      <c r="Q33" s="164">
        <f t="shared" si="18"/>
        <v>2.5942098289413295E-6</v>
      </c>
      <c r="R33" s="164">
        <f t="shared" si="18"/>
        <v>2.4584313217792259E-6</v>
      </c>
      <c r="S33" s="164">
        <f t="shared" si="18"/>
        <v>2.4525799940123066E-6</v>
      </c>
      <c r="T33" s="164">
        <f t="shared" si="18"/>
        <v>2.4498117626236754E-6</v>
      </c>
      <c r="U33" s="164">
        <f t="shared" si="18"/>
        <v>2.4454614439310638E-6</v>
      </c>
      <c r="V33" s="164">
        <f t="shared" si="18"/>
        <v>2.444730674599946E-6</v>
      </c>
      <c r="W33" s="164">
        <f t="shared" si="18"/>
        <v>2.4317981505255929E-6</v>
      </c>
      <c r="X33" s="185">
        <f t="shared" si="18"/>
        <v>2.3000935317993468E-6</v>
      </c>
      <c r="Y33" s="172">
        <f t="shared" si="18"/>
        <v>2.2180569599439791E-6</v>
      </c>
      <c r="Z33" s="172">
        <f t="shared" si="18"/>
        <v>2.1817764239890513E-6</v>
      </c>
      <c r="AA33" s="172">
        <f t="shared" si="18"/>
        <v>2.1780675674688092E-6</v>
      </c>
      <c r="AB33" s="172">
        <f t="shared" si="18"/>
        <v>2.1698317901414252E-6</v>
      </c>
      <c r="AC33" s="172">
        <f t="shared" si="18"/>
        <v>2.1557473825383154E-6</v>
      </c>
      <c r="AD33" s="172">
        <f t="shared" si="18"/>
        <v>2.1547726266365399E-6</v>
      </c>
      <c r="AE33" s="172">
        <f t="shared" si="18"/>
        <v>2.1465534624807173E-6</v>
      </c>
      <c r="AF33" s="172">
        <f t="shared" si="18"/>
        <v>2.143283111748009E-6</v>
      </c>
      <c r="AG33" s="172">
        <f t="shared" si="18"/>
        <v>2.1033981586832417E-6</v>
      </c>
      <c r="AH33" s="172">
        <f t="shared" si="18"/>
        <v>1.9885300768075124E-6</v>
      </c>
    </row>
    <row r="34" spans="1:36">
      <c r="A34" s="9" t="s">
        <v>53</v>
      </c>
      <c r="B34" s="37"/>
      <c r="C34" s="331">
        <f t="shared" ref="C34:K34" si="19">C16/C$18</f>
        <v>0.90560969855356532</v>
      </c>
      <c r="D34" s="331">
        <f t="shared" si="19"/>
        <v>0.9409873755099134</v>
      </c>
      <c r="E34" s="331">
        <f t="shared" si="19"/>
        <v>0.98826844131685498</v>
      </c>
      <c r="F34" s="331">
        <f t="shared" si="19"/>
        <v>0.99332925088418034</v>
      </c>
      <c r="G34" s="331">
        <f t="shared" si="19"/>
        <v>0.98346111247100987</v>
      </c>
      <c r="H34" s="164">
        <f t="shared" si="19"/>
        <v>0.98415907926094159</v>
      </c>
      <c r="I34" s="164">
        <f t="shared" si="19"/>
        <v>0.98677818694600594</v>
      </c>
      <c r="J34" s="164">
        <f t="shared" si="19"/>
        <v>0.9952076614740869</v>
      </c>
      <c r="K34" s="164">
        <f t="shared" si="19"/>
        <v>0.97998832991656815</v>
      </c>
      <c r="L34" s="164">
        <f t="shared" si="7"/>
        <v>0.98023689978700246</v>
      </c>
      <c r="M34" s="164">
        <f t="shared" ref="M34:AH34" si="20">M16/M$18</f>
        <v>0.94570059636043102</v>
      </c>
      <c r="N34" s="185">
        <f t="shared" si="20"/>
        <v>0.74990550835022984</v>
      </c>
      <c r="O34" s="164">
        <f t="shared" si="20"/>
        <v>0.73663267805975496</v>
      </c>
      <c r="P34" s="164">
        <f t="shared" si="20"/>
        <v>0.74040330364938656</v>
      </c>
      <c r="Q34" s="164">
        <f t="shared" si="20"/>
        <v>0.73950280774398991</v>
      </c>
      <c r="R34" s="164">
        <f t="shared" si="20"/>
        <v>0.70085466558134468</v>
      </c>
      <c r="S34" s="164">
        <f t="shared" si="20"/>
        <v>0.69925464062844989</v>
      </c>
      <c r="T34" s="164">
        <f t="shared" si="20"/>
        <v>0.69844677210612283</v>
      </c>
      <c r="U34" s="164">
        <f t="shared" si="20"/>
        <v>0.69807848923082871</v>
      </c>
      <c r="V34" s="164">
        <f t="shared" si="20"/>
        <v>0.69845388195803948</v>
      </c>
      <c r="W34" s="164">
        <f t="shared" si="20"/>
        <v>0.69473686319835692</v>
      </c>
      <c r="X34" s="185">
        <f t="shared" si="20"/>
        <v>0.65858941510788727</v>
      </c>
      <c r="Y34" s="172">
        <f t="shared" si="20"/>
        <v>0.63815202205333521</v>
      </c>
      <c r="Z34" s="172">
        <f t="shared" si="20"/>
        <v>0.6319834824152758</v>
      </c>
      <c r="AA34" s="172">
        <f t="shared" si="20"/>
        <v>0.63293275684211225</v>
      </c>
      <c r="AB34" s="172">
        <f t="shared" si="20"/>
        <v>0.63460944516022433</v>
      </c>
      <c r="AC34" s="172">
        <f t="shared" si="20"/>
        <v>0.63332395968679356</v>
      </c>
      <c r="AD34" s="172">
        <f t="shared" si="20"/>
        <v>0.63360352154009147</v>
      </c>
      <c r="AE34" s="172">
        <f t="shared" si="20"/>
        <v>0.63506380929354589</v>
      </c>
      <c r="AF34" s="172">
        <f t="shared" si="20"/>
        <v>0.6367648687401366</v>
      </c>
      <c r="AG34" s="172">
        <f t="shared" si="20"/>
        <v>0.644108557802753</v>
      </c>
      <c r="AH34" s="172">
        <f t="shared" si="20"/>
        <v>0.6657033954609739</v>
      </c>
    </row>
    <row r="35" spans="1:36">
      <c r="A35" s="10"/>
      <c r="B35" s="37"/>
      <c r="C35" s="331"/>
      <c r="D35" s="331"/>
      <c r="E35" s="331"/>
      <c r="F35" s="331"/>
      <c r="G35" s="331"/>
      <c r="H35" s="164"/>
      <c r="I35" s="164"/>
      <c r="J35" s="164"/>
      <c r="K35" s="164"/>
      <c r="L35" s="164"/>
      <c r="M35" s="164"/>
      <c r="N35" s="183"/>
      <c r="O35" s="164"/>
      <c r="P35" s="164"/>
      <c r="Q35" s="164"/>
      <c r="R35" s="164"/>
      <c r="S35" s="164"/>
      <c r="T35" s="164"/>
      <c r="U35" s="164"/>
      <c r="V35" s="164"/>
      <c r="W35" s="164"/>
      <c r="X35" s="185"/>
    </row>
    <row r="36" spans="1:36">
      <c r="A36" s="10"/>
      <c r="B36" s="37"/>
      <c r="C36" s="331"/>
      <c r="D36" s="331"/>
      <c r="E36" s="331"/>
      <c r="F36" s="331"/>
      <c r="G36" s="331"/>
      <c r="H36" s="164"/>
      <c r="I36" s="164"/>
      <c r="J36" s="164"/>
      <c r="K36" s="164"/>
      <c r="L36" s="164"/>
      <c r="M36" s="164"/>
      <c r="N36" s="183"/>
      <c r="O36" s="164"/>
      <c r="P36" s="164"/>
      <c r="Q36" s="164"/>
      <c r="R36" s="164"/>
      <c r="S36" s="164"/>
      <c r="T36" s="164"/>
      <c r="U36" s="164"/>
      <c r="V36" s="164"/>
      <c r="W36" s="164"/>
      <c r="X36" s="185"/>
    </row>
    <row r="37" spans="1:36">
      <c r="A37" s="10"/>
      <c r="B37" s="37"/>
      <c r="C37" s="331"/>
      <c r="D37" s="331"/>
      <c r="E37" s="331"/>
      <c r="F37" s="331"/>
      <c r="G37" s="331"/>
      <c r="H37" s="164"/>
      <c r="I37" s="164"/>
      <c r="J37" s="164"/>
      <c r="K37" s="164"/>
      <c r="L37" s="164"/>
      <c r="M37" s="164"/>
      <c r="N37" s="183"/>
      <c r="O37" s="164"/>
      <c r="P37" s="164"/>
      <c r="Q37" s="164"/>
      <c r="R37" s="164"/>
      <c r="S37" s="164"/>
      <c r="T37" s="164"/>
      <c r="U37" s="164"/>
      <c r="V37" s="164"/>
      <c r="W37" s="164"/>
      <c r="X37" s="185"/>
    </row>
    <row r="38" spans="1:36">
      <c r="A38" s="10"/>
      <c r="B38" s="37"/>
      <c r="C38" s="331"/>
      <c r="D38" s="331"/>
      <c r="E38" s="331"/>
      <c r="F38" s="331"/>
      <c r="G38" s="331"/>
      <c r="H38" s="164"/>
      <c r="I38" s="164"/>
      <c r="J38" s="164"/>
      <c r="K38" s="164"/>
      <c r="L38" s="164"/>
      <c r="M38" s="164"/>
      <c r="N38" s="183"/>
      <c r="O38" s="164"/>
      <c r="P38" s="164"/>
      <c r="Q38" s="164"/>
      <c r="R38" s="164"/>
      <c r="S38" s="164"/>
      <c r="T38" s="164"/>
      <c r="U38" s="164"/>
      <c r="V38" s="164"/>
      <c r="W38" s="164"/>
      <c r="X38" s="185"/>
    </row>
    <row r="39" spans="1:36">
      <c r="A39" s="1" t="s">
        <v>139</v>
      </c>
      <c r="B39" s="13"/>
      <c r="D39" s="332"/>
      <c r="E39" s="332"/>
      <c r="F39" s="332"/>
      <c r="G39" s="332"/>
      <c r="H39" s="16"/>
      <c r="I39" s="16"/>
      <c r="J39" s="16"/>
      <c r="K39" s="16"/>
      <c r="L39" s="16"/>
      <c r="M39" s="16"/>
      <c r="N39" s="388" t="s">
        <v>0</v>
      </c>
    </row>
    <row r="40" spans="1:36" ht="15">
      <c r="A40" s="8" t="s">
        <v>61</v>
      </c>
      <c r="B40" s="34">
        <v>0</v>
      </c>
      <c r="C40" s="330">
        <f>C5*Inputs!$C$44</f>
        <v>0</v>
      </c>
      <c r="D40" s="330">
        <f>D5*Inputs!$C$44</f>
        <v>0</v>
      </c>
      <c r="E40" s="330">
        <f>E5*Inputs!$C$44</f>
        <v>0</v>
      </c>
      <c r="F40" s="330">
        <f>F5*Inputs!$C$44</f>
        <v>0</v>
      </c>
      <c r="G40" s="330">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0">
        <f>C6*Inputs!$C$47</f>
        <v>0</v>
      </c>
      <c r="D41" s="330">
        <f>D6*Inputs!$C$47</f>
        <v>0</v>
      </c>
      <c r="E41" s="330" t="s">
        <v>377</v>
      </c>
      <c r="F41" s="330">
        <f>F6*Inputs!$C$47</f>
        <v>0</v>
      </c>
      <c r="G41" s="330">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0">
        <f>C7*Inputs!$C$48</f>
        <v>272.54849999999999</v>
      </c>
      <c r="D42" s="330">
        <f>D7*Inputs!$C$48</f>
        <v>230.8485</v>
      </c>
      <c r="E42" s="330">
        <f>E7*Inputs!$C$48</f>
        <v>219.16350000000003</v>
      </c>
      <c r="F42" s="330">
        <f>F7*Inputs!$C$48</f>
        <v>167.721</v>
      </c>
      <c r="G42" s="330">
        <f>G7*Inputs!$C$48</f>
        <v>211.95442499999999</v>
      </c>
      <c r="H42" s="14">
        <f>H7*Inputs!$C$48</f>
        <v>250.22621999999998</v>
      </c>
      <c r="I42" s="14">
        <f>I7*Inputs!$C$48</f>
        <v>324.17531249999996</v>
      </c>
      <c r="J42" s="14">
        <f>J7*Inputs!$C$48</f>
        <v>330.79315499999996</v>
      </c>
      <c r="K42" s="14">
        <f>K7*Inputs!$C$48</f>
        <v>444.29027249999996</v>
      </c>
      <c r="L42" s="14">
        <f>L7*Inputs!$C$48</f>
        <v>444.29041499999988</v>
      </c>
      <c r="M42" s="14">
        <f>M7*Inputs!$C$48</f>
        <v>444.29055749999998</v>
      </c>
      <c r="N42" s="190">
        <f>N7*Inputs!$C$48</f>
        <v>444.29055749999998</v>
      </c>
      <c r="O42" s="14">
        <f>O7*Inputs!$C$48</f>
        <v>461.93633249999993</v>
      </c>
      <c r="P42" s="14">
        <f>P7*Inputs!$C$48</f>
        <v>461.93633249999993</v>
      </c>
      <c r="Q42" s="14">
        <f>Q7*Inputs!$C$48</f>
        <v>461.93633249999993</v>
      </c>
      <c r="R42" s="14">
        <f>R7*Inputs!$C$48</f>
        <v>461.93633249999993</v>
      </c>
      <c r="S42" s="14">
        <f>S7*Inputs!$C$48</f>
        <v>461.93618999999995</v>
      </c>
      <c r="T42" s="14">
        <f>T7*Inputs!$C$48</f>
        <v>461.93633249999993</v>
      </c>
      <c r="U42" s="14">
        <f>U7*Inputs!$C$48</f>
        <v>471.89123999999993</v>
      </c>
      <c r="V42" s="14">
        <f>V7*Inputs!$C$48</f>
        <v>471.89123999999993</v>
      </c>
      <c r="W42" s="14">
        <f>W7*Inputs!$C$48</f>
        <v>471.89123999999993</v>
      </c>
      <c r="X42" s="187">
        <f>X7*Inputs!$C$48</f>
        <v>471.89123999999993</v>
      </c>
      <c r="Y42" s="14">
        <f>Y7*Inputs!$C$48</f>
        <v>471.89123999999993</v>
      </c>
      <c r="Z42" s="14">
        <f>Z7*Inputs!$C$48</f>
        <v>471.89123999999993</v>
      </c>
      <c r="AA42" s="14">
        <f>AA7*Inputs!$C$48</f>
        <v>471.89209499999987</v>
      </c>
      <c r="AB42" s="14">
        <f>AB7*Inputs!$C$48</f>
        <v>471.89223749999996</v>
      </c>
      <c r="AC42" s="14">
        <f>AC7*Inputs!$C$48</f>
        <v>471.89209499999987</v>
      </c>
      <c r="AD42" s="14">
        <f>AD7*Inputs!$C$48</f>
        <v>471.89123999999993</v>
      </c>
      <c r="AE42" s="14">
        <f>AE7*Inputs!$C$48</f>
        <v>471.89123999999993</v>
      </c>
      <c r="AF42" s="14">
        <f>AF7*Inputs!$C$48</f>
        <v>471.89195249999989</v>
      </c>
      <c r="AG42" s="14">
        <f>AG7*Inputs!$C$48</f>
        <v>471.89209499999987</v>
      </c>
      <c r="AH42" s="14">
        <f>AH7*Inputs!$C$48</f>
        <v>471.89123999999993</v>
      </c>
    </row>
    <row r="43" spans="1:36" ht="15">
      <c r="A43" s="8" t="s">
        <v>59</v>
      </c>
      <c r="B43" s="34">
        <v>0</v>
      </c>
      <c r="C43" s="330">
        <f>C8*Inputs!$C$53</f>
        <v>1434.5800000000002</v>
      </c>
      <c r="D43" s="330">
        <f>D8*Inputs!$C$53</f>
        <v>1259.44</v>
      </c>
      <c r="E43" s="330">
        <f>E8*Inputs!$C$53</f>
        <v>1242.6890000000001</v>
      </c>
      <c r="F43" s="330">
        <f>F8*Inputs!$C$53</f>
        <v>1390.4729510000002</v>
      </c>
      <c r="G43" s="330">
        <f>G8*Inputs!$C$53</f>
        <v>1300.0532509999998</v>
      </c>
      <c r="H43" s="14">
        <f>H8*Inputs!$C$53</f>
        <v>1303.6285359999999</v>
      </c>
      <c r="I43" s="14">
        <f>I8*Inputs!$C$53</f>
        <v>1335.7935080000002</v>
      </c>
      <c r="J43" s="14">
        <f>J8*Inputs!$C$53</f>
        <v>1348.7183849999999</v>
      </c>
      <c r="K43" s="14">
        <f>K8*Inputs!$C$53</f>
        <v>1348.7183849999999</v>
      </c>
      <c r="L43" s="14">
        <f>L8*Inputs!$C$53</f>
        <v>1348.7183849999999</v>
      </c>
      <c r="M43" s="14">
        <f>M8*Inputs!$C$53</f>
        <v>1348.7183849999999</v>
      </c>
      <c r="N43" s="190">
        <f>N8*Inputs!$C$53</f>
        <v>1348.7183849999999</v>
      </c>
      <c r="O43" s="14">
        <f>O8*Inputs!$C$53</f>
        <v>1348.7183849999999</v>
      </c>
      <c r="P43" s="14">
        <f>P8*Inputs!$C$53</f>
        <v>1348.7183359999999</v>
      </c>
      <c r="Q43" s="14">
        <f>Q8*Inputs!$C$53</f>
        <v>1348.7183849999999</v>
      </c>
      <c r="R43" s="14">
        <f>R8*Inputs!$C$53</f>
        <v>1348.7183849999999</v>
      </c>
      <c r="S43" s="14">
        <f>S8*Inputs!$C$53</f>
        <v>1348.7183849999999</v>
      </c>
      <c r="T43" s="14">
        <f>T8*Inputs!$C$53</f>
        <v>1348.7183849999999</v>
      </c>
      <c r="U43" s="14">
        <f>U8*Inputs!$C$53</f>
        <v>1348.7183849999999</v>
      </c>
      <c r="V43" s="14">
        <f>V8*Inputs!$C$53</f>
        <v>1348.7183849999999</v>
      </c>
      <c r="W43" s="14">
        <f>W8*Inputs!$C$53</f>
        <v>1348.7183849999999</v>
      </c>
      <c r="X43" s="187">
        <f>X8*Inputs!$C$53</f>
        <v>1348.7183849999999</v>
      </c>
      <c r="Y43" s="14">
        <f>Y8*Inputs!$C$53</f>
        <v>1348.7183849999999</v>
      </c>
      <c r="Z43" s="14">
        <f>Z8*Inputs!$C$53</f>
        <v>1348.7183849999999</v>
      </c>
      <c r="AA43" s="14">
        <f>AA8*Inputs!$C$53</f>
        <v>1348.7183849999999</v>
      </c>
      <c r="AB43" s="14">
        <f>AB8*Inputs!$C$53</f>
        <v>1348.7183849999999</v>
      </c>
      <c r="AC43" s="14">
        <f>AC8*Inputs!$C$53</f>
        <v>1348.7183849999999</v>
      </c>
      <c r="AD43" s="14">
        <f>AD8*Inputs!$C$53</f>
        <v>1348.7183849999999</v>
      </c>
      <c r="AE43" s="14">
        <f>AE8*Inputs!$C$53</f>
        <v>1348.7183849999999</v>
      </c>
      <c r="AF43" s="14">
        <f>AF8*Inputs!$C$53</f>
        <v>1348.7183849999999</v>
      </c>
      <c r="AG43" s="14">
        <f>AG8*Inputs!$C$53</f>
        <v>1348.7183849999999</v>
      </c>
      <c r="AH43" s="14">
        <f>AH8*Inputs!$C$53</f>
        <v>1348.7183849999999</v>
      </c>
    </row>
    <row r="44" spans="1:36" ht="15">
      <c r="A44" s="8" t="s">
        <v>121</v>
      </c>
      <c r="B44" s="34">
        <v>1</v>
      </c>
      <c r="C44" s="330">
        <f>C10*Inputs!$C$46</f>
        <v>0.42</v>
      </c>
      <c r="D44" s="330">
        <f>D10*Inputs!$C$46</f>
        <v>0</v>
      </c>
      <c r="E44" s="330">
        <f>E10*Inputs!$C$46</f>
        <v>8.3716500000000013E-2</v>
      </c>
      <c r="F44" s="330">
        <f>F10*Inputs!$C$46</f>
        <v>8.8500300000000004E-2</v>
      </c>
      <c r="G44" s="330">
        <f>G10*Inputs!$C$46</f>
        <v>6.5334044999999996</v>
      </c>
      <c r="H44" s="14">
        <f>H10*Inputs!$C$46</f>
        <v>6.443919300000001</v>
      </c>
      <c r="I44" s="14">
        <f>I10*Inputs!$C$46</f>
        <v>5.3065004999999994</v>
      </c>
      <c r="J44" s="14">
        <f>J10*Inputs!$C$46</f>
        <v>0.4081707</v>
      </c>
      <c r="K44" s="14">
        <f>K10*Inputs!$C$46</f>
        <v>9.7450227000000016</v>
      </c>
      <c r="L44" s="14">
        <f>L10*Inputs!$C$46</f>
        <v>9.5909562000000008</v>
      </c>
      <c r="M44" s="14">
        <f>M10*Inputs!$C$46</f>
        <v>31.890780599999999</v>
      </c>
      <c r="N44" s="190">
        <f>N10*Inputs!$C$46</f>
        <v>197.10789630000002</v>
      </c>
      <c r="O44" s="14">
        <f>O10*Inputs!$C$46</f>
        <v>211.546671</v>
      </c>
      <c r="P44" s="14">
        <f>P10*Inputs!$C$46</f>
        <v>207.41234220000001</v>
      </c>
      <c r="Q44" s="14">
        <f>Q10*Inputs!$C$46</f>
        <v>208.39766429999997</v>
      </c>
      <c r="R44" s="14">
        <f>R10*Inputs!$C$46</f>
        <v>253.05739200000005</v>
      </c>
      <c r="S44" s="14">
        <f>S10*Inputs!$C$46</f>
        <v>255.03704099999999</v>
      </c>
      <c r="T44" s="14">
        <f>T10*Inputs!$C$46</f>
        <v>256.020534</v>
      </c>
      <c r="U44" s="14">
        <f>U10*Inputs!$C$46</f>
        <v>256.79663520000003</v>
      </c>
      <c r="V44" s="14">
        <f>V10*Inputs!$C$46</f>
        <v>256.55167650000004</v>
      </c>
      <c r="W44" s="14">
        <f>W10*Inputs!$C$46</f>
        <v>261.13905930000004</v>
      </c>
      <c r="X44" s="187">
        <f>X10*Inputs!$C$46</f>
        <v>309.23651009999998</v>
      </c>
      <c r="Y44" s="14">
        <f>Y10*Inputs!$C$46</f>
        <v>340.1149542</v>
      </c>
      <c r="Z44" s="14">
        <f>Z10*Inputs!$C$46</f>
        <v>351.74915580000004</v>
      </c>
      <c r="AA44" s="14">
        <f>AA10*Inputs!$C$46</f>
        <v>351.43708320000002</v>
      </c>
      <c r="AB44" s="14">
        <f>AB10*Inputs!$C$46</f>
        <v>351.15765299999998</v>
      </c>
      <c r="AC44" s="14">
        <f>AC10*Inputs!$C$46</f>
        <v>354.72031770000007</v>
      </c>
      <c r="AD44" s="14">
        <f>AD10*Inputs!$C$46</f>
        <v>354.60944610000001</v>
      </c>
      <c r="AE44" s="14">
        <f>AE10*Inputs!$C$46</f>
        <v>354.54810090000001</v>
      </c>
      <c r="AF44" s="14">
        <f>AF10*Inputs!$C$46</f>
        <v>353.42615910000001</v>
      </c>
      <c r="AG44" s="14">
        <f>AG10*Inputs!$C$46</f>
        <v>352.84295760000003</v>
      </c>
      <c r="AH44" s="14">
        <f>AH10*Inputs!$C$46</f>
        <v>350.60456129999994</v>
      </c>
    </row>
    <row r="45" spans="1:36" ht="15">
      <c r="A45" s="8" t="s">
        <v>50</v>
      </c>
      <c r="B45" s="34">
        <v>1</v>
      </c>
      <c r="C45" s="330">
        <f>C11*Inputs!$C$49</f>
        <v>0</v>
      </c>
      <c r="D45" s="330">
        <f>D11*Inputs!$C$49</f>
        <v>0</v>
      </c>
      <c r="E45" s="330">
        <f>E11*Inputs!$C$49</f>
        <v>2.5000000000000002E-8</v>
      </c>
      <c r="F45" s="330">
        <f>F11*Inputs!$C$49</f>
        <v>2.5000000000000002E-8</v>
      </c>
      <c r="G45" s="330">
        <f>G11*Inputs!$C$49</f>
        <v>2.5000000000000002E-8</v>
      </c>
      <c r="H45" s="14">
        <f>H11*Inputs!$C$49</f>
        <v>2.5000000000000002E-8</v>
      </c>
      <c r="I45" s="14">
        <f>I11*Inputs!$C$49</f>
        <v>2.5000000000000002E-8</v>
      </c>
      <c r="J45" s="14">
        <f>J11*Inputs!$C$49</f>
        <v>2.5000000000000002E-8</v>
      </c>
      <c r="K45" s="14">
        <f>K11*Inputs!$C$49</f>
        <v>2.5000000000000002E-8</v>
      </c>
      <c r="L45" s="14">
        <f>L11*Inputs!$C$49</f>
        <v>2.5000000000000002E-8</v>
      </c>
      <c r="M45" s="14">
        <f>M11*Inputs!$C$49</f>
        <v>2.5000000000000002E-8</v>
      </c>
      <c r="N45" s="190">
        <f>N11*Inputs!$C$49</f>
        <v>2.5000000000000002E-8</v>
      </c>
      <c r="O45" s="14">
        <f>O11*Inputs!$C$49</f>
        <v>2.5000000000000002E-8</v>
      </c>
      <c r="P45" s="14">
        <f>P11*Inputs!$C$49</f>
        <v>2.5000000000000002E-8</v>
      </c>
      <c r="Q45" s="14">
        <f>Q11*Inputs!$C$49</f>
        <v>2.5000000000000002E-8</v>
      </c>
      <c r="R45" s="14">
        <f>R11*Inputs!$C$49</f>
        <v>2.5000000000000002E-8</v>
      </c>
      <c r="S45" s="14">
        <f>S11*Inputs!$C$49</f>
        <v>2.5000000000000002E-8</v>
      </c>
      <c r="T45" s="14">
        <f>T11*Inputs!$C$49</f>
        <v>2.5000000000000002E-8</v>
      </c>
      <c r="U45" s="14">
        <f>U11*Inputs!$C$49</f>
        <v>2.5000000000000002E-8</v>
      </c>
      <c r="V45" s="14">
        <f>V11*Inputs!$C$49</f>
        <v>2.5000000000000002E-8</v>
      </c>
      <c r="W45" s="14">
        <f>W11*Inputs!$C$49</f>
        <v>2.5000000000000002E-8</v>
      </c>
      <c r="X45" s="187">
        <f>X11*Inputs!$C$49</f>
        <v>2.5000000000000002E-8</v>
      </c>
      <c r="Y45" s="14">
        <f>Y11*Inputs!$C$49</f>
        <v>2.5000000000000002E-8</v>
      </c>
      <c r="Z45" s="14">
        <f>Z11*Inputs!$C$49</f>
        <v>2.5000000000000002E-8</v>
      </c>
      <c r="AA45" s="14">
        <f>AA11*Inputs!$C$49</f>
        <v>2.5000000000000002E-8</v>
      </c>
      <c r="AB45" s="14">
        <f>AB11*Inputs!$C$49</f>
        <v>2.5000000000000002E-8</v>
      </c>
      <c r="AC45" s="14">
        <f>AC11*Inputs!$C$49</f>
        <v>2.5000000000000002E-8</v>
      </c>
      <c r="AD45" s="14">
        <f>AD11*Inputs!$C$49</f>
        <v>2.5000000000000002E-8</v>
      </c>
      <c r="AE45" s="14">
        <f>AE11*Inputs!$C$49</f>
        <v>2.5000000000000002E-8</v>
      </c>
      <c r="AF45" s="14">
        <f>AF11*Inputs!$C$49</f>
        <v>2.5000000000000002E-8</v>
      </c>
      <c r="AG45" s="14">
        <f>AG11*Inputs!$C$49</f>
        <v>2.5000000000000002E-8</v>
      </c>
      <c r="AH45" s="14">
        <f>AH11*Inputs!$C$49</f>
        <v>2.5000000000000002E-8</v>
      </c>
    </row>
    <row r="46" spans="1:36" ht="15">
      <c r="A46" s="8" t="s">
        <v>51</v>
      </c>
      <c r="B46" s="34">
        <v>1</v>
      </c>
      <c r="C46" s="330">
        <f>C12*Inputs!$C$52</f>
        <v>7.5</v>
      </c>
      <c r="D46" s="330">
        <f>D12*Inputs!$C$52</f>
        <v>8.6999999999999993</v>
      </c>
      <c r="E46" s="330">
        <f>E12*Inputs!$C$52</f>
        <v>1.6712032730804482</v>
      </c>
      <c r="F46" s="330">
        <f>F12*Inputs!$C$52</f>
        <v>1.5024664005746202</v>
      </c>
      <c r="G46" s="330">
        <f>G12*Inputs!$C$52</f>
        <v>1.6156680589090711</v>
      </c>
      <c r="H46" s="14">
        <f>H12*Inputs!$C$52</f>
        <v>1.7203013027871106</v>
      </c>
      <c r="I46" s="14">
        <f>I12*Inputs!$C$52</f>
        <v>1.7203013027871106</v>
      </c>
      <c r="J46" s="14">
        <f>J12*Inputs!$C$52</f>
        <v>1.7203013027871106</v>
      </c>
      <c r="K46" s="14">
        <f>K12*Inputs!$C$52</f>
        <v>1.7203013027871106</v>
      </c>
      <c r="L46" s="14">
        <f>L12*Inputs!$C$52</f>
        <v>1.7203013027871106</v>
      </c>
      <c r="M46" s="14">
        <f>M12*Inputs!$C$52</f>
        <v>1.7203013027871106</v>
      </c>
      <c r="N46" s="190">
        <f>N12*Inputs!$C$52</f>
        <v>1.7203013027871106</v>
      </c>
      <c r="O46" s="14">
        <f>O12*Inputs!$C$52</f>
        <v>1.7203013027871106</v>
      </c>
      <c r="P46" s="14">
        <f>P12*Inputs!$C$52</f>
        <v>1.7203013027871106</v>
      </c>
      <c r="Q46" s="14">
        <f>Q12*Inputs!$C$52</f>
        <v>1.7203013027871106</v>
      </c>
      <c r="R46" s="14">
        <f>R12*Inputs!$C$52</f>
        <v>1.7203013027871106</v>
      </c>
      <c r="S46" s="14">
        <f>S12*Inputs!$C$52</f>
        <v>1.7203013027871106</v>
      </c>
      <c r="T46" s="14">
        <f>T12*Inputs!$C$52</f>
        <v>1.7203013027871106</v>
      </c>
      <c r="U46" s="14">
        <f>U12*Inputs!$C$52</f>
        <v>1.7203013027871106</v>
      </c>
      <c r="V46" s="14">
        <f>V12*Inputs!$C$52</f>
        <v>1.7203013027871106</v>
      </c>
      <c r="W46" s="14">
        <f>W12*Inputs!$C$52</f>
        <v>1.7203013027871106</v>
      </c>
      <c r="X46" s="187">
        <f>X12*Inputs!$C$52</f>
        <v>1.7203013027871106</v>
      </c>
      <c r="Y46" s="14">
        <f>Y12*Inputs!$C$52</f>
        <v>1.7203013027871106</v>
      </c>
      <c r="Z46" s="14">
        <f>Z12*Inputs!$C$52</f>
        <v>1.7203013027871106</v>
      </c>
      <c r="AA46" s="14">
        <f>AA12*Inputs!$C$52</f>
        <v>1.7203013027871106</v>
      </c>
      <c r="AB46" s="14">
        <f>AB12*Inputs!$C$52</f>
        <v>1.7203013027871106</v>
      </c>
      <c r="AC46" s="14">
        <f>AC12*Inputs!$C$52</f>
        <v>1.7203013027871106</v>
      </c>
      <c r="AD46" s="14">
        <f>AD12*Inputs!$C$52</f>
        <v>1.7203013027871106</v>
      </c>
      <c r="AE46" s="14">
        <f>AE12*Inputs!$C$52</f>
        <v>1.7203013027871106</v>
      </c>
      <c r="AF46" s="14">
        <f>AF12*Inputs!$C$52</f>
        <v>1.7203013027871106</v>
      </c>
      <c r="AG46" s="14">
        <f>AG12*Inputs!$C$52</f>
        <v>1.7203013027871106</v>
      </c>
      <c r="AH46" s="14">
        <f>AH12*Inputs!$C$52</f>
        <v>1.7203013027871106</v>
      </c>
    </row>
    <row r="47" spans="1:36" ht="15">
      <c r="A47" s="8" t="s">
        <v>347</v>
      </c>
      <c r="B47" s="34">
        <v>1</v>
      </c>
      <c r="C47" s="330">
        <f>C13*Inputs!$C$54</f>
        <v>0</v>
      </c>
      <c r="D47" s="330">
        <f>D13*Inputs!$C$54</f>
        <v>0</v>
      </c>
      <c r="E47" s="330">
        <f>E13*Inputs!$C$54</f>
        <v>0.15800000000000003</v>
      </c>
      <c r="F47" s="330">
        <f>F13*Inputs!$C$54</f>
        <v>0.15800000000000003</v>
      </c>
      <c r="G47" s="330">
        <f>G13*Inputs!$C$54</f>
        <v>0.15800000000000003</v>
      </c>
      <c r="H47" s="14">
        <f>H13*Inputs!$C$54</f>
        <v>0.15800000000000003</v>
      </c>
      <c r="I47" s="14">
        <f>I13*Inputs!$C$54</f>
        <v>0.15800000000000003</v>
      </c>
      <c r="J47" s="14">
        <f>J13*Inputs!$C$54</f>
        <v>0.15800000000000003</v>
      </c>
      <c r="K47" s="14">
        <f>K13*Inputs!$C$54</f>
        <v>0.15800000000000003</v>
      </c>
      <c r="L47" s="14">
        <f>L13*Inputs!$C$54</f>
        <v>0.15800000000000003</v>
      </c>
      <c r="M47" s="14">
        <f>M13*Inputs!$C$54</f>
        <v>0.15800000000000003</v>
      </c>
      <c r="N47" s="190">
        <f>N13*Inputs!$C$54</f>
        <v>0.15800000000000003</v>
      </c>
      <c r="O47" s="14">
        <f>O13*Inputs!$C$54</f>
        <v>0.15800000000000003</v>
      </c>
      <c r="P47" s="14">
        <f>P13*Inputs!$C$54</f>
        <v>0.15800000000000003</v>
      </c>
      <c r="Q47" s="14">
        <f>Q13*Inputs!$C$54</f>
        <v>0.15800000000000003</v>
      </c>
      <c r="R47" s="14">
        <f>R13*Inputs!$C$54</f>
        <v>0.15800000000000003</v>
      </c>
      <c r="S47" s="14">
        <f>S13*Inputs!$C$54</f>
        <v>0.15800000000000003</v>
      </c>
      <c r="T47" s="14">
        <f>T13*Inputs!$C$54</f>
        <v>0.15800000000000003</v>
      </c>
      <c r="U47" s="14">
        <f>U13*Inputs!$C$54</f>
        <v>0.15800000000000003</v>
      </c>
      <c r="V47" s="14">
        <f>V13*Inputs!$C$54</f>
        <v>0.15800000000000003</v>
      </c>
      <c r="W47" s="14">
        <f>W13*Inputs!$C$54</f>
        <v>0.15800000000000003</v>
      </c>
      <c r="X47" s="187">
        <f>X13*Inputs!$C$54</f>
        <v>0.15800000000000003</v>
      </c>
      <c r="Y47" s="14">
        <f>Y13*Inputs!$C$54</f>
        <v>0.15800000000000003</v>
      </c>
      <c r="Z47" s="14">
        <f>Z13*Inputs!$C$54</f>
        <v>0.15800000000000003</v>
      </c>
      <c r="AA47" s="14">
        <f>AA13*Inputs!$C$54</f>
        <v>0.15800000000000003</v>
      </c>
      <c r="AB47" s="14">
        <f>AB13*Inputs!$C$54</f>
        <v>0.15800000000000003</v>
      </c>
      <c r="AC47" s="14">
        <f>AC13*Inputs!$C$54</f>
        <v>0.15800000000000003</v>
      </c>
      <c r="AD47" s="14">
        <f>AD13*Inputs!$C$54</f>
        <v>0.15800000000000003</v>
      </c>
      <c r="AE47" s="14">
        <f>AE13*Inputs!$C$54</f>
        <v>0.15800000000000003</v>
      </c>
      <c r="AF47" s="14">
        <f>AF13*Inputs!$C$54</f>
        <v>0.15800000000000003</v>
      </c>
      <c r="AG47" s="14">
        <f>AG13*Inputs!$C$54</f>
        <v>0.15800000000000003</v>
      </c>
      <c r="AH47" s="14">
        <f>AH13*Inputs!$C$54</f>
        <v>0</v>
      </c>
    </row>
    <row r="48" spans="1:36" ht="15">
      <c r="A48" s="8" t="s">
        <v>348</v>
      </c>
      <c r="B48" s="34">
        <v>1</v>
      </c>
      <c r="C48" s="330">
        <f>C14*Inputs!$C$55</f>
        <v>0</v>
      </c>
      <c r="D48" s="330">
        <f>D14*Inputs!$C$55</f>
        <v>0</v>
      </c>
      <c r="E48" s="330">
        <f>E14*Inputs!$C$55</f>
        <v>2.3000000000000003E-2</v>
      </c>
      <c r="F48" s="330">
        <f>F14*Inputs!$C$55</f>
        <v>2.3000000000000003E-2</v>
      </c>
      <c r="G48" s="330">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0">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7">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344</v>
      </c>
      <c r="B49" s="34">
        <v>1</v>
      </c>
      <c r="C49" s="330">
        <f>C15*Inputs!$C$51</f>
        <v>2.7000000000000001E-3</v>
      </c>
      <c r="D49" s="330">
        <f>D15*Inputs!$C$51</f>
        <v>2.7000000000000001E-3</v>
      </c>
      <c r="E49" s="330">
        <f>E15*Inputs!$C$51</f>
        <v>2.7000000000000001E-3</v>
      </c>
      <c r="F49" s="330">
        <f>F15*Inputs!$C$51</f>
        <v>2.7000000000000001E-3</v>
      </c>
      <c r="G49" s="330">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0">
        <f>C16*Inputs!$C$57</f>
        <v>84.830000000000013</v>
      </c>
      <c r="D50" s="330">
        <f>D16*Inputs!$C$57</f>
        <v>157.25</v>
      </c>
      <c r="E50" s="330">
        <f>E16*Inputs!$C$57</f>
        <v>169.70188800000003</v>
      </c>
      <c r="F50" s="330">
        <f>F16*Inputs!$C$57</f>
        <v>272.07588800000002</v>
      </c>
      <c r="G50" s="330">
        <f>G16*Inputs!$C$57</f>
        <v>426.51646800000003</v>
      </c>
      <c r="H50" s="14">
        <f>H16*Inputs!$C$57</f>
        <v>448.49206200000009</v>
      </c>
      <c r="I50" s="14">
        <f>I16*Inputs!$C$57</f>
        <v>470.04452600000002</v>
      </c>
      <c r="J50" s="14">
        <f>J16*Inputs!$C$57</f>
        <v>484.44390000000004</v>
      </c>
      <c r="K50" s="14">
        <f>K16*Inputs!$C$57</f>
        <v>484.38052400000009</v>
      </c>
      <c r="L50" s="14">
        <f>L16*Inputs!$C$57</f>
        <v>484.41115800000006</v>
      </c>
      <c r="M50" s="14">
        <f>M16*Inputs!$C$57</f>
        <v>484.50221000000005</v>
      </c>
      <c r="N50" s="190">
        <f>N16*Inputs!$C$57</f>
        <v>484.45355599999999</v>
      </c>
      <c r="O50" s="14">
        <f>O16*Inputs!$C$57</f>
        <v>484.58891000000006</v>
      </c>
      <c r="P50" s="14">
        <f>P16*Inputs!$C$57</f>
        <v>484.59843000000006</v>
      </c>
      <c r="Q50" s="14">
        <f>Q16*Inputs!$C$57</f>
        <v>484.60026600000009</v>
      </c>
      <c r="R50" s="14">
        <f>R16*Inputs!$C$57</f>
        <v>484.63950200000011</v>
      </c>
      <c r="S50" s="14">
        <f>S16*Inputs!$C$57</f>
        <v>484.6866940000001</v>
      </c>
      <c r="T50" s="14">
        <f>T16*Inputs!$C$57</f>
        <v>484.67377400000004</v>
      </c>
      <c r="U50" s="14">
        <f>U16*Inputs!$C$57</f>
        <v>485.27996000000002</v>
      </c>
      <c r="V50" s="14">
        <f>V16*Inputs!$C$57</f>
        <v>485.68605600000001</v>
      </c>
      <c r="W50" s="14">
        <f>W16*Inputs!$C$57</f>
        <v>485.67051800000013</v>
      </c>
      <c r="X50" s="187">
        <f>X16*Inputs!$C$57</f>
        <v>486.76368600000006</v>
      </c>
      <c r="Y50" s="14">
        <f>Y16*Inputs!$C$57</f>
        <v>489.10305600000009</v>
      </c>
      <c r="Z50" s="14">
        <f>Z16*Inputs!$C$57</f>
        <v>492.42988799999995</v>
      </c>
      <c r="AA50" s="14">
        <f>AA16*Inputs!$C$57</f>
        <v>494.00932400000011</v>
      </c>
      <c r="AB50" s="14">
        <f>AB16*Inputs!$C$57</f>
        <v>497.19801400000011</v>
      </c>
      <c r="AC50" s="14">
        <f>AC16*Inputs!$C$57</f>
        <v>499.43269800000007</v>
      </c>
      <c r="AD50" s="14">
        <f>AD16*Inputs!$C$57</f>
        <v>499.879186</v>
      </c>
      <c r="AE50" s="14">
        <f>AE16*Inputs!$C$57</f>
        <v>502.94972600000011</v>
      </c>
      <c r="AF50" s="14">
        <f>AF16*Inputs!$C$57</f>
        <v>505.06639600000011</v>
      </c>
      <c r="AG50" s="14">
        <f>AG16*Inputs!$C$57</f>
        <v>520.57882800000016</v>
      </c>
      <c r="AH50" s="14">
        <f>AH16*Inputs!$C$57</f>
        <v>569.1117200000001</v>
      </c>
    </row>
    <row r="51" spans="1:34" s="20" customFormat="1" ht="15">
      <c r="A51" s="8" t="s">
        <v>128</v>
      </c>
      <c r="B51" s="38"/>
      <c r="C51" s="333">
        <f t="shared" ref="C51:AH51" si="21">SUMPRODUCT($B42:$B50,C42:C50)</f>
        <v>92.752700000000019</v>
      </c>
      <c r="D51" s="333">
        <f t="shared" si="21"/>
        <v>165.95269999999999</v>
      </c>
      <c r="E51" s="333">
        <f t="shared" si="21"/>
        <v>171.64050779808048</v>
      </c>
      <c r="F51" s="333">
        <f t="shared" si="21"/>
        <v>273.85055472557463</v>
      </c>
      <c r="G51" s="333">
        <f t="shared" si="21"/>
        <v>434.84924058390908</v>
      </c>
      <c r="H51" s="19">
        <f t="shared" si="21"/>
        <v>456.83998262778721</v>
      </c>
      <c r="I51" s="19">
        <f t="shared" si="21"/>
        <v>477.2550278277871</v>
      </c>
      <c r="J51" s="19">
        <f t="shared" si="21"/>
        <v>486.75607202778713</v>
      </c>
      <c r="K51" s="19">
        <f t="shared" si="21"/>
        <v>496.0295480277872</v>
      </c>
      <c r="L51" s="19">
        <f t="shared" si="21"/>
        <v>495.90611552778716</v>
      </c>
      <c r="M51" s="19">
        <f t="shared" si="21"/>
        <v>518.29699192778719</v>
      </c>
      <c r="N51" s="190">
        <f t="shared" si="21"/>
        <v>683.46545362778716</v>
      </c>
      <c r="O51" s="19">
        <f t="shared" si="21"/>
        <v>698.03958232778712</v>
      </c>
      <c r="P51" s="19">
        <f t="shared" si="21"/>
        <v>693.91477352778713</v>
      </c>
      <c r="Q51" s="19">
        <f t="shared" si="21"/>
        <v>694.90193162778712</v>
      </c>
      <c r="R51" s="19">
        <f t="shared" si="21"/>
        <v>739.60089532778727</v>
      </c>
      <c r="S51" s="19">
        <f t="shared" si="21"/>
        <v>741.62773632778726</v>
      </c>
      <c r="T51" s="19">
        <f t="shared" si="21"/>
        <v>742.59830932778721</v>
      </c>
      <c r="U51" s="19">
        <f t="shared" si="21"/>
        <v>743.98059652778716</v>
      </c>
      <c r="V51" s="19">
        <f t="shared" si="21"/>
        <v>744.14173382778722</v>
      </c>
      <c r="W51" s="19">
        <f t="shared" si="21"/>
        <v>748.71357862778734</v>
      </c>
      <c r="X51" s="182">
        <f t="shared" si="21"/>
        <v>797.90419742778727</v>
      </c>
      <c r="Y51" s="19">
        <f t="shared" si="21"/>
        <v>831.12201152778721</v>
      </c>
      <c r="Z51" s="19">
        <f t="shared" si="21"/>
        <v>846.08304512778716</v>
      </c>
      <c r="AA51" s="19">
        <f t="shared" si="21"/>
        <v>847.35040852778729</v>
      </c>
      <c r="AB51" s="19">
        <f t="shared" si="21"/>
        <v>850.25966832778727</v>
      </c>
      <c r="AC51" s="19">
        <f t="shared" si="21"/>
        <v>856.05701702778731</v>
      </c>
      <c r="AD51" s="19">
        <f t="shared" si="21"/>
        <v>856.39263342778713</v>
      </c>
      <c r="AE51" s="19">
        <f t="shared" si="21"/>
        <v>859.40182822778729</v>
      </c>
      <c r="AF51" s="19">
        <f t="shared" si="21"/>
        <v>860.39655642778735</v>
      </c>
      <c r="AG51" s="19">
        <f t="shared" si="21"/>
        <v>875.32578692778736</v>
      </c>
      <c r="AH51" s="19">
        <f t="shared" si="21"/>
        <v>921.4622826277872</v>
      </c>
    </row>
    <row r="52" spans="1:34" s="20" customFormat="1" ht="15">
      <c r="A52" s="27" t="s">
        <v>329</v>
      </c>
      <c r="B52" s="39"/>
      <c r="C52" s="333">
        <f>SUM(C40:C50)</f>
        <v>1799.8812000000003</v>
      </c>
      <c r="D52" s="333">
        <f t="shared" ref="D52:I52" si="22">SUM(D42:D50)</f>
        <v>1656.2412000000002</v>
      </c>
      <c r="E52" s="333">
        <f t="shared" si="22"/>
        <v>1633.4930077980805</v>
      </c>
      <c r="F52" s="333">
        <f t="shared" si="22"/>
        <v>1832.0445057255747</v>
      </c>
      <c r="G52" s="333">
        <f t="shared" si="22"/>
        <v>1946.8569165839085</v>
      </c>
      <c r="H52" s="19">
        <f t="shared" si="22"/>
        <v>2010.694738627787</v>
      </c>
      <c r="I52" s="19">
        <f t="shared" si="22"/>
        <v>2137.2238483277874</v>
      </c>
      <c r="J52" s="19">
        <f t="shared" ref="J52:AH52" si="23">SUM(J42:J50)</f>
        <v>2166.267612027787</v>
      </c>
      <c r="K52" s="19">
        <f t="shared" si="23"/>
        <v>2289.0382055277869</v>
      </c>
      <c r="L52" s="19">
        <f t="shared" si="23"/>
        <v>2288.9149155277869</v>
      </c>
      <c r="M52" s="19">
        <f t="shared" si="23"/>
        <v>2311.3059344277867</v>
      </c>
      <c r="N52" s="190">
        <f t="shared" si="23"/>
        <v>2476.4743961277868</v>
      </c>
      <c r="O52" s="19">
        <f t="shared" si="23"/>
        <v>2508.6942998277868</v>
      </c>
      <c r="P52" s="19">
        <f t="shared" si="23"/>
        <v>2504.5694420277869</v>
      </c>
      <c r="Q52" s="19">
        <f t="shared" si="23"/>
        <v>2505.5566491277868</v>
      </c>
      <c r="R52" s="19">
        <f t="shared" si="23"/>
        <v>2550.255612827787</v>
      </c>
      <c r="S52" s="19">
        <f t="shared" si="23"/>
        <v>2552.2823113277868</v>
      </c>
      <c r="T52" s="19">
        <f t="shared" si="23"/>
        <v>2553.2530268277869</v>
      </c>
      <c r="U52" s="19">
        <f t="shared" si="23"/>
        <v>2564.590221527787</v>
      </c>
      <c r="V52" s="19">
        <f t="shared" si="23"/>
        <v>2564.751358827787</v>
      </c>
      <c r="W52" s="19">
        <f t="shared" si="23"/>
        <v>2569.3232036277868</v>
      </c>
      <c r="X52" s="182">
        <f t="shared" si="23"/>
        <v>2618.5138224277871</v>
      </c>
      <c r="Y52" s="19">
        <f t="shared" si="23"/>
        <v>2651.731636527787</v>
      </c>
      <c r="Z52" s="19">
        <f t="shared" si="23"/>
        <v>2666.6926701277871</v>
      </c>
      <c r="AA52" s="19">
        <f t="shared" si="23"/>
        <v>2667.9608885277871</v>
      </c>
      <c r="AB52" s="19">
        <f t="shared" si="23"/>
        <v>2670.8702908277869</v>
      </c>
      <c r="AC52" s="19">
        <f t="shared" si="23"/>
        <v>2676.6674970277872</v>
      </c>
      <c r="AD52" s="19">
        <f t="shared" si="23"/>
        <v>2677.0022584277872</v>
      </c>
      <c r="AE52" s="19">
        <f t="shared" si="23"/>
        <v>2680.0114532277871</v>
      </c>
      <c r="AF52" s="19">
        <f t="shared" si="23"/>
        <v>2681.0068939277871</v>
      </c>
      <c r="AG52" s="19">
        <f t="shared" si="23"/>
        <v>2695.9362669277871</v>
      </c>
      <c r="AH52" s="19">
        <f t="shared" si="23"/>
        <v>2742.0719076277874</v>
      </c>
    </row>
    <row r="53" spans="1:34" s="20" customFormat="1" ht="15">
      <c r="A53" s="27" t="s">
        <v>330</v>
      </c>
      <c r="B53" s="39"/>
      <c r="C53" s="333">
        <f>C20*Inputs!$C$60</f>
        <v>7877.21</v>
      </c>
      <c r="D53" s="333">
        <f>D20*Inputs!$C$60</f>
        <v>8255.17</v>
      </c>
      <c r="E53" s="333">
        <f>E20*Inputs!$C$60</f>
        <v>8686.8319395000017</v>
      </c>
      <c r="F53" s="333">
        <f>F20*Inputs!$C$60</f>
        <v>8020.3033790000018</v>
      </c>
      <c r="G53" s="333">
        <f>G20*Inputs!$C$60</f>
        <v>8377.1701310000008</v>
      </c>
      <c r="H53" s="19">
        <f>H20*Inputs!$C$60</f>
        <v>8477.6285055000008</v>
      </c>
      <c r="I53" s="19">
        <f>I20*Inputs!$C$60</f>
        <v>8708.0110535000003</v>
      </c>
      <c r="J53" s="19">
        <f>J20*Inputs!$C$60</f>
        <v>8140.4706570000008</v>
      </c>
      <c r="K53" s="19">
        <f>K20*Inputs!$C$60</f>
        <v>8302.3891060000005</v>
      </c>
      <c r="L53" s="19">
        <f>L20*Inputs!$C$60</f>
        <v>8527.6251005000013</v>
      </c>
      <c r="M53" s="19">
        <f>M20*Inputs!$C$60</f>
        <v>8539.9177930000005</v>
      </c>
      <c r="N53" s="190">
        <f>N20*Inputs!$C$60</f>
        <v>8447.3939935000017</v>
      </c>
      <c r="O53" s="19">
        <f>O20*Inputs!$C$60</f>
        <v>8513.4396050000014</v>
      </c>
      <c r="P53" s="19">
        <f>P20*Inputs!$C$60</f>
        <v>8574.7434080000003</v>
      </c>
      <c r="Q53" s="19">
        <f>Q20*Inputs!$C$60</f>
        <v>8548.7150375000001</v>
      </c>
      <c r="R53" s="19">
        <f>R20*Inputs!$C$60</f>
        <v>8698.965698500002</v>
      </c>
      <c r="S53" s="19">
        <f>S20*Inputs!$C$60</f>
        <v>8740.347396000001</v>
      </c>
      <c r="T53" s="19">
        <f>T20*Inputs!$C$60</f>
        <v>8750.4347425000033</v>
      </c>
      <c r="U53" s="19">
        <f>U20*Inputs!$C$60</f>
        <v>8788.8818875000015</v>
      </c>
      <c r="V53" s="19">
        <f>V20*Inputs!$C$60</f>
        <v>8824.9581584999996</v>
      </c>
      <c r="W53" s="19">
        <f>W20*Inputs!$C$60</f>
        <v>8964.533413000001</v>
      </c>
      <c r="X53" s="182">
        <f>X20*Inputs!$C$60</f>
        <v>8957.6771900000003</v>
      </c>
      <c r="Y53" s="19">
        <f>Y20*Inputs!$C$60</f>
        <v>8936.5781779999998</v>
      </c>
      <c r="Z53" s="19">
        <f>Z20*Inputs!$C$60</f>
        <v>8923.789022500001</v>
      </c>
      <c r="AA53" s="19">
        <f>AA20*Inputs!$C$60</f>
        <v>8916.1591255000003</v>
      </c>
      <c r="AB53" s="19">
        <f>AB20*Inputs!$C$60</f>
        <v>8908.2526830000006</v>
      </c>
      <c r="AC53" s="19">
        <f>AC20*Inputs!$C$60</f>
        <v>8899.2453220000007</v>
      </c>
      <c r="AD53" s="19">
        <f>AD20*Inputs!$C$60</f>
        <v>8893.0388690000018</v>
      </c>
      <c r="AE53" s="19">
        <f>AE20*Inputs!$C$60</f>
        <v>8886.4694159999999</v>
      </c>
      <c r="AF53" s="19">
        <f>AF20*Inputs!$C$60</f>
        <v>8880.1899395</v>
      </c>
      <c r="AG53" s="19">
        <f>AG20*Inputs!$C$60</f>
        <v>8874.7797874999997</v>
      </c>
      <c r="AH53" s="19">
        <f>AH20*Inputs!$C$60</f>
        <v>8868.7960955000017</v>
      </c>
    </row>
    <row r="54" spans="1:34" s="20" customFormat="1" ht="15">
      <c r="A54" s="27" t="s">
        <v>222</v>
      </c>
      <c r="B54" s="39"/>
      <c r="C54" s="333">
        <f>C21*Inputs!$C$61</f>
        <v>375.76</v>
      </c>
      <c r="D54" s="333">
        <f>D21*Inputs!$C$61</f>
        <v>515.9</v>
      </c>
      <c r="E54" s="333">
        <f>E21*Inputs!$C$61</f>
        <v>408.48087500000003</v>
      </c>
      <c r="F54" s="333">
        <f>F21*Inputs!$C$61</f>
        <v>550.35496999999998</v>
      </c>
      <c r="G54" s="333">
        <f>G21*Inputs!$C$61</f>
        <v>190.2175</v>
      </c>
      <c r="H54" s="19">
        <f>H21*Inputs!$C$61</f>
        <v>207.075605</v>
      </c>
      <c r="I54" s="19">
        <f>I21*Inputs!$C$61</f>
        <v>249.06155999999999</v>
      </c>
      <c r="J54" s="19">
        <f>J21*Inputs!$C$61</f>
        <v>339.824815</v>
      </c>
      <c r="K54" s="19">
        <f>K21*Inputs!$C$61</f>
        <v>312.63782000000003</v>
      </c>
      <c r="L54" s="19">
        <f>L21*Inputs!$C$61</f>
        <v>311.80880499999995</v>
      </c>
      <c r="M54" s="19">
        <f>M21*Inputs!$C$61</f>
        <v>314.57640500000002</v>
      </c>
      <c r="N54" s="190">
        <f>N21*Inputs!$C$61</f>
        <v>319.59735499999999</v>
      </c>
      <c r="O54" s="19">
        <f>O21*Inputs!$C$61</f>
        <v>353.31626000000006</v>
      </c>
      <c r="P54" s="19">
        <f>P21*Inputs!$C$61</f>
        <v>422.04508500000003</v>
      </c>
      <c r="Q54" s="19">
        <f>Q21*Inputs!$C$61</f>
        <v>394.79318999999998</v>
      </c>
      <c r="R54" s="19">
        <f>R21*Inputs!$C$61</f>
        <v>368.23016999999999</v>
      </c>
      <c r="S54" s="19">
        <f>S21*Inputs!$C$61</f>
        <v>409.14626500000003</v>
      </c>
      <c r="T54" s="19">
        <f>T21*Inputs!$C$61</f>
        <v>461.99956000000003</v>
      </c>
      <c r="U54" s="19">
        <f>U21*Inputs!$C$61</f>
        <v>489.48190500000004</v>
      </c>
      <c r="V54" s="19">
        <f>V21*Inputs!$C$61</f>
        <v>537.35148499999991</v>
      </c>
      <c r="W54" s="19">
        <f>W21*Inputs!$C$61</f>
        <v>568.52521000000002</v>
      </c>
      <c r="X54" s="182">
        <f>X21*Inputs!$C$61</f>
        <v>596.32506999999998</v>
      </c>
      <c r="Y54" s="19">
        <f>Y21*Inputs!$C$61</f>
        <v>639.525755</v>
      </c>
      <c r="Z54" s="19">
        <f>Z21*Inputs!$C$61</f>
        <v>610.14008000000001</v>
      </c>
      <c r="AA54" s="19">
        <f>AA21*Inputs!$C$61</f>
        <v>655.43054500000005</v>
      </c>
      <c r="AB54" s="19">
        <f>AB21*Inputs!$C$61</f>
        <v>695.1065000000001</v>
      </c>
      <c r="AC54" s="19">
        <f>AC21*Inputs!$C$61</f>
        <v>720.64222999999993</v>
      </c>
      <c r="AD54" s="19">
        <f>AD21*Inputs!$C$61</f>
        <v>733.56255499999997</v>
      </c>
      <c r="AE54" s="19">
        <f>AE21*Inputs!$C$61</f>
        <v>745.0215300000001</v>
      </c>
      <c r="AF54" s="19">
        <f>AF21*Inputs!$C$61</f>
        <v>735.27322000000004</v>
      </c>
      <c r="AG54" s="19">
        <f>AG21*Inputs!$C$61</f>
        <v>765.64625499999988</v>
      </c>
      <c r="AH54" s="19">
        <f>AH21*Inputs!$C$61</f>
        <v>869.00153999999998</v>
      </c>
    </row>
    <row r="55" spans="1:34" s="20" customFormat="1" ht="15">
      <c r="A55" s="27" t="s">
        <v>58</v>
      </c>
      <c r="B55" s="39"/>
      <c r="C55" s="333">
        <f>SUM(C52:C54)</f>
        <v>10052.851200000001</v>
      </c>
      <c r="D55" s="333">
        <f t="shared" ref="D55:AH55" si="24">SUM(D52:D54)</f>
        <v>10427.3112</v>
      </c>
      <c r="E55" s="333">
        <f t="shared" si="24"/>
        <v>10728.805822298082</v>
      </c>
      <c r="F55" s="333">
        <f t="shared" si="24"/>
        <v>10402.702854725576</v>
      </c>
      <c r="G55" s="333">
        <f t="shared" si="24"/>
        <v>10514.24454758391</v>
      </c>
      <c r="H55" s="19">
        <f t="shared" si="24"/>
        <v>10695.398849127787</v>
      </c>
      <c r="I55" s="19">
        <f t="shared" si="24"/>
        <v>11094.296461827787</v>
      </c>
      <c r="J55" s="19">
        <f t="shared" si="24"/>
        <v>10646.563084027788</v>
      </c>
      <c r="K55" s="19">
        <f t="shared" si="24"/>
        <v>10904.065131527786</v>
      </c>
      <c r="L55" s="19">
        <f t="shared" si="24"/>
        <v>11128.348821027788</v>
      </c>
      <c r="M55" s="19">
        <f t="shared" si="24"/>
        <v>11165.800132427787</v>
      </c>
      <c r="N55" s="190">
        <f t="shared" si="24"/>
        <v>11243.465744627789</v>
      </c>
      <c r="O55" s="19">
        <f t="shared" si="24"/>
        <v>11375.450164827787</v>
      </c>
      <c r="P55" s="19">
        <f t="shared" si="24"/>
        <v>11501.357935027787</v>
      </c>
      <c r="Q55" s="19">
        <f t="shared" si="24"/>
        <v>11449.064876627788</v>
      </c>
      <c r="R55" s="19">
        <f t="shared" si="24"/>
        <v>11617.451481327789</v>
      </c>
      <c r="S55" s="19">
        <f t="shared" si="24"/>
        <v>11701.775972327787</v>
      </c>
      <c r="T55" s="19">
        <f t="shared" si="24"/>
        <v>11765.687329327789</v>
      </c>
      <c r="U55" s="19">
        <f t="shared" si="24"/>
        <v>11842.95401402779</v>
      </c>
      <c r="V55" s="19">
        <f t="shared" si="24"/>
        <v>11927.061002327786</v>
      </c>
      <c r="W55" s="19">
        <f t="shared" si="24"/>
        <v>12102.381826627789</v>
      </c>
      <c r="X55" s="182">
        <f t="shared" si="24"/>
        <v>12172.516082427788</v>
      </c>
      <c r="Y55" s="19">
        <f t="shared" si="24"/>
        <v>12227.835569527788</v>
      </c>
      <c r="Z55" s="19">
        <f t="shared" si="24"/>
        <v>12200.621772627788</v>
      </c>
      <c r="AA55" s="19">
        <f t="shared" si="24"/>
        <v>12239.550559027786</v>
      </c>
      <c r="AB55" s="19">
        <f t="shared" si="24"/>
        <v>12274.229473827787</v>
      </c>
      <c r="AC55" s="19">
        <f t="shared" si="24"/>
        <v>12296.555049027787</v>
      </c>
      <c r="AD55" s="19">
        <f t="shared" si="24"/>
        <v>12303.603682427789</v>
      </c>
      <c r="AE55" s="19">
        <f t="shared" si="24"/>
        <v>12311.502399227787</v>
      </c>
      <c r="AF55" s="19">
        <f t="shared" si="24"/>
        <v>12296.470053427787</v>
      </c>
      <c r="AG55" s="19">
        <f t="shared" si="24"/>
        <v>12336.362309427786</v>
      </c>
      <c r="AH55" s="19">
        <f t="shared" si="24"/>
        <v>12479.869543127788</v>
      </c>
    </row>
    <row r="57" spans="1:34">
      <c r="A57" s="1" t="s">
        <v>140</v>
      </c>
      <c r="B57" s="13"/>
      <c r="D57" s="332"/>
      <c r="E57" s="332"/>
      <c r="F57" s="332"/>
      <c r="G57" s="332"/>
      <c r="H57" s="16"/>
      <c r="I57" s="16"/>
      <c r="J57" s="16"/>
      <c r="K57" s="16"/>
      <c r="L57" s="16"/>
      <c r="M57" s="16"/>
      <c r="N57" s="388" t="s">
        <v>0</v>
      </c>
    </row>
    <row r="58" spans="1:34" ht="15">
      <c r="A58" s="8" t="s">
        <v>61</v>
      </c>
      <c r="B58" s="34">
        <v>0</v>
      </c>
      <c r="C58" s="330">
        <f>C40*Inputs!$H44</f>
        <v>0</v>
      </c>
      <c r="D58" s="330">
        <f>D40*Inputs!$H44</f>
        <v>0</v>
      </c>
      <c r="E58" s="330">
        <f>E40*Inputs!$H44</f>
        <v>0</v>
      </c>
      <c r="F58" s="330">
        <f>F40*Inputs!$H44</f>
        <v>0</v>
      </c>
      <c r="G58" s="330">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0">
        <f>C41*Inputs!$H47</f>
        <v>0</v>
      </c>
      <c r="D59" s="330">
        <f>D41*Inputs!$H47</f>
        <v>0</v>
      </c>
      <c r="E59" s="330" t="s">
        <v>377</v>
      </c>
      <c r="F59" s="330">
        <f>F41*Inputs!$H47</f>
        <v>0</v>
      </c>
      <c r="G59" s="330">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0">
        <f>C42*Inputs!$H48</f>
        <v>245.29364999999999</v>
      </c>
      <c r="D60" s="330">
        <f>D42*Inputs!$H48</f>
        <v>207.76365000000001</v>
      </c>
      <c r="E60" s="330">
        <f>E42*Inputs!$H48</f>
        <v>197.24715000000003</v>
      </c>
      <c r="F60" s="330">
        <f>F42*Inputs!$H48</f>
        <v>150.94890000000001</v>
      </c>
      <c r="G60" s="330">
        <f>G42*Inputs!$H48</f>
        <v>190.7589825</v>
      </c>
      <c r="H60" s="14">
        <f>H42*Inputs!$H48</f>
        <v>225.203598</v>
      </c>
      <c r="I60" s="14">
        <f>I42*Inputs!$H48</f>
        <v>291.75778124999999</v>
      </c>
      <c r="J60" s="14">
        <f>J42*Inputs!$H48</f>
        <v>297.71383949999995</v>
      </c>
      <c r="K60" s="14">
        <f>K42*Inputs!$H48</f>
        <v>399.86124524999997</v>
      </c>
      <c r="L60" s="14">
        <f>L42*Inputs!$H48</f>
        <v>399.8613734999999</v>
      </c>
      <c r="M60" s="14">
        <f>M42*Inputs!$H48</f>
        <v>399.86150175</v>
      </c>
      <c r="N60" s="190">
        <f>N42*Inputs!$H48</f>
        <v>399.86150175</v>
      </c>
      <c r="O60" s="14">
        <f>O42*Inputs!$H48</f>
        <v>415.74269924999993</v>
      </c>
      <c r="P60" s="14">
        <f>P42*Inputs!$H48</f>
        <v>415.74269924999993</v>
      </c>
      <c r="Q60" s="14">
        <f>Q42*Inputs!$H48</f>
        <v>415.74269924999993</v>
      </c>
      <c r="R60" s="14">
        <f>R42*Inputs!$H48</f>
        <v>415.74269924999993</v>
      </c>
      <c r="S60" s="14">
        <f>S42*Inputs!$H48</f>
        <v>415.74257099999994</v>
      </c>
      <c r="T60" s="14">
        <f>T42*Inputs!$H48</f>
        <v>415.74269924999993</v>
      </c>
      <c r="U60" s="14">
        <f>U42*Inputs!$H48</f>
        <v>424.70211599999993</v>
      </c>
      <c r="V60" s="14">
        <f>V42*Inputs!$H48</f>
        <v>424.70211599999993</v>
      </c>
      <c r="W60" s="14">
        <f>W42*Inputs!$H48</f>
        <v>424.70211599999993</v>
      </c>
      <c r="X60" s="187">
        <f>X42*Inputs!$H48</f>
        <v>424.70211599999993</v>
      </c>
      <c r="Y60" s="14">
        <f>Y42*Inputs!$H48</f>
        <v>424.70211599999993</v>
      </c>
      <c r="Z60" s="14">
        <f>Z42*Inputs!$H48</f>
        <v>424.70211599999993</v>
      </c>
      <c r="AA60" s="14">
        <f>AA42*Inputs!$H48</f>
        <v>424.70288549999987</v>
      </c>
      <c r="AB60" s="14">
        <f>AB42*Inputs!$H48</f>
        <v>424.70301374999997</v>
      </c>
      <c r="AC60" s="14">
        <f>AC42*Inputs!$H48</f>
        <v>424.70288549999987</v>
      </c>
      <c r="AD60" s="14">
        <f>AD42*Inputs!$H48</f>
        <v>424.70211599999993</v>
      </c>
      <c r="AE60" s="14">
        <f>AE42*Inputs!$H48</f>
        <v>424.70211599999993</v>
      </c>
      <c r="AF60" s="14">
        <f>AF42*Inputs!$H48</f>
        <v>424.70275724999993</v>
      </c>
      <c r="AG60" s="14">
        <f>AG42*Inputs!$H48</f>
        <v>424.70288549999987</v>
      </c>
      <c r="AH60" s="14">
        <f>AH42*Inputs!$H48</f>
        <v>424.70211599999993</v>
      </c>
    </row>
    <row r="61" spans="1:34" ht="15">
      <c r="A61" s="8" t="s">
        <v>59</v>
      </c>
      <c r="B61" s="34">
        <v>0</v>
      </c>
      <c r="C61" s="330">
        <f>C43*Inputs!$H53</f>
        <v>1291.1220000000001</v>
      </c>
      <c r="D61" s="330">
        <f>D43*Inputs!$H53</f>
        <v>1133.4960000000001</v>
      </c>
      <c r="E61" s="330">
        <f>E43*Inputs!$H53</f>
        <v>1118.4201</v>
      </c>
      <c r="F61" s="330">
        <f>F43*Inputs!$H53</f>
        <v>1251.4256559000003</v>
      </c>
      <c r="G61" s="330">
        <f>G43*Inputs!$H53</f>
        <v>1170.0479258999999</v>
      </c>
      <c r="H61" s="14">
        <f>H43*Inputs!$H53</f>
        <v>1173.2656824000001</v>
      </c>
      <c r="I61" s="14">
        <f>I43*Inputs!$H53</f>
        <v>1202.2141572000003</v>
      </c>
      <c r="J61" s="14">
        <f>J43*Inputs!$H53</f>
        <v>1213.8465464999999</v>
      </c>
      <c r="K61" s="14">
        <f>K43*Inputs!$H53</f>
        <v>1213.8465464999999</v>
      </c>
      <c r="L61" s="14">
        <f>L43*Inputs!$H53</f>
        <v>1213.8465464999999</v>
      </c>
      <c r="M61" s="14">
        <f>M43*Inputs!$H53</f>
        <v>1213.8465464999999</v>
      </c>
      <c r="N61" s="190">
        <f>N43*Inputs!$H53</f>
        <v>1213.8465464999999</v>
      </c>
      <c r="O61" s="14">
        <f>O43*Inputs!$H53</f>
        <v>1213.8465464999999</v>
      </c>
      <c r="P61" s="14">
        <f>P43*Inputs!$H53</f>
        <v>1213.8465024</v>
      </c>
      <c r="Q61" s="14">
        <f>Q43*Inputs!$H53</f>
        <v>1213.8465464999999</v>
      </c>
      <c r="R61" s="14">
        <f>R43*Inputs!$H53</f>
        <v>1213.8465464999999</v>
      </c>
      <c r="S61" s="14">
        <f>S43*Inputs!$H53</f>
        <v>1213.8465464999999</v>
      </c>
      <c r="T61" s="14">
        <f>T43*Inputs!$H53</f>
        <v>1213.8465464999999</v>
      </c>
      <c r="U61" s="14">
        <f>U43*Inputs!$H53</f>
        <v>1213.8465464999999</v>
      </c>
      <c r="V61" s="14">
        <f>V43*Inputs!$H53</f>
        <v>1213.8465464999999</v>
      </c>
      <c r="W61" s="14">
        <f>W43*Inputs!$H53</f>
        <v>1213.8465464999999</v>
      </c>
      <c r="X61" s="187">
        <f>X43*Inputs!$H53</f>
        <v>1213.8465464999999</v>
      </c>
      <c r="Y61" s="14">
        <f>Y43*Inputs!$H53</f>
        <v>1213.8465464999999</v>
      </c>
      <c r="Z61" s="14">
        <f>Z43*Inputs!$H53</f>
        <v>1213.8465464999999</v>
      </c>
      <c r="AA61" s="14">
        <f>AA43*Inputs!$H53</f>
        <v>1213.8465464999999</v>
      </c>
      <c r="AB61" s="14">
        <f>AB43*Inputs!$H53</f>
        <v>1213.8465464999999</v>
      </c>
      <c r="AC61" s="14">
        <f>AC43*Inputs!$H53</f>
        <v>1213.8465464999999</v>
      </c>
      <c r="AD61" s="14">
        <f>AD43*Inputs!$H53</f>
        <v>1213.8465464999999</v>
      </c>
      <c r="AE61" s="14">
        <f>AE43*Inputs!$H53</f>
        <v>1213.8465464999999</v>
      </c>
      <c r="AF61" s="14">
        <f>AF43*Inputs!$H53</f>
        <v>1213.8465464999999</v>
      </c>
      <c r="AG61" s="14">
        <f>AG43*Inputs!$H53</f>
        <v>1213.8465464999999</v>
      </c>
      <c r="AH61" s="14">
        <f>AH43*Inputs!$H53</f>
        <v>1213.8465464999999</v>
      </c>
    </row>
    <row r="62" spans="1:34" ht="15">
      <c r="A62" s="8" t="s">
        <v>121</v>
      </c>
      <c r="B62" s="34">
        <v>1</v>
      </c>
      <c r="C62" s="330">
        <f>C44*Inputs!$H46</f>
        <v>0.378</v>
      </c>
      <c r="D62" s="330">
        <f>D44*Inputs!$H46</f>
        <v>0</v>
      </c>
      <c r="E62" s="330">
        <f>E44*Inputs!$H46</f>
        <v>7.5344850000000019E-2</v>
      </c>
      <c r="F62" s="330">
        <f>F44*Inputs!$H46</f>
        <v>7.9650270000000009E-2</v>
      </c>
      <c r="G62" s="330">
        <f>G44*Inputs!$H46</f>
        <v>5.8800640499999997</v>
      </c>
      <c r="H62" s="14">
        <f>H44*Inputs!$H46</f>
        <v>5.7995273700000007</v>
      </c>
      <c r="I62" s="14">
        <f>I44*Inputs!$H46</f>
        <v>4.7758504499999992</v>
      </c>
      <c r="J62" s="14">
        <f>J44*Inputs!$H46</f>
        <v>0.36735362999999999</v>
      </c>
      <c r="K62" s="14">
        <f>K44*Inputs!$H46</f>
        <v>8.7705204300000013</v>
      </c>
      <c r="L62" s="14">
        <f>L44*Inputs!$H46</f>
        <v>8.6318605800000014</v>
      </c>
      <c r="M62" s="14">
        <f>M44*Inputs!$H46</f>
        <v>28.701702539999999</v>
      </c>
      <c r="N62" s="190">
        <f>N44*Inputs!$H46</f>
        <v>177.39710667000003</v>
      </c>
      <c r="O62" s="14">
        <f>O44*Inputs!$H46</f>
        <v>190.39200390000002</v>
      </c>
      <c r="P62" s="14">
        <f>P44*Inputs!$H46</f>
        <v>186.67110798000002</v>
      </c>
      <c r="Q62" s="14">
        <f>Q44*Inputs!$H46</f>
        <v>187.55789786999998</v>
      </c>
      <c r="R62" s="14">
        <f>R44*Inputs!$H46</f>
        <v>227.75165280000004</v>
      </c>
      <c r="S62" s="14">
        <f>S44*Inputs!$H46</f>
        <v>229.53333689999999</v>
      </c>
      <c r="T62" s="14">
        <f>T44*Inputs!$H46</f>
        <v>230.41848060000001</v>
      </c>
      <c r="U62" s="14">
        <f>U44*Inputs!$H46</f>
        <v>231.11697168000003</v>
      </c>
      <c r="V62" s="14">
        <f>V44*Inputs!$H46</f>
        <v>230.89650885000003</v>
      </c>
      <c r="W62" s="14">
        <f>W44*Inputs!$H46</f>
        <v>235.02515337000006</v>
      </c>
      <c r="X62" s="187">
        <f>X44*Inputs!$H46</f>
        <v>278.31285908999996</v>
      </c>
      <c r="Y62" s="14">
        <f>Y44*Inputs!$H46</f>
        <v>306.10345877999998</v>
      </c>
      <c r="Z62" s="14">
        <f>Z44*Inputs!$H46</f>
        <v>316.57424022000004</v>
      </c>
      <c r="AA62" s="14">
        <f>AA44*Inputs!$H46</f>
        <v>316.29337488000004</v>
      </c>
      <c r="AB62" s="14">
        <f>AB44*Inputs!$H46</f>
        <v>316.04188770000002</v>
      </c>
      <c r="AC62" s="14">
        <f>AC44*Inputs!$H46</f>
        <v>319.24828593000007</v>
      </c>
      <c r="AD62" s="14">
        <f>AD44*Inputs!$H46</f>
        <v>319.14850149</v>
      </c>
      <c r="AE62" s="14">
        <f>AE44*Inputs!$H46</f>
        <v>319.09329081000004</v>
      </c>
      <c r="AF62" s="14">
        <f>AF44*Inputs!$H46</f>
        <v>318.08354319</v>
      </c>
      <c r="AG62" s="14">
        <f>AG44*Inputs!$H46</f>
        <v>317.55866184000001</v>
      </c>
      <c r="AH62" s="14">
        <f>AH44*Inputs!$H46</f>
        <v>315.54410516999997</v>
      </c>
    </row>
    <row r="63" spans="1:34" ht="15">
      <c r="A63" s="8" t="s">
        <v>50</v>
      </c>
      <c r="B63" s="34">
        <v>1</v>
      </c>
      <c r="C63" s="330">
        <f>C45*Inputs!$H49</f>
        <v>0</v>
      </c>
      <c r="D63" s="330">
        <f>D45*Inputs!$H49</f>
        <v>0</v>
      </c>
      <c r="E63" s="330">
        <f>E45*Inputs!$H49</f>
        <v>2.2500000000000003E-8</v>
      </c>
      <c r="F63" s="330">
        <f>F45*Inputs!$H49</f>
        <v>2.2500000000000003E-8</v>
      </c>
      <c r="G63" s="330">
        <f>G45*Inputs!$H49</f>
        <v>2.2500000000000003E-8</v>
      </c>
      <c r="H63" s="14">
        <f>H45*Inputs!$H49</f>
        <v>2.2500000000000003E-8</v>
      </c>
      <c r="I63" s="14">
        <f>I45*Inputs!$H49</f>
        <v>2.2500000000000003E-8</v>
      </c>
      <c r="J63" s="14">
        <f>J45*Inputs!$H49</f>
        <v>2.2500000000000003E-8</v>
      </c>
      <c r="K63" s="14">
        <f>K45*Inputs!$H49</f>
        <v>2.2500000000000003E-8</v>
      </c>
      <c r="L63" s="14">
        <f>L45*Inputs!$H49</f>
        <v>2.2500000000000003E-8</v>
      </c>
      <c r="M63" s="14">
        <f>M45*Inputs!$H49</f>
        <v>2.2500000000000003E-8</v>
      </c>
      <c r="N63" s="190">
        <f>N45*Inputs!$H49</f>
        <v>2.2500000000000003E-8</v>
      </c>
      <c r="O63" s="14">
        <f>O45*Inputs!$H49</f>
        <v>2.2500000000000003E-8</v>
      </c>
      <c r="P63" s="14">
        <f>P45*Inputs!$H49</f>
        <v>2.2500000000000003E-8</v>
      </c>
      <c r="Q63" s="14">
        <f>Q45*Inputs!$H49</f>
        <v>2.2500000000000003E-8</v>
      </c>
      <c r="R63" s="14">
        <f>R45*Inputs!$H49</f>
        <v>2.2500000000000003E-8</v>
      </c>
      <c r="S63" s="14">
        <f>S45*Inputs!$H49</f>
        <v>2.2500000000000003E-8</v>
      </c>
      <c r="T63" s="14">
        <f>T45*Inputs!$H49</f>
        <v>2.2500000000000003E-8</v>
      </c>
      <c r="U63" s="14">
        <f>U45*Inputs!$H49</f>
        <v>2.2500000000000003E-8</v>
      </c>
      <c r="V63" s="14">
        <f>V45*Inputs!$H49</f>
        <v>2.2500000000000003E-8</v>
      </c>
      <c r="W63" s="14">
        <f>W45*Inputs!$H49</f>
        <v>2.2500000000000003E-8</v>
      </c>
      <c r="X63" s="187">
        <f>X45*Inputs!$H49</f>
        <v>2.2500000000000003E-8</v>
      </c>
      <c r="Y63" s="14">
        <f>Y45*Inputs!$H49</f>
        <v>2.2500000000000003E-8</v>
      </c>
      <c r="Z63" s="14">
        <f>Z45*Inputs!$H49</f>
        <v>2.2500000000000003E-8</v>
      </c>
      <c r="AA63" s="14">
        <f>AA45*Inputs!$H49</f>
        <v>2.2500000000000003E-8</v>
      </c>
      <c r="AB63" s="14">
        <f>AB45*Inputs!$H49</f>
        <v>2.2500000000000003E-8</v>
      </c>
      <c r="AC63" s="14">
        <f>AC45*Inputs!$H49</f>
        <v>2.2500000000000003E-8</v>
      </c>
      <c r="AD63" s="14">
        <f>AD45*Inputs!$H49</f>
        <v>2.2500000000000003E-8</v>
      </c>
      <c r="AE63" s="14">
        <f>AE45*Inputs!$H49</f>
        <v>2.2500000000000003E-8</v>
      </c>
      <c r="AF63" s="14">
        <f>AF45*Inputs!$H49</f>
        <v>2.2500000000000003E-8</v>
      </c>
      <c r="AG63" s="14">
        <f>AG45*Inputs!$H49</f>
        <v>2.2500000000000003E-8</v>
      </c>
      <c r="AH63" s="14">
        <f>AH45*Inputs!$H49</f>
        <v>2.2500000000000003E-8</v>
      </c>
    </row>
    <row r="64" spans="1:34" ht="15">
      <c r="A64" s="8" t="s">
        <v>51</v>
      </c>
      <c r="B64" s="34">
        <v>1</v>
      </c>
      <c r="C64" s="330">
        <f>C46*Inputs!$H52</f>
        <v>6.75</v>
      </c>
      <c r="D64" s="330">
        <f>D46*Inputs!$H52</f>
        <v>7.8299999999999992</v>
      </c>
      <c r="E64" s="330">
        <f>E46*Inputs!$H52</f>
        <v>1.5040829457724034</v>
      </c>
      <c r="F64" s="330">
        <f>F46*Inputs!$H52</f>
        <v>1.3522197605171582</v>
      </c>
      <c r="G64" s="330">
        <f>G46*Inputs!$H52</f>
        <v>1.4541012530181641</v>
      </c>
      <c r="H64" s="14">
        <f>H46*Inputs!$H52</f>
        <v>1.5482711725083995</v>
      </c>
      <c r="I64" s="14">
        <f>I46*Inputs!$H52</f>
        <v>1.5482711725083995</v>
      </c>
      <c r="J64" s="14">
        <f>J46*Inputs!$H52</f>
        <v>1.5482711725083995</v>
      </c>
      <c r="K64" s="14">
        <f>K46*Inputs!$H52</f>
        <v>1.5482711725083995</v>
      </c>
      <c r="L64" s="14">
        <f>L46*Inputs!$H52</f>
        <v>1.5482711725083995</v>
      </c>
      <c r="M64" s="14">
        <f>M46*Inputs!$H52</f>
        <v>1.5482711725083995</v>
      </c>
      <c r="N64" s="190">
        <f>N46*Inputs!$H52</f>
        <v>1.5482711725083995</v>
      </c>
      <c r="O64" s="14">
        <f>O46*Inputs!$H52</f>
        <v>1.5482711725083995</v>
      </c>
      <c r="P64" s="14">
        <f>P46*Inputs!$H52</f>
        <v>1.5482711725083995</v>
      </c>
      <c r="Q64" s="14">
        <f>Q46*Inputs!$H52</f>
        <v>1.5482711725083995</v>
      </c>
      <c r="R64" s="14">
        <f>R46*Inputs!$H52</f>
        <v>1.5482711725083995</v>
      </c>
      <c r="S64" s="14">
        <f>S46*Inputs!$H52</f>
        <v>1.5482711725083995</v>
      </c>
      <c r="T64" s="14">
        <f>T46*Inputs!$H52</f>
        <v>1.5482711725083995</v>
      </c>
      <c r="U64" s="14">
        <f>U46*Inputs!$H52</f>
        <v>1.5482711725083995</v>
      </c>
      <c r="V64" s="14">
        <f>V46*Inputs!$H52</f>
        <v>1.5482711725083995</v>
      </c>
      <c r="W64" s="14">
        <f>W46*Inputs!$H52</f>
        <v>1.5482711725083995</v>
      </c>
      <c r="X64" s="187">
        <f>X46*Inputs!$H52</f>
        <v>1.5482711725083995</v>
      </c>
      <c r="Y64" s="14">
        <f>Y46*Inputs!$H52</f>
        <v>1.5482711725083995</v>
      </c>
      <c r="Z64" s="14">
        <f>Z46*Inputs!$H52</f>
        <v>1.5482711725083995</v>
      </c>
      <c r="AA64" s="14">
        <f>AA46*Inputs!$H52</f>
        <v>1.5482711725083995</v>
      </c>
      <c r="AB64" s="14">
        <f>AB46*Inputs!$H52</f>
        <v>1.5482711725083995</v>
      </c>
      <c r="AC64" s="14">
        <f>AC46*Inputs!$H52</f>
        <v>1.5482711725083995</v>
      </c>
      <c r="AD64" s="14">
        <f>AD46*Inputs!$H52</f>
        <v>1.5482711725083995</v>
      </c>
      <c r="AE64" s="14">
        <f>AE46*Inputs!$H52</f>
        <v>1.5482711725083995</v>
      </c>
      <c r="AF64" s="14">
        <f>AF46*Inputs!$H52</f>
        <v>1.5482711725083995</v>
      </c>
      <c r="AG64" s="14">
        <f>AG46*Inputs!$H52</f>
        <v>1.5482711725083995</v>
      </c>
      <c r="AH64" s="14">
        <f>AH46*Inputs!$H52</f>
        <v>1.5482711725083995</v>
      </c>
    </row>
    <row r="65" spans="1:34" ht="15">
      <c r="A65" s="8" t="s">
        <v>347</v>
      </c>
      <c r="B65" s="34">
        <v>1</v>
      </c>
      <c r="C65" s="330">
        <f>C47*Inputs!$H54</f>
        <v>0</v>
      </c>
      <c r="D65" s="330">
        <f>D47*Inputs!$H54</f>
        <v>0</v>
      </c>
      <c r="E65" s="330">
        <f>E47*Inputs!$H54</f>
        <v>0.14220000000000002</v>
      </c>
      <c r="F65" s="330">
        <f>F47*Inputs!$H54</f>
        <v>0.14220000000000002</v>
      </c>
      <c r="G65" s="330">
        <f>G47*Inputs!$H54</f>
        <v>0.14220000000000002</v>
      </c>
      <c r="H65" s="14">
        <f>H47*Inputs!$H54</f>
        <v>0.14220000000000002</v>
      </c>
      <c r="I65" s="14">
        <f>I47*Inputs!$H54</f>
        <v>0.14220000000000002</v>
      </c>
      <c r="J65" s="14">
        <f>J47*Inputs!$H54</f>
        <v>0.14220000000000002</v>
      </c>
      <c r="K65" s="14">
        <f>K47*Inputs!$H54</f>
        <v>0.14220000000000002</v>
      </c>
      <c r="L65" s="14">
        <f>L47*Inputs!$H54</f>
        <v>0.14220000000000002</v>
      </c>
      <c r="M65" s="14">
        <f>M47*Inputs!$H54</f>
        <v>0.14220000000000002</v>
      </c>
      <c r="N65" s="190">
        <f>N47*Inputs!$H54</f>
        <v>0.14220000000000002</v>
      </c>
      <c r="O65" s="14">
        <f>O47*Inputs!$H54</f>
        <v>0.14220000000000002</v>
      </c>
      <c r="P65" s="14">
        <f>P47*Inputs!$H54</f>
        <v>0.14220000000000002</v>
      </c>
      <c r="Q65" s="14">
        <f>Q47*Inputs!$H54</f>
        <v>0.14220000000000002</v>
      </c>
      <c r="R65" s="14">
        <f>R47*Inputs!$H54</f>
        <v>0.14220000000000002</v>
      </c>
      <c r="S65" s="14">
        <f>S47*Inputs!$H54</f>
        <v>0.14220000000000002</v>
      </c>
      <c r="T65" s="14">
        <f>T47*Inputs!$H54</f>
        <v>0.14220000000000002</v>
      </c>
      <c r="U65" s="14">
        <f>U47*Inputs!$H54</f>
        <v>0.14220000000000002</v>
      </c>
      <c r="V65" s="14">
        <f>V47*Inputs!$H54</f>
        <v>0.14220000000000002</v>
      </c>
      <c r="W65" s="14">
        <f>W47*Inputs!$H54</f>
        <v>0.14220000000000002</v>
      </c>
      <c r="X65" s="187">
        <f>X47*Inputs!$H54</f>
        <v>0.14220000000000002</v>
      </c>
      <c r="Y65" s="14">
        <f>Y47*Inputs!$H54</f>
        <v>0.14220000000000002</v>
      </c>
      <c r="Z65" s="14">
        <f>Z47*Inputs!$H54</f>
        <v>0.14220000000000002</v>
      </c>
      <c r="AA65" s="14">
        <f>AA47*Inputs!$H54</f>
        <v>0.14220000000000002</v>
      </c>
      <c r="AB65" s="14">
        <f>AB47*Inputs!$H54</f>
        <v>0.14220000000000002</v>
      </c>
      <c r="AC65" s="14">
        <f>AC47*Inputs!$H54</f>
        <v>0.14220000000000002</v>
      </c>
      <c r="AD65" s="14">
        <f>AD47*Inputs!$H54</f>
        <v>0.14220000000000002</v>
      </c>
      <c r="AE65" s="14">
        <f>AE47*Inputs!$H54</f>
        <v>0.14220000000000002</v>
      </c>
      <c r="AF65" s="14">
        <f>AF47*Inputs!$H54</f>
        <v>0.14220000000000002</v>
      </c>
      <c r="AG65" s="14">
        <f>AG47*Inputs!$H54</f>
        <v>0.14220000000000002</v>
      </c>
      <c r="AH65" s="14">
        <f>AH47*Inputs!$H54</f>
        <v>0</v>
      </c>
    </row>
    <row r="66" spans="1:34" ht="15">
      <c r="A66" s="8" t="s">
        <v>348</v>
      </c>
      <c r="B66" s="34">
        <v>1</v>
      </c>
      <c r="C66" s="330">
        <f>C48*Inputs!$H55</f>
        <v>0</v>
      </c>
      <c r="D66" s="330">
        <f>D48*Inputs!$H55</f>
        <v>0</v>
      </c>
      <c r="E66" s="330">
        <f>E48*Inputs!$H55</f>
        <v>2.0700000000000003E-2</v>
      </c>
      <c r="F66" s="330">
        <f>F48*Inputs!$H55</f>
        <v>2.0700000000000003E-2</v>
      </c>
      <c r="G66" s="330">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0">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7">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344</v>
      </c>
      <c r="B67" s="34">
        <v>1</v>
      </c>
      <c r="C67" s="330">
        <f>C49*Inputs!$H51</f>
        <v>2.4300000000000003E-3</v>
      </c>
      <c r="D67" s="330">
        <f>D49*Inputs!$H51</f>
        <v>2.4300000000000003E-3</v>
      </c>
      <c r="E67" s="330">
        <f>E49*Inputs!$H51</f>
        <v>2.4300000000000003E-3</v>
      </c>
      <c r="F67" s="330">
        <f>F49*Inputs!$H51</f>
        <v>2.4300000000000003E-3</v>
      </c>
      <c r="G67" s="330">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0">
        <f>C50*Inputs!$H57</f>
        <v>76.347000000000008</v>
      </c>
      <c r="D68" s="330">
        <f>D50*Inputs!$H57</f>
        <v>141.52500000000001</v>
      </c>
      <c r="E68" s="330">
        <f>E50*Inputs!$H57</f>
        <v>152.73169920000004</v>
      </c>
      <c r="F68" s="330">
        <f>F50*Inputs!$H57</f>
        <v>244.86829920000002</v>
      </c>
      <c r="G68" s="330">
        <f>G50*Inputs!$H57</f>
        <v>383.86482120000005</v>
      </c>
      <c r="H68" s="14">
        <f>H50*Inputs!$H57</f>
        <v>403.64285580000006</v>
      </c>
      <c r="I68" s="14">
        <f>I50*Inputs!$H57</f>
        <v>423.04007340000004</v>
      </c>
      <c r="J68" s="14">
        <f>J50*Inputs!$H57</f>
        <v>435.99951000000004</v>
      </c>
      <c r="K68" s="14">
        <f>K50*Inputs!$H57</f>
        <v>435.94247160000009</v>
      </c>
      <c r="L68" s="14">
        <f>L50*Inputs!$H57</f>
        <v>435.97004220000008</v>
      </c>
      <c r="M68" s="14">
        <f>M50*Inputs!$H57</f>
        <v>436.05198900000005</v>
      </c>
      <c r="N68" s="190">
        <f>N50*Inputs!$H57</f>
        <v>436.00820040000002</v>
      </c>
      <c r="O68" s="14">
        <f>O50*Inputs!$H57</f>
        <v>436.13001900000006</v>
      </c>
      <c r="P68" s="14">
        <f>P50*Inputs!$H57</f>
        <v>436.13858700000009</v>
      </c>
      <c r="Q68" s="14">
        <f>Q50*Inputs!$H57</f>
        <v>436.1402394000001</v>
      </c>
      <c r="R68" s="14">
        <f>R50*Inputs!$H57</f>
        <v>436.17555180000011</v>
      </c>
      <c r="S68" s="14">
        <f>S50*Inputs!$H57</f>
        <v>436.21802460000009</v>
      </c>
      <c r="T68" s="14">
        <f>T50*Inputs!$H57</f>
        <v>436.20639660000006</v>
      </c>
      <c r="U68" s="14">
        <f>U50*Inputs!$H57</f>
        <v>436.75196400000004</v>
      </c>
      <c r="V68" s="14">
        <f>V50*Inputs!$H57</f>
        <v>437.1174504</v>
      </c>
      <c r="W68" s="14">
        <f>W50*Inputs!$H57</f>
        <v>437.10346620000013</v>
      </c>
      <c r="X68" s="187">
        <f>X50*Inputs!$H57</f>
        <v>438.08731740000007</v>
      </c>
      <c r="Y68" s="14">
        <f>Y50*Inputs!$H57</f>
        <v>440.19275040000008</v>
      </c>
      <c r="Z68" s="14">
        <f>Z50*Inputs!$H57</f>
        <v>443.18689919999997</v>
      </c>
      <c r="AA68" s="14">
        <f>AA50*Inputs!$H57</f>
        <v>444.60839160000012</v>
      </c>
      <c r="AB68" s="14">
        <f>AB50*Inputs!$H57</f>
        <v>447.47821260000012</v>
      </c>
      <c r="AC68" s="14">
        <f>AC50*Inputs!$H57</f>
        <v>449.48942820000008</v>
      </c>
      <c r="AD68" s="14">
        <f>AD50*Inputs!$H57</f>
        <v>449.8912674</v>
      </c>
      <c r="AE68" s="14">
        <f>AE50*Inputs!$H57</f>
        <v>452.65475340000012</v>
      </c>
      <c r="AF68" s="14">
        <f>AF50*Inputs!$H57</f>
        <v>454.55975640000008</v>
      </c>
      <c r="AG68" s="14">
        <f>AG50*Inputs!$H57</f>
        <v>468.52094520000014</v>
      </c>
      <c r="AH68" s="14">
        <f>AH50*Inputs!$H57</f>
        <v>512.20054800000014</v>
      </c>
    </row>
    <row r="69" spans="1:34" s="20" customFormat="1" ht="15">
      <c r="A69" s="8" t="s">
        <v>128</v>
      </c>
      <c r="B69" s="38"/>
      <c r="C69" s="333">
        <f t="shared" ref="C69:AH69" si="25">SUMPRODUCT($B60:$B68,C60:C68)</f>
        <v>83.477430000000012</v>
      </c>
      <c r="D69" s="333">
        <f t="shared" si="25"/>
        <v>149.35742999999999</v>
      </c>
      <c r="E69" s="333">
        <f t="shared" si="25"/>
        <v>154.47645701827244</v>
      </c>
      <c r="F69" s="333">
        <f t="shared" si="25"/>
        <v>246.46549925301719</v>
      </c>
      <c r="G69" s="333">
        <f t="shared" si="25"/>
        <v>391.36431652551823</v>
      </c>
      <c r="H69" s="19">
        <f t="shared" si="25"/>
        <v>411.15598436500846</v>
      </c>
      <c r="I69" s="19">
        <f t="shared" si="25"/>
        <v>429.52952504500843</v>
      </c>
      <c r="J69" s="19">
        <f t="shared" si="25"/>
        <v>438.08046482500845</v>
      </c>
      <c r="K69" s="19">
        <f t="shared" si="25"/>
        <v>446.4265932250085</v>
      </c>
      <c r="L69" s="19">
        <f t="shared" si="25"/>
        <v>446.31550397500848</v>
      </c>
      <c r="M69" s="19">
        <f t="shared" si="25"/>
        <v>466.46729273500847</v>
      </c>
      <c r="N69" s="190">
        <f t="shared" si="25"/>
        <v>615.11890826500849</v>
      </c>
      <c r="O69" s="19">
        <f t="shared" si="25"/>
        <v>628.23562409500846</v>
      </c>
      <c r="P69" s="19">
        <f t="shared" si="25"/>
        <v>624.52329617500845</v>
      </c>
      <c r="Q69" s="19">
        <f t="shared" si="25"/>
        <v>625.41173846500851</v>
      </c>
      <c r="R69" s="19">
        <f t="shared" si="25"/>
        <v>665.64080579500853</v>
      </c>
      <c r="S69" s="19">
        <f t="shared" si="25"/>
        <v>667.46496269500847</v>
      </c>
      <c r="T69" s="19">
        <f t="shared" si="25"/>
        <v>668.33847839500845</v>
      </c>
      <c r="U69" s="19">
        <f t="shared" si="25"/>
        <v>669.58253687500849</v>
      </c>
      <c r="V69" s="19">
        <f t="shared" si="25"/>
        <v>669.72756044500841</v>
      </c>
      <c r="W69" s="19">
        <f t="shared" si="25"/>
        <v>673.84222076500862</v>
      </c>
      <c r="X69" s="182">
        <f t="shared" si="25"/>
        <v>718.11377768500847</v>
      </c>
      <c r="Y69" s="19">
        <f t="shared" si="25"/>
        <v>748.00981037500844</v>
      </c>
      <c r="Z69" s="19">
        <f t="shared" si="25"/>
        <v>761.47474061500839</v>
      </c>
      <c r="AA69" s="19">
        <f t="shared" si="25"/>
        <v>762.61536767500854</v>
      </c>
      <c r="AB69" s="19">
        <f t="shared" si="25"/>
        <v>765.23370149500852</v>
      </c>
      <c r="AC69" s="19">
        <f t="shared" si="25"/>
        <v>770.45131532500852</v>
      </c>
      <c r="AD69" s="19">
        <f t="shared" si="25"/>
        <v>770.75337008500833</v>
      </c>
      <c r="AE69" s="19">
        <f t="shared" si="25"/>
        <v>773.46164540500854</v>
      </c>
      <c r="AF69" s="19">
        <f t="shared" si="25"/>
        <v>774.35690078500852</v>
      </c>
      <c r="AG69" s="19">
        <f t="shared" si="25"/>
        <v>787.79320823500848</v>
      </c>
      <c r="AH69" s="19">
        <f t="shared" si="25"/>
        <v>829.31605436500854</v>
      </c>
    </row>
    <row r="70" spans="1:34" s="20" customFormat="1" ht="15">
      <c r="A70" s="27" t="s">
        <v>329</v>
      </c>
      <c r="B70" s="39"/>
      <c r="C70" s="333">
        <f>SUM(C58:C68)</f>
        <v>1619.8930800000001</v>
      </c>
      <c r="D70" s="333">
        <f t="shared" ref="D70:AH70" si="26">SUM(D58:D68)</f>
        <v>1490.6170800000002</v>
      </c>
      <c r="E70" s="333">
        <f t="shared" si="26"/>
        <v>1470.1437070182724</v>
      </c>
      <c r="F70" s="333">
        <f t="shared" si="26"/>
        <v>1648.8400551530176</v>
      </c>
      <c r="G70" s="333">
        <f t="shared" si="26"/>
        <v>1752.1712249255181</v>
      </c>
      <c r="H70" s="19">
        <f t="shared" si="26"/>
        <v>1809.6252647650085</v>
      </c>
      <c r="I70" s="19">
        <f t="shared" si="26"/>
        <v>1923.5014634950087</v>
      </c>
      <c r="J70" s="19">
        <f t="shared" si="26"/>
        <v>1949.6408508250083</v>
      </c>
      <c r="K70" s="19">
        <f t="shared" si="26"/>
        <v>2060.1343849750083</v>
      </c>
      <c r="L70" s="19">
        <f t="shared" si="26"/>
        <v>2060.023423975008</v>
      </c>
      <c r="M70" s="19">
        <f t="shared" si="26"/>
        <v>2080.1753409850085</v>
      </c>
      <c r="N70" s="182">
        <f t="shared" si="26"/>
        <v>2228.8269565150085</v>
      </c>
      <c r="O70" s="19">
        <f t="shared" si="26"/>
        <v>2257.8248698450084</v>
      </c>
      <c r="P70" s="19">
        <f t="shared" si="26"/>
        <v>2254.1124978250082</v>
      </c>
      <c r="Q70" s="19">
        <f t="shared" si="26"/>
        <v>2255.0009842150084</v>
      </c>
      <c r="R70" s="19">
        <f t="shared" si="26"/>
        <v>2295.2300515450083</v>
      </c>
      <c r="S70" s="19">
        <f t="shared" si="26"/>
        <v>2297.0540801950083</v>
      </c>
      <c r="T70" s="19">
        <f t="shared" si="26"/>
        <v>2297.9277241450081</v>
      </c>
      <c r="U70" s="19">
        <f t="shared" si="26"/>
        <v>2308.1311993750082</v>
      </c>
      <c r="V70" s="19">
        <f t="shared" si="26"/>
        <v>2308.2762229450082</v>
      </c>
      <c r="W70" s="19">
        <f t="shared" si="26"/>
        <v>2312.3908832650081</v>
      </c>
      <c r="X70" s="182">
        <f t="shared" si="26"/>
        <v>2356.6624401850086</v>
      </c>
      <c r="Y70" s="19">
        <f t="shared" si="26"/>
        <v>2386.5584728750082</v>
      </c>
      <c r="Z70" s="19">
        <f t="shared" si="26"/>
        <v>2400.0234031150085</v>
      </c>
      <c r="AA70" s="19">
        <f t="shared" si="26"/>
        <v>2401.1647996750085</v>
      </c>
      <c r="AB70" s="19">
        <f t="shared" si="26"/>
        <v>2403.7832617450085</v>
      </c>
      <c r="AC70" s="19">
        <f t="shared" si="26"/>
        <v>2409.0007473250084</v>
      </c>
      <c r="AD70" s="19">
        <f t="shared" si="26"/>
        <v>2409.302032585008</v>
      </c>
      <c r="AE70" s="19">
        <f t="shared" si="26"/>
        <v>2412.0103079050086</v>
      </c>
      <c r="AF70" s="19">
        <f t="shared" si="26"/>
        <v>2412.9062045350083</v>
      </c>
      <c r="AG70" s="19">
        <f t="shared" si="26"/>
        <v>2426.3426402350083</v>
      </c>
      <c r="AH70" s="19">
        <f t="shared" si="26"/>
        <v>2467.8647168650082</v>
      </c>
    </row>
    <row r="71" spans="1:34" s="20" customFormat="1" ht="15">
      <c r="A71" s="27" t="s">
        <v>142</v>
      </c>
      <c r="B71" s="39"/>
      <c r="C71" s="333">
        <f>C53*Inputs!$H$60</f>
        <v>7089.4890000000005</v>
      </c>
      <c r="D71" s="333">
        <f>D53*Inputs!$H$60</f>
        <v>7429.6530000000002</v>
      </c>
      <c r="E71" s="333">
        <f>E53*Inputs!$H$60</f>
        <v>7818.1487455500019</v>
      </c>
      <c r="F71" s="333">
        <f>F53*Inputs!$H$60</f>
        <v>7218.273041100002</v>
      </c>
      <c r="G71" s="333">
        <f>G53*Inputs!$H$60</f>
        <v>7539.4531179000005</v>
      </c>
      <c r="H71" s="19">
        <f>H53*Inputs!$H$60</f>
        <v>7629.865654950001</v>
      </c>
      <c r="I71" s="19">
        <f>I53*Inputs!$H$60</f>
        <v>7837.2099481500009</v>
      </c>
      <c r="J71" s="19">
        <f>J53*Inputs!$H$60</f>
        <v>7326.4235913000011</v>
      </c>
      <c r="K71" s="19">
        <f>K53*Inputs!$H$60</f>
        <v>7472.1501954000005</v>
      </c>
      <c r="L71" s="19">
        <f>L53*Inputs!$H$60</f>
        <v>7674.8625904500013</v>
      </c>
      <c r="M71" s="19">
        <f>M53*Inputs!$H$60</f>
        <v>7685.926013700001</v>
      </c>
      <c r="N71" s="190">
        <f>N53*Inputs!$H$60</f>
        <v>7602.6545941500017</v>
      </c>
      <c r="O71" s="19">
        <f>O53*Inputs!$H$60</f>
        <v>7662.0956445000011</v>
      </c>
      <c r="P71" s="19">
        <f>P53*Inputs!$H$60</f>
        <v>7717.2690672000008</v>
      </c>
      <c r="Q71" s="19">
        <f>Q53*Inputs!$H$60</f>
        <v>7693.8435337500005</v>
      </c>
      <c r="R71" s="19">
        <f>R53*Inputs!$H$60</f>
        <v>7829.0691286500023</v>
      </c>
      <c r="S71" s="19">
        <f>S53*Inputs!$H$60</f>
        <v>7866.3126564000013</v>
      </c>
      <c r="T71" s="19">
        <f>T53*Inputs!$H$60</f>
        <v>7875.3912682500031</v>
      </c>
      <c r="U71" s="19">
        <f>U53*Inputs!$H$60</f>
        <v>7909.9936987500014</v>
      </c>
      <c r="V71" s="19">
        <f>V53*Inputs!$H$60</f>
        <v>7942.4623426500002</v>
      </c>
      <c r="W71" s="19">
        <f>W53*Inputs!$H$60</f>
        <v>8068.0800717000011</v>
      </c>
      <c r="X71" s="182">
        <f>X53*Inputs!$H$60</f>
        <v>8061.9094710000008</v>
      </c>
      <c r="Y71" s="19">
        <f>Y53*Inputs!$H$60</f>
        <v>8042.9203601999998</v>
      </c>
      <c r="Z71" s="19">
        <f>Z53*Inputs!$H$60</f>
        <v>8031.4101202500015</v>
      </c>
      <c r="AA71" s="19">
        <f>AA53*Inputs!$H$60</f>
        <v>8024.5432129500005</v>
      </c>
      <c r="AB71" s="19">
        <f>AB53*Inputs!$H$60</f>
        <v>8017.4274147000006</v>
      </c>
      <c r="AC71" s="19">
        <f>AC53*Inputs!$H$60</f>
        <v>8009.320789800001</v>
      </c>
      <c r="AD71" s="19">
        <f>AD53*Inputs!$H$60</f>
        <v>8003.7349821000016</v>
      </c>
      <c r="AE71" s="19">
        <f>AE53*Inputs!$H$60</f>
        <v>7997.8224743999999</v>
      </c>
      <c r="AF71" s="19">
        <f>AF53*Inputs!$H$60</f>
        <v>7992.1709455500004</v>
      </c>
      <c r="AG71" s="19">
        <f>AG53*Inputs!$H$60</f>
        <v>7987.3018087499995</v>
      </c>
      <c r="AH71" s="19">
        <f>AH53*Inputs!$H$60</f>
        <v>7981.9164859500015</v>
      </c>
    </row>
    <row r="72" spans="1:34" s="20" customFormat="1" ht="15">
      <c r="A72" s="27" t="s">
        <v>222</v>
      </c>
      <c r="B72" s="39"/>
      <c r="C72" s="333">
        <f>C54*Inputs!$H$61</f>
        <v>338.18400000000003</v>
      </c>
      <c r="D72" s="333">
        <f>D54*Inputs!$H$61</f>
        <v>464.31</v>
      </c>
      <c r="E72" s="333">
        <f>E54*Inputs!$H$61</f>
        <v>367.63278750000001</v>
      </c>
      <c r="F72" s="333">
        <f>F54*Inputs!$H$61</f>
        <v>495.31947300000002</v>
      </c>
      <c r="G72" s="333">
        <f>G54*Inputs!$H$61</f>
        <v>171.19575</v>
      </c>
      <c r="H72" s="19">
        <f>H54*Inputs!$H$61</f>
        <v>186.3680445</v>
      </c>
      <c r="I72" s="19">
        <f>I54*Inputs!$H$61</f>
        <v>224.155404</v>
      </c>
      <c r="J72" s="19">
        <f>J54*Inputs!$H$61</f>
        <v>305.8423335</v>
      </c>
      <c r="K72" s="19">
        <f>K54*Inputs!$H$61</f>
        <v>281.37403800000004</v>
      </c>
      <c r="L72" s="19">
        <f>L54*Inputs!$H$61</f>
        <v>280.62792449999995</v>
      </c>
      <c r="M72" s="19">
        <f>M54*Inputs!$H$61</f>
        <v>283.11876450000005</v>
      </c>
      <c r="N72" s="190">
        <f>N54*Inputs!$H$61</f>
        <v>287.63761950000003</v>
      </c>
      <c r="O72" s="19">
        <f>O54*Inputs!$H$61</f>
        <v>317.98463400000009</v>
      </c>
      <c r="P72" s="19">
        <f>P54*Inputs!$H$61</f>
        <v>379.84057650000005</v>
      </c>
      <c r="Q72" s="19">
        <f>Q54*Inputs!$H$61</f>
        <v>355.31387100000001</v>
      </c>
      <c r="R72" s="19">
        <f>R54*Inputs!$H$61</f>
        <v>331.40715299999999</v>
      </c>
      <c r="S72" s="19">
        <f>S54*Inputs!$H$61</f>
        <v>368.23163850000003</v>
      </c>
      <c r="T72" s="19">
        <f>T54*Inputs!$H$61</f>
        <v>415.79960400000004</v>
      </c>
      <c r="U72" s="19">
        <f>U54*Inputs!$H$61</f>
        <v>440.53371450000003</v>
      </c>
      <c r="V72" s="19">
        <f>V54*Inputs!$H$61</f>
        <v>483.61633649999993</v>
      </c>
      <c r="W72" s="19">
        <f>W54*Inputs!$H$61</f>
        <v>511.67268900000005</v>
      </c>
      <c r="X72" s="182">
        <f>X54*Inputs!$H$61</f>
        <v>536.69256299999995</v>
      </c>
      <c r="Y72" s="19">
        <f>Y54*Inputs!$H$61</f>
        <v>575.57317950000004</v>
      </c>
      <c r="Z72" s="19">
        <f>Z54*Inputs!$H$61</f>
        <v>549.12607200000002</v>
      </c>
      <c r="AA72" s="19">
        <f>AA54*Inputs!$H$61</f>
        <v>589.88749050000001</v>
      </c>
      <c r="AB72" s="19">
        <f>AB54*Inputs!$H$61</f>
        <v>625.59585000000015</v>
      </c>
      <c r="AC72" s="19">
        <f>AC54*Inputs!$H$61</f>
        <v>648.57800699999996</v>
      </c>
      <c r="AD72" s="19">
        <f>AD54*Inputs!$H$61</f>
        <v>660.2062995</v>
      </c>
      <c r="AE72" s="19">
        <f>AE54*Inputs!$H$61</f>
        <v>670.51937700000008</v>
      </c>
      <c r="AF72" s="19">
        <f>AF54*Inputs!$H$61</f>
        <v>661.74589800000001</v>
      </c>
      <c r="AG72" s="19">
        <f>AG54*Inputs!$H$61</f>
        <v>689.08162949999996</v>
      </c>
      <c r="AH72" s="19">
        <f>AH54*Inputs!$H$61</f>
        <v>782.10138600000005</v>
      </c>
    </row>
    <row r="73" spans="1:34" ht="15">
      <c r="A73" s="27" t="s">
        <v>58</v>
      </c>
      <c r="C73" s="330">
        <f>SUM(C70:C72)</f>
        <v>9047.5660800000005</v>
      </c>
      <c r="D73" s="330">
        <f t="shared" ref="D73:AH73" si="27">SUM(D70:D72)</f>
        <v>9384.5800799999997</v>
      </c>
      <c r="E73" s="330">
        <f t="shared" si="27"/>
        <v>9655.9252400682744</v>
      </c>
      <c r="F73" s="330">
        <f t="shared" si="27"/>
        <v>9362.4325692530183</v>
      </c>
      <c r="G73" s="330">
        <f t="shared" si="27"/>
        <v>9462.8200928255192</v>
      </c>
      <c r="H73" s="14">
        <f t="shared" si="27"/>
        <v>9625.8589642150109</v>
      </c>
      <c r="I73" s="14">
        <f t="shared" si="27"/>
        <v>9984.8668156450094</v>
      </c>
      <c r="J73" s="14">
        <f t="shared" si="27"/>
        <v>9581.9067756250097</v>
      </c>
      <c r="K73" s="14">
        <f t="shared" si="27"/>
        <v>9813.6586183750096</v>
      </c>
      <c r="L73" s="14">
        <f t="shared" si="27"/>
        <v>10015.513938925011</v>
      </c>
      <c r="M73" s="14">
        <f t="shared" si="27"/>
        <v>10049.220119185011</v>
      </c>
      <c r="N73" s="190">
        <f t="shared" si="27"/>
        <v>10119.11917016501</v>
      </c>
      <c r="O73" s="14">
        <f t="shared" si="27"/>
        <v>10237.905148345009</v>
      </c>
      <c r="P73" s="14">
        <f t="shared" si="27"/>
        <v>10351.22214152501</v>
      </c>
      <c r="Q73" s="14">
        <f t="shared" si="27"/>
        <v>10304.158388965008</v>
      </c>
      <c r="R73" s="14">
        <f t="shared" si="27"/>
        <v>10455.70633319501</v>
      </c>
      <c r="S73" s="14">
        <f t="shared" si="27"/>
        <v>10531.598375095009</v>
      </c>
      <c r="T73" s="14">
        <f t="shared" si="27"/>
        <v>10589.118596395012</v>
      </c>
      <c r="U73" s="14">
        <f t="shared" si="27"/>
        <v>10658.658612625009</v>
      </c>
      <c r="V73" s="14">
        <f t="shared" si="27"/>
        <v>10734.354902095009</v>
      </c>
      <c r="W73" s="14">
        <f t="shared" si="27"/>
        <v>10892.14364396501</v>
      </c>
      <c r="X73" s="187">
        <f t="shared" si="27"/>
        <v>10955.264474185009</v>
      </c>
      <c r="Y73" s="14">
        <f t="shared" si="27"/>
        <v>11005.052012575008</v>
      </c>
      <c r="Z73" s="14">
        <f t="shared" si="27"/>
        <v>10980.559595365008</v>
      </c>
      <c r="AA73" s="14">
        <f t="shared" si="27"/>
        <v>11015.595503125009</v>
      </c>
      <c r="AB73" s="14">
        <f t="shared" si="27"/>
        <v>11046.806526445009</v>
      </c>
      <c r="AC73" s="14">
        <f t="shared" si="27"/>
        <v>11066.89954412501</v>
      </c>
      <c r="AD73" s="14">
        <f t="shared" si="27"/>
        <v>11073.243314185009</v>
      </c>
      <c r="AE73" s="14">
        <f t="shared" si="27"/>
        <v>11080.35215930501</v>
      </c>
      <c r="AF73" s="14">
        <f t="shared" si="27"/>
        <v>11066.823048085009</v>
      </c>
      <c r="AG73" s="14">
        <f t="shared" si="27"/>
        <v>11102.726078485008</v>
      </c>
      <c r="AH73" s="14">
        <f t="shared" si="27"/>
        <v>11231.88258881501</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4">
        <f>'backup - EIA liq_fuelS_aeo2014'!E46</f>
        <v>273.77869168296451</v>
      </c>
      <c r="D78" s="334">
        <f>'backup - EIA liq_fuelS_aeo2014'!F46</f>
        <v>330.59007454663532</v>
      </c>
      <c r="E78" s="334">
        <f>'backup - EIA liq_fuelS_aeo2014'!G46</f>
        <v>346.41273999999999</v>
      </c>
      <c r="F78" s="334">
        <f>'backup - EIA liq_fuelS_aeo2014'!H46</f>
        <v>332.23648773503913</v>
      </c>
      <c r="G78" s="334">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89">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0">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29" t="e">
        <f>C78*Inputs!$C58</f>
        <v>#REF!</v>
      </c>
      <c r="D83" s="329" t="e">
        <f>D78*Inputs!$C58</f>
        <v>#REF!</v>
      </c>
      <c r="E83" s="329" t="e">
        <f>E78*Inputs!$C58</f>
        <v>#REF!</v>
      </c>
      <c r="F83" s="329" t="e">
        <f>F78*Inputs!$C58</f>
        <v>#REF!</v>
      </c>
      <c r="G83" s="329" t="e">
        <f>G78*Inputs!$C58</f>
        <v>#REF!</v>
      </c>
      <c r="H83" s="50" t="e">
        <f>H78*Inputs!$C58</f>
        <v>#REF!</v>
      </c>
      <c r="I83" s="50" t="e">
        <f>I78*Inputs!$C58</f>
        <v>#REF!</v>
      </c>
      <c r="J83" s="50" t="e">
        <f>J78*Inputs!$C58</f>
        <v>#REF!</v>
      </c>
      <c r="K83" s="50" t="e">
        <f>K78*Inputs!$C58</f>
        <v>#REF!</v>
      </c>
      <c r="L83" s="50" t="e">
        <f>L78*Inputs!$C58</f>
        <v>#REF!</v>
      </c>
      <c r="M83" s="50" t="e">
        <f>M78*Inputs!$C58</f>
        <v>#REF!</v>
      </c>
      <c r="N83" s="387"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6" customWidth="1"/>
    <col min="6" max="6" width="9" style="416" customWidth="1"/>
    <col min="7" max="7" width="9.6640625" style="81" customWidth="1"/>
    <col min="8" max="8" width="10.83203125" style="416" customWidth="1"/>
    <col min="9" max="9" width="5.6640625" style="416" bestFit="1" customWidth="1"/>
    <col min="10" max="10" width="9.33203125" style="416" customWidth="1"/>
    <col min="11" max="11" width="6.5" style="416" customWidth="1"/>
    <col min="12" max="12" width="9.6640625" style="416" customWidth="1"/>
    <col min="13" max="13" width="5.6640625" style="416"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43"/>
      <c r="B1" s="543"/>
      <c r="C1" s="543"/>
      <c r="D1" s="543"/>
      <c r="E1" s="543"/>
      <c r="F1" s="543"/>
      <c r="G1" s="543"/>
      <c r="H1" s="543"/>
      <c r="I1" s="543"/>
      <c r="J1" s="543"/>
      <c r="K1" s="543"/>
      <c r="L1" s="543"/>
      <c r="M1" s="543"/>
      <c r="N1" s="543"/>
      <c r="O1" s="543"/>
      <c r="P1" s="543"/>
    </row>
    <row r="2" spans="1:16">
      <c r="A2" s="543"/>
      <c r="B2" s="543"/>
      <c r="C2" s="543"/>
      <c r="D2" s="543"/>
      <c r="E2" s="543"/>
      <c r="F2" s="543"/>
      <c r="G2" s="543"/>
      <c r="H2" s="543"/>
      <c r="I2" s="543"/>
      <c r="J2" s="543"/>
      <c r="K2" s="543"/>
      <c r="L2" s="543"/>
      <c r="M2" s="543"/>
      <c r="N2" s="543"/>
      <c r="O2" s="543"/>
      <c r="P2" s="543"/>
    </row>
    <row r="3" spans="1:16">
      <c r="A3" s="543"/>
      <c r="B3" s="543"/>
      <c r="C3" s="543"/>
      <c r="D3" s="543"/>
      <c r="E3" s="543"/>
      <c r="F3" s="543"/>
      <c r="G3" s="543"/>
      <c r="H3" s="543"/>
      <c r="I3" s="543"/>
      <c r="J3" s="543"/>
      <c r="K3" s="543"/>
      <c r="L3" s="543"/>
      <c r="M3" s="543"/>
      <c r="N3" s="543"/>
      <c r="O3" s="543"/>
      <c r="P3" s="543"/>
    </row>
    <row r="4" spans="1:16">
      <c r="A4" s="543"/>
      <c r="B4" s="543"/>
      <c r="C4" s="543"/>
      <c r="D4" s="543"/>
      <c r="E4" s="543"/>
      <c r="F4" s="543"/>
      <c r="G4" s="543"/>
      <c r="H4" s="543"/>
      <c r="I4" s="543"/>
      <c r="J4" s="543"/>
      <c r="K4" s="543"/>
      <c r="L4" s="543"/>
      <c r="M4" s="543"/>
      <c r="N4" s="543"/>
      <c r="O4" s="543"/>
      <c r="P4" s="543"/>
    </row>
    <row r="5" spans="1:16">
      <c r="A5" s="543"/>
      <c r="B5" s="543"/>
      <c r="C5" s="543"/>
      <c r="D5" s="543"/>
      <c r="E5" s="543"/>
      <c r="F5" s="543"/>
      <c r="G5" s="543"/>
      <c r="H5" s="543"/>
      <c r="I5" s="543"/>
      <c r="J5" s="543"/>
      <c r="K5" s="543"/>
      <c r="L5" s="543"/>
      <c r="M5" s="543"/>
      <c r="N5" s="543"/>
      <c r="O5" s="543"/>
      <c r="P5" s="543"/>
    </row>
    <row r="6" spans="1:16">
      <c r="A6" s="543"/>
      <c r="B6" s="543"/>
      <c r="C6" s="543"/>
      <c r="D6" s="543"/>
      <c r="E6" s="543"/>
      <c r="F6" s="543"/>
      <c r="G6" s="543"/>
      <c r="H6" s="543"/>
      <c r="I6" s="543"/>
      <c r="J6" s="543"/>
      <c r="K6" s="543"/>
      <c r="L6" s="543"/>
      <c r="M6" s="543"/>
      <c r="N6" s="543"/>
      <c r="O6" s="543"/>
      <c r="P6" s="543"/>
    </row>
    <row r="7" spans="1:16">
      <c r="A7" s="543"/>
      <c r="B7" s="543"/>
      <c r="C7" s="543"/>
      <c r="D7" s="543"/>
      <c r="E7" s="543"/>
      <c r="F7" s="543"/>
      <c r="G7" s="543"/>
      <c r="H7" s="543"/>
      <c r="I7" s="543"/>
      <c r="J7" s="543"/>
      <c r="K7" s="543"/>
      <c r="L7" s="543"/>
      <c r="M7" s="543"/>
      <c r="N7" s="543"/>
      <c r="O7" s="543"/>
      <c r="P7" s="543"/>
    </row>
    <row r="8" spans="1:16">
      <c r="A8" s="543"/>
      <c r="B8" s="543"/>
      <c r="C8" s="543"/>
      <c r="D8" s="543"/>
      <c r="E8" s="543"/>
      <c r="F8" s="543"/>
      <c r="G8" s="543"/>
      <c r="H8" s="543"/>
      <c r="I8" s="543"/>
      <c r="J8" s="543"/>
      <c r="K8" s="543"/>
      <c r="L8" s="543"/>
      <c r="M8" s="543"/>
      <c r="N8" s="543"/>
      <c r="O8" s="543"/>
      <c r="P8" s="543"/>
    </row>
    <row r="9" spans="1:16" ht="2.25" customHeight="1">
      <c r="A9" s="543"/>
      <c r="B9" s="543"/>
      <c r="C9" s="543"/>
      <c r="D9" s="543"/>
      <c r="E9" s="543"/>
      <c r="F9" s="543"/>
      <c r="G9" s="543"/>
      <c r="H9" s="543"/>
      <c r="I9" s="543"/>
      <c r="J9" s="543"/>
      <c r="K9" s="543"/>
      <c r="L9" s="543"/>
      <c r="M9" s="543"/>
      <c r="N9" s="543"/>
      <c r="O9" s="543"/>
      <c r="P9" s="543"/>
    </row>
    <row r="10" spans="1:16" hidden="1">
      <c r="A10" s="543"/>
      <c r="B10" s="543"/>
      <c r="C10" s="543"/>
      <c r="D10" s="543"/>
      <c r="E10" s="543"/>
      <c r="F10" s="543"/>
      <c r="G10" s="543"/>
      <c r="H10" s="543"/>
      <c r="I10" s="543"/>
      <c r="J10" s="543"/>
      <c r="K10" s="543"/>
      <c r="L10" s="543"/>
      <c r="M10" s="543"/>
      <c r="N10" s="543"/>
      <c r="O10" s="543"/>
      <c r="P10" s="543"/>
    </row>
    <row r="11" spans="1:16">
      <c r="A11" s="544" t="s">
        <v>212</v>
      </c>
      <c r="B11" s="546">
        <v>2000</v>
      </c>
      <c r="C11" s="548" t="s">
        <v>219</v>
      </c>
      <c r="D11" s="548" t="s">
        <v>556</v>
      </c>
      <c r="E11" s="551" t="s">
        <v>213</v>
      </c>
      <c r="F11" s="552"/>
      <c r="G11" s="546"/>
      <c r="H11" s="555" t="s">
        <v>557</v>
      </c>
      <c r="I11" s="556"/>
      <c r="J11" s="556"/>
      <c r="K11" s="556"/>
      <c r="L11" s="556"/>
      <c r="M11" s="556"/>
      <c r="N11" s="556"/>
      <c r="O11" s="557"/>
    </row>
    <row r="12" spans="1:16">
      <c r="A12" s="545"/>
      <c r="B12" s="547"/>
      <c r="C12" s="549"/>
      <c r="D12" s="549"/>
      <c r="E12" s="553"/>
      <c r="F12" s="554"/>
      <c r="G12" s="547"/>
      <c r="H12" s="554" t="s">
        <v>214</v>
      </c>
      <c r="I12" s="547"/>
      <c r="J12" s="553" t="s">
        <v>215</v>
      </c>
      <c r="K12" s="547"/>
      <c r="L12" s="553" t="s">
        <v>216</v>
      </c>
      <c r="M12" s="554"/>
      <c r="N12" s="554"/>
      <c r="O12" s="547"/>
    </row>
    <row r="13" spans="1:16" ht="67" thickBot="1">
      <c r="A13" s="210" t="s">
        <v>217</v>
      </c>
      <c r="B13" s="210" t="s">
        <v>218</v>
      </c>
      <c r="C13" s="550"/>
      <c r="D13" s="550"/>
      <c r="E13" s="410" t="s">
        <v>558</v>
      </c>
      <c r="F13" s="434" t="s">
        <v>559</v>
      </c>
      <c r="G13" s="211" t="s">
        <v>308</v>
      </c>
      <c r="H13" s="422" t="s">
        <v>360</v>
      </c>
      <c r="I13" s="434" t="s">
        <v>560</v>
      </c>
      <c r="J13" s="410" t="s">
        <v>360</v>
      </c>
      <c r="K13" s="434" t="s">
        <v>560</v>
      </c>
      <c r="L13" s="410" t="s">
        <v>360</v>
      </c>
      <c r="M13" s="434" t="s">
        <v>560</v>
      </c>
      <c r="N13" s="211" t="s">
        <v>58</v>
      </c>
      <c r="O13" s="211" t="s">
        <v>561</v>
      </c>
    </row>
    <row r="14" spans="1:16" ht="13" thickTop="1">
      <c r="A14" s="442" t="s">
        <v>562</v>
      </c>
      <c r="B14" s="442" t="s">
        <v>563</v>
      </c>
      <c r="C14" s="443">
        <v>0.85</v>
      </c>
      <c r="D14" s="444">
        <v>40</v>
      </c>
      <c r="E14" s="432">
        <v>4.29</v>
      </c>
      <c r="F14" s="445">
        <v>1.53</v>
      </c>
      <c r="G14" s="433">
        <v>0</v>
      </c>
      <c r="H14" s="446">
        <f t="shared" ref="H14:H32" si="0">E14/D14</f>
        <v>0.10725</v>
      </c>
      <c r="I14" s="433">
        <f t="shared" ref="I14:I32" si="1">F14+G14*8760/1000*C14</f>
        <v>1.53</v>
      </c>
      <c r="J14" s="447">
        <f t="shared" ref="J14:J32" si="2">H14/C14</f>
        <v>0.12617647058823531</v>
      </c>
      <c r="K14" s="433">
        <f t="shared" ref="K14:K32" si="3">I14/C14</f>
        <v>1.8</v>
      </c>
      <c r="L14" s="447">
        <f t="shared" ref="L14:M31" si="4">J14/8760*1000</f>
        <v>1.4403706688154716E-2</v>
      </c>
      <c r="M14" s="433">
        <f t="shared" si="4"/>
        <v>0.20547945205479454</v>
      </c>
      <c r="N14" s="448">
        <f t="shared" ref="N14:N32" si="5">SUM(L14:M14)</f>
        <v>0.21988315874294925</v>
      </c>
      <c r="O14" s="539">
        <f>AVERAGE(N14:N15)</f>
        <v>0.20532702121944668</v>
      </c>
    </row>
    <row r="15" spans="1:16" ht="13" thickBot="1">
      <c r="A15" s="222" t="s">
        <v>564</v>
      </c>
      <c r="B15" s="222" t="s">
        <v>565</v>
      </c>
      <c r="C15" s="223">
        <v>0.85</v>
      </c>
      <c r="D15" s="224">
        <v>40</v>
      </c>
      <c r="E15" s="225">
        <v>8.5</v>
      </c>
      <c r="F15" s="431">
        <v>0.24</v>
      </c>
      <c r="G15" s="526">
        <v>0.13</v>
      </c>
      <c r="H15" s="413">
        <f t="shared" si="0"/>
        <v>0.21249999999999999</v>
      </c>
      <c r="I15" s="526">
        <f t="shared" si="1"/>
        <v>1.2079800000000001</v>
      </c>
      <c r="J15" s="426">
        <f t="shared" si="2"/>
        <v>0.25</v>
      </c>
      <c r="K15" s="526">
        <f t="shared" si="3"/>
        <v>1.4211529411764707</v>
      </c>
      <c r="L15" s="426">
        <f t="shared" si="4"/>
        <v>2.8538812785388126E-2</v>
      </c>
      <c r="M15" s="526">
        <f t="shared" si="4"/>
        <v>0.16223207091055603</v>
      </c>
      <c r="N15" s="418">
        <f t="shared" si="5"/>
        <v>0.19077088369594414</v>
      </c>
      <c r="O15" s="540"/>
    </row>
    <row r="16" spans="1:16">
      <c r="A16" s="226" t="s">
        <v>566</v>
      </c>
      <c r="B16" s="226" t="s">
        <v>567</v>
      </c>
      <c r="C16" s="227">
        <v>0.9</v>
      </c>
      <c r="D16" s="228">
        <v>40</v>
      </c>
      <c r="E16" s="229">
        <f>36000/5600</f>
        <v>6.4285714285714288</v>
      </c>
      <c r="F16" s="463">
        <f>10000/5600</f>
        <v>1.7857142857142858</v>
      </c>
      <c r="G16" s="229">
        <v>0</v>
      </c>
      <c r="H16" s="411">
        <f t="shared" si="0"/>
        <v>0.16071428571428573</v>
      </c>
      <c r="I16" s="527">
        <f t="shared" si="1"/>
        <v>1.7857142857142858</v>
      </c>
      <c r="J16" s="427">
        <f t="shared" si="2"/>
        <v>0.17857142857142858</v>
      </c>
      <c r="K16" s="527">
        <f t="shared" si="3"/>
        <v>1.9841269841269842</v>
      </c>
      <c r="L16" s="427">
        <f t="shared" si="4"/>
        <v>2.0384866275277233E-2</v>
      </c>
      <c r="M16" s="527">
        <f t="shared" si="4"/>
        <v>0.22649851416974706</v>
      </c>
      <c r="N16" s="420">
        <f t="shared" si="5"/>
        <v>0.24688338044502428</v>
      </c>
      <c r="O16" s="541">
        <f>AVERAGE(N16:N18)</f>
        <v>0.24750247638375492</v>
      </c>
    </row>
    <row r="17" spans="1:15">
      <c r="A17" s="216" t="s">
        <v>568</v>
      </c>
      <c r="B17" s="216" t="s">
        <v>312</v>
      </c>
      <c r="C17" s="217">
        <v>0.9</v>
      </c>
      <c r="D17" s="218">
        <v>40</v>
      </c>
      <c r="E17" s="215">
        <v>17.5</v>
      </c>
      <c r="F17" s="525">
        <v>1.7</v>
      </c>
      <c r="G17" s="215">
        <v>0</v>
      </c>
      <c r="H17" s="524">
        <f>E17/D17</f>
        <v>0.4375</v>
      </c>
      <c r="I17" s="528">
        <f>F17+G17*8760/1000*C17</f>
        <v>1.7</v>
      </c>
      <c r="J17" s="428">
        <f>H17/C17</f>
        <v>0.4861111111111111</v>
      </c>
      <c r="K17" s="528">
        <f>I17/C17</f>
        <v>1.8888888888888888</v>
      </c>
      <c r="L17" s="428">
        <f t="shared" si="4"/>
        <v>5.5492135971588023E-2</v>
      </c>
      <c r="M17" s="528">
        <f t="shared" si="4"/>
        <v>0.21562658548959918</v>
      </c>
      <c r="N17" s="419">
        <f>SUM(L17:M17)</f>
        <v>0.27111872146118721</v>
      </c>
      <c r="O17" s="542"/>
    </row>
    <row r="18" spans="1:15" ht="13" thickBot="1">
      <c r="A18" s="450" t="s">
        <v>569</v>
      </c>
      <c r="B18" s="450" t="s">
        <v>563</v>
      </c>
      <c r="C18" s="451">
        <v>0.9</v>
      </c>
      <c r="D18" s="452">
        <v>40</v>
      </c>
      <c r="E18" s="437">
        <v>4</v>
      </c>
      <c r="F18" s="449">
        <v>1.67</v>
      </c>
      <c r="G18" s="437">
        <v>0</v>
      </c>
      <c r="H18" s="453">
        <f>E18/D18</f>
        <v>0.1</v>
      </c>
      <c r="I18" s="438">
        <f>F18+G18*8760/1000*C18</f>
        <v>1.67</v>
      </c>
      <c r="J18" s="440">
        <f>H18/C18</f>
        <v>0.11111111111111112</v>
      </c>
      <c r="K18" s="438">
        <f>I18/C18</f>
        <v>1.8555555555555554</v>
      </c>
      <c r="L18" s="440">
        <f t="shared" si="4"/>
        <v>1.2683916793505836E-2</v>
      </c>
      <c r="M18" s="438">
        <f t="shared" si="4"/>
        <v>0.21182141045154743</v>
      </c>
      <c r="N18" s="441">
        <f>SUM(L18:M18)</f>
        <v>0.22450532724505326</v>
      </c>
      <c r="O18" s="540"/>
    </row>
    <row r="19" spans="1:15">
      <c r="A19" s="226" t="s">
        <v>570</v>
      </c>
      <c r="B19" s="226" t="s">
        <v>312</v>
      </c>
      <c r="C19" s="227">
        <v>0.85</v>
      </c>
      <c r="D19" s="228">
        <v>40</v>
      </c>
      <c r="E19" s="229">
        <v>21.3</v>
      </c>
      <c r="F19" s="463">
        <v>7.8</v>
      </c>
      <c r="G19" s="229">
        <v>0</v>
      </c>
      <c r="H19" s="411">
        <f>E19/D19</f>
        <v>0.53249999999999997</v>
      </c>
      <c r="I19" s="527">
        <f>F19+G19*8760/1000*C19</f>
        <v>7.8</v>
      </c>
      <c r="J19" s="427">
        <f>H19/C19</f>
        <v>0.62647058823529411</v>
      </c>
      <c r="K19" s="527">
        <f>I19/C19</f>
        <v>9.1764705882352935</v>
      </c>
      <c r="L19" s="427">
        <f t="shared" si="4"/>
        <v>7.1514907332796127E-2</v>
      </c>
      <c r="M19" s="527">
        <f t="shared" si="4"/>
        <v>1.0475423045930701</v>
      </c>
      <c r="N19" s="420">
        <f>SUM(L19:M19)</f>
        <v>1.1190572119258662</v>
      </c>
      <c r="O19" s="541">
        <f>AVERAGE(N19:N20)</f>
        <v>0.71885911899006172</v>
      </c>
    </row>
    <row r="20" spans="1:15" ht="13" thickBot="1">
      <c r="A20" s="450" t="s">
        <v>571</v>
      </c>
      <c r="B20" s="450" t="s">
        <v>563</v>
      </c>
      <c r="C20" s="451">
        <v>0.85</v>
      </c>
      <c r="D20" s="452">
        <v>40</v>
      </c>
      <c r="E20" s="437">
        <v>3.71</v>
      </c>
      <c r="F20" s="449">
        <v>2.2799999999999998</v>
      </c>
      <c r="G20" s="437">
        <v>0</v>
      </c>
      <c r="H20" s="453">
        <f t="shared" si="0"/>
        <v>9.2749999999999999E-2</v>
      </c>
      <c r="I20" s="438">
        <f t="shared" si="1"/>
        <v>2.2799999999999998</v>
      </c>
      <c r="J20" s="440">
        <f t="shared" si="2"/>
        <v>0.10911764705882353</v>
      </c>
      <c r="K20" s="438">
        <f t="shared" si="3"/>
        <v>2.6823529411764704</v>
      </c>
      <c r="L20" s="440">
        <f t="shared" si="4"/>
        <v>1.2456352403975288E-2</v>
      </c>
      <c r="M20" s="438">
        <f t="shared" si="4"/>
        <v>0.30620467365028203</v>
      </c>
      <c r="N20" s="441">
        <f t="shared" si="5"/>
        <v>0.31866102605425733</v>
      </c>
      <c r="O20" s="540"/>
    </row>
    <row r="21" spans="1:15" ht="13" thickBot="1">
      <c r="A21" s="230" t="s">
        <v>572</v>
      </c>
      <c r="B21" s="230" t="s">
        <v>563</v>
      </c>
      <c r="C21" s="231">
        <v>0.55000000000000004</v>
      </c>
      <c r="D21" s="232">
        <v>40</v>
      </c>
      <c r="E21" s="233">
        <v>5.71</v>
      </c>
      <c r="F21" s="461">
        <v>1.1399999999999999</v>
      </c>
      <c r="G21" s="233">
        <v>0</v>
      </c>
      <c r="H21" s="412">
        <f t="shared" si="0"/>
        <v>0.14274999999999999</v>
      </c>
      <c r="I21" s="234">
        <f t="shared" si="1"/>
        <v>1.1399999999999999</v>
      </c>
      <c r="J21" s="429">
        <f t="shared" si="2"/>
        <v>0.25954545454545452</v>
      </c>
      <c r="K21" s="234">
        <f t="shared" si="3"/>
        <v>2.0727272727272723</v>
      </c>
      <c r="L21" s="429">
        <f t="shared" si="4"/>
        <v>2.9628476546284761E-2</v>
      </c>
      <c r="M21" s="234">
        <f t="shared" si="4"/>
        <v>0.236612702366127</v>
      </c>
      <c r="N21" s="421">
        <f t="shared" si="5"/>
        <v>0.26624117891241178</v>
      </c>
      <c r="O21" s="234">
        <f>N21</f>
        <v>0.26624117891241178</v>
      </c>
    </row>
    <row r="22" spans="1:15">
      <c r="A22" s="235" t="s">
        <v>309</v>
      </c>
      <c r="B22" s="235" t="s">
        <v>573</v>
      </c>
      <c r="C22" s="236">
        <v>0.2</v>
      </c>
      <c r="D22" s="237">
        <v>25</v>
      </c>
      <c r="E22" s="238">
        <v>37</v>
      </c>
      <c r="F22" s="467">
        <v>1</v>
      </c>
      <c r="G22" s="238">
        <v>0</v>
      </c>
      <c r="H22" s="423">
        <f>E22/D22</f>
        <v>1.48</v>
      </c>
      <c r="I22" s="529">
        <f>F22+G22*8760/1000*C22</f>
        <v>1</v>
      </c>
      <c r="J22" s="430">
        <f>H22/C22</f>
        <v>7.3999999999999995</v>
      </c>
      <c r="K22" s="529">
        <f>I22/C22</f>
        <v>5</v>
      </c>
      <c r="L22" s="430">
        <f>J22/8760*1000</f>
        <v>0.84474885844748848</v>
      </c>
      <c r="M22" s="529">
        <f>K22/8760*1000</f>
        <v>0.57077625570776247</v>
      </c>
      <c r="N22" s="425">
        <f>SUM(L22:M22)</f>
        <v>1.415525114155251</v>
      </c>
      <c r="O22" s="561">
        <f>N39</f>
        <v>0.79313246811604099</v>
      </c>
    </row>
    <row r="23" spans="1:15">
      <c r="A23" s="454" t="s">
        <v>310</v>
      </c>
      <c r="B23" s="454" t="s">
        <v>221</v>
      </c>
      <c r="C23" s="455">
        <v>0.2</v>
      </c>
      <c r="D23" s="456">
        <v>25</v>
      </c>
      <c r="E23" s="457">
        <v>32.340000000000003</v>
      </c>
      <c r="F23" s="466">
        <v>0.37</v>
      </c>
      <c r="G23" s="457">
        <v>0</v>
      </c>
      <c r="H23" s="458">
        <f t="shared" si="0"/>
        <v>1.2936000000000001</v>
      </c>
      <c r="I23" s="523">
        <f t="shared" si="1"/>
        <v>0.37</v>
      </c>
      <c r="J23" s="459">
        <f t="shared" si="2"/>
        <v>6.468</v>
      </c>
      <c r="K23" s="523">
        <f t="shared" si="3"/>
        <v>1.8499999999999999</v>
      </c>
      <c r="L23" s="459">
        <f t="shared" si="4"/>
        <v>0.73835616438356166</v>
      </c>
      <c r="M23" s="523">
        <f t="shared" si="4"/>
        <v>0.21118721461187212</v>
      </c>
      <c r="N23" s="460">
        <f t="shared" si="5"/>
        <v>0.94954337899543373</v>
      </c>
      <c r="O23" s="562"/>
    </row>
    <row r="24" spans="1:15" ht="13" thickBot="1">
      <c r="A24" s="450" t="s">
        <v>311</v>
      </c>
      <c r="B24" s="450" t="s">
        <v>563</v>
      </c>
      <c r="C24" s="451">
        <v>0.2</v>
      </c>
      <c r="D24" s="450">
        <v>25</v>
      </c>
      <c r="E24" s="437">
        <v>7.14</v>
      </c>
      <c r="F24" s="449">
        <v>0.12</v>
      </c>
      <c r="G24" s="464">
        <v>0</v>
      </c>
      <c r="H24" s="453">
        <f t="shared" si="0"/>
        <v>0.28559999999999997</v>
      </c>
      <c r="I24" s="437">
        <f t="shared" si="1"/>
        <v>0.12</v>
      </c>
      <c r="J24" s="449">
        <f t="shared" si="2"/>
        <v>1.4279999999999997</v>
      </c>
      <c r="K24" s="437">
        <f t="shared" si="3"/>
        <v>0.6</v>
      </c>
      <c r="L24" s="449">
        <f t="shared" si="4"/>
        <v>0.16301369863013696</v>
      </c>
      <c r="M24" s="437">
        <f t="shared" si="4"/>
        <v>6.8493150684931503E-2</v>
      </c>
      <c r="N24" s="465">
        <f t="shared" si="5"/>
        <v>0.23150684931506846</v>
      </c>
      <c r="O24" s="563"/>
    </row>
    <row r="25" spans="1:15">
      <c r="A25" s="226" t="s">
        <v>434</v>
      </c>
      <c r="B25" s="226" t="s">
        <v>438</v>
      </c>
      <c r="C25" s="239">
        <v>0.4</v>
      </c>
      <c r="D25" s="228">
        <v>25</v>
      </c>
      <c r="E25" s="229">
        <f>10310/1000</f>
        <v>10.31</v>
      </c>
      <c r="F25" s="463">
        <v>1</v>
      </c>
      <c r="G25" s="229">
        <v>0</v>
      </c>
      <c r="H25" s="423">
        <f t="shared" si="0"/>
        <v>0.41240000000000004</v>
      </c>
      <c r="I25" s="529">
        <f t="shared" si="1"/>
        <v>1</v>
      </c>
      <c r="J25" s="430">
        <f t="shared" si="2"/>
        <v>1.0310000000000001</v>
      </c>
      <c r="K25" s="529">
        <f t="shared" si="3"/>
        <v>2.5</v>
      </c>
      <c r="L25" s="430">
        <f t="shared" si="4"/>
        <v>0.11769406392694066</v>
      </c>
      <c r="M25" s="529">
        <f t="shared" si="4"/>
        <v>0.28538812785388123</v>
      </c>
      <c r="N25" s="425">
        <f t="shared" si="5"/>
        <v>0.40308219178082189</v>
      </c>
      <c r="O25" s="541">
        <f>AVERAGE(N25:N26,N27)</f>
        <v>0.23028919330289191</v>
      </c>
    </row>
    <row r="26" spans="1:15">
      <c r="A26" s="213" t="s">
        <v>435</v>
      </c>
      <c r="B26" s="213" t="s">
        <v>437</v>
      </c>
      <c r="C26" s="219">
        <v>0.4</v>
      </c>
      <c r="D26" s="214">
        <v>25</v>
      </c>
      <c r="E26" s="215">
        <v>4.5</v>
      </c>
      <c r="F26" s="525">
        <v>0.38</v>
      </c>
      <c r="G26" s="528">
        <v>0</v>
      </c>
      <c r="H26" s="414">
        <f t="shared" si="0"/>
        <v>0.18</v>
      </c>
      <c r="I26" s="528">
        <f t="shared" si="1"/>
        <v>0.38</v>
      </c>
      <c r="J26" s="428">
        <f t="shared" si="2"/>
        <v>0.44999999999999996</v>
      </c>
      <c r="K26" s="528">
        <f t="shared" si="3"/>
        <v>0.95</v>
      </c>
      <c r="L26" s="428">
        <f t="shared" si="4"/>
        <v>5.1369863013698627E-2</v>
      </c>
      <c r="M26" s="528">
        <f t="shared" si="4"/>
        <v>0.10844748858447488</v>
      </c>
      <c r="N26" s="419">
        <f t="shared" si="5"/>
        <v>0.15981735159817351</v>
      </c>
      <c r="O26" s="542"/>
    </row>
    <row r="27" spans="1:15" ht="13" thickBot="1">
      <c r="A27" s="435" t="s">
        <v>436</v>
      </c>
      <c r="B27" s="435" t="s">
        <v>563</v>
      </c>
      <c r="C27" s="462">
        <v>0.4</v>
      </c>
      <c r="D27" s="435">
        <v>25</v>
      </c>
      <c r="E27" s="438">
        <v>5.71</v>
      </c>
      <c r="F27" s="440">
        <v>0.22</v>
      </c>
      <c r="G27" s="464">
        <v>0</v>
      </c>
      <c r="H27" s="439">
        <f t="shared" si="0"/>
        <v>0.22839999999999999</v>
      </c>
      <c r="I27" s="438">
        <f t="shared" si="1"/>
        <v>0.22</v>
      </c>
      <c r="J27" s="440">
        <f t="shared" si="2"/>
        <v>0.57099999999999995</v>
      </c>
      <c r="K27" s="438">
        <f t="shared" si="3"/>
        <v>0.54999999999999993</v>
      </c>
      <c r="L27" s="440">
        <f t="shared" si="4"/>
        <v>6.5182648401826485E-2</v>
      </c>
      <c r="M27" s="438">
        <f t="shared" si="4"/>
        <v>6.2785388127853878E-2</v>
      </c>
      <c r="N27" s="441">
        <f t="shared" si="5"/>
        <v>0.12796803652968036</v>
      </c>
      <c r="O27" s="540"/>
    </row>
    <row r="28" spans="1:15">
      <c r="A28" s="240" t="s">
        <v>574</v>
      </c>
      <c r="B28" s="240" t="s">
        <v>362</v>
      </c>
      <c r="C28" s="239">
        <v>0.35</v>
      </c>
      <c r="D28" s="228">
        <v>25</v>
      </c>
      <c r="E28" s="229">
        <v>10.1</v>
      </c>
      <c r="F28" s="463">
        <v>0.4</v>
      </c>
      <c r="G28" s="527">
        <v>0</v>
      </c>
      <c r="H28" s="424">
        <f t="shared" si="0"/>
        <v>0.40399999999999997</v>
      </c>
      <c r="I28" s="527">
        <f t="shared" si="1"/>
        <v>0.4</v>
      </c>
      <c r="J28" s="427">
        <f t="shared" si="2"/>
        <v>1.1542857142857144</v>
      </c>
      <c r="K28" s="527">
        <f t="shared" si="3"/>
        <v>1.142857142857143</v>
      </c>
      <c r="L28" s="427">
        <f t="shared" si="4"/>
        <v>0.13176777560339206</v>
      </c>
      <c r="M28" s="527">
        <f t="shared" si="4"/>
        <v>0.13046314416177432</v>
      </c>
      <c r="N28" s="420">
        <f t="shared" si="5"/>
        <v>0.26223091976516638</v>
      </c>
      <c r="O28" s="541">
        <f>AVERAGE(N28,N29,N30:N32)</f>
        <v>0.16974559686888452</v>
      </c>
    </row>
    <row r="29" spans="1:15">
      <c r="A29" s="213" t="s">
        <v>220</v>
      </c>
      <c r="B29" s="213" t="s">
        <v>221</v>
      </c>
      <c r="C29" s="219">
        <v>0.35</v>
      </c>
      <c r="D29" s="218">
        <v>25</v>
      </c>
      <c r="E29" s="215">
        <v>3.8</v>
      </c>
      <c r="F29" s="525">
        <v>0.14399999999999999</v>
      </c>
      <c r="G29" s="528">
        <v>0</v>
      </c>
      <c r="H29" s="414">
        <f t="shared" si="0"/>
        <v>0.152</v>
      </c>
      <c r="I29" s="528">
        <f t="shared" si="1"/>
        <v>0.14399999999999999</v>
      </c>
      <c r="J29" s="428">
        <f t="shared" si="2"/>
        <v>0.43428571428571427</v>
      </c>
      <c r="K29" s="528">
        <f t="shared" si="3"/>
        <v>0.41142857142857142</v>
      </c>
      <c r="L29" s="428">
        <f t="shared" si="4"/>
        <v>4.9575994781474238E-2</v>
      </c>
      <c r="M29" s="528">
        <f t="shared" si="4"/>
        <v>4.6966731898238752E-2</v>
      </c>
      <c r="N29" s="419">
        <f t="shared" si="5"/>
        <v>9.654272667971299E-2</v>
      </c>
      <c r="O29" s="542"/>
    </row>
    <row r="30" spans="1:15">
      <c r="A30" s="213" t="s">
        <v>361</v>
      </c>
      <c r="B30" s="213" t="s">
        <v>575</v>
      </c>
      <c r="C30" s="219">
        <v>0.35</v>
      </c>
      <c r="D30" s="214">
        <v>25</v>
      </c>
      <c r="E30" s="528">
        <v>10.96</v>
      </c>
      <c r="F30" s="428">
        <v>0.17499999999999999</v>
      </c>
      <c r="G30" s="528">
        <v>0</v>
      </c>
      <c r="H30" s="414">
        <f t="shared" si="0"/>
        <v>0.43840000000000001</v>
      </c>
      <c r="I30" s="528">
        <f t="shared" si="1"/>
        <v>0.17499999999999999</v>
      </c>
      <c r="J30" s="428">
        <f t="shared" si="2"/>
        <v>1.2525714285714287</v>
      </c>
      <c r="K30" s="528">
        <f t="shared" si="3"/>
        <v>0.5</v>
      </c>
      <c r="L30" s="428">
        <f t="shared" si="4"/>
        <v>0.14298760600130464</v>
      </c>
      <c r="M30" s="528">
        <f t="shared" si="4"/>
        <v>5.7077625570776253E-2</v>
      </c>
      <c r="N30" s="419">
        <f t="shared" si="5"/>
        <v>0.20006523157208089</v>
      </c>
      <c r="O30" s="542"/>
    </row>
    <row r="31" spans="1:15">
      <c r="A31" s="213" t="s">
        <v>576</v>
      </c>
      <c r="B31" s="213" t="s">
        <v>312</v>
      </c>
      <c r="C31" s="219">
        <v>0.35</v>
      </c>
      <c r="D31" s="214">
        <v>25</v>
      </c>
      <c r="E31" s="528">
        <v>7.4</v>
      </c>
      <c r="F31" s="428">
        <v>0.2</v>
      </c>
      <c r="G31" s="528">
        <v>0</v>
      </c>
      <c r="H31" s="414">
        <f t="shared" si="0"/>
        <v>0.29600000000000004</v>
      </c>
      <c r="I31" s="528">
        <f t="shared" si="1"/>
        <v>0.2</v>
      </c>
      <c r="J31" s="428">
        <f t="shared" si="2"/>
        <v>0.84571428571428586</v>
      </c>
      <c r="K31" s="528">
        <f t="shared" si="3"/>
        <v>0.57142857142857151</v>
      </c>
      <c r="L31" s="428">
        <f t="shared" si="4"/>
        <v>9.6542726679713003E-2</v>
      </c>
      <c r="M31" s="528">
        <f t="shared" si="4"/>
        <v>6.523157208088716E-2</v>
      </c>
      <c r="N31" s="419">
        <f t="shared" si="5"/>
        <v>0.16177429876060018</v>
      </c>
      <c r="O31" s="542"/>
    </row>
    <row r="32" spans="1:15" ht="13" thickBot="1">
      <c r="A32" s="435" t="s">
        <v>577</v>
      </c>
      <c r="B32" s="435" t="s">
        <v>563</v>
      </c>
      <c r="C32" s="462">
        <v>0.35</v>
      </c>
      <c r="D32" s="436">
        <v>25</v>
      </c>
      <c r="E32" s="438">
        <v>2.57</v>
      </c>
      <c r="F32" s="440">
        <v>0.28999999999999998</v>
      </c>
      <c r="G32" s="438">
        <v>0</v>
      </c>
      <c r="H32" s="439">
        <f t="shared" si="0"/>
        <v>0.10279999999999999</v>
      </c>
      <c r="I32" s="438">
        <f t="shared" si="1"/>
        <v>0.28999999999999998</v>
      </c>
      <c r="J32" s="440">
        <f t="shared" si="2"/>
        <v>0.29371428571428571</v>
      </c>
      <c r="K32" s="438">
        <f t="shared" si="3"/>
        <v>0.82857142857142851</v>
      </c>
      <c r="L32" s="440">
        <f>J32/8760*1000</f>
        <v>3.3529028049575992E-2</v>
      </c>
      <c r="M32" s="438">
        <f>K32/8760*1000</f>
        <v>9.4585779517286361E-2</v>
      </c>
      <c r="N32" s="441">
        <f t="shared" si="5"/>
        <v>0.12811480756686236</v>
      </c>
      <c r="O32" s="540"/>
    </row>
    <row r="33" spans="1:15" ht="23" thickBot="1">
      <c r="A33" s="230" t="s">
        <v>431</v>
      </c>
      <c r="B33" s="230" t="s">
        <v>432</v>
      </c>
      <c r="C33" s="231">
        <v>0.8</v>
      </c>
      <c r="D33" s="232">
        <v>40</v>
      </c>
      <c r="E33" s="233">
        <v>20.48</v>
      </c>
      <c r="F33" s="461">
        <v>0.31</v>
      </c>
      <c r="G33" s="233">
        <v>0.06</v>
      </c>
      <c r="H33" s="412">
        <v>0.51200000000000001</v>
      </c>
      <c r="I33" s="234">
        <v>0.73048000000000002</v>
      </c>
      <c r="J33" s="429">
        <v>0.64</v>
      </c>
      <c r="K33" s="234">
        <v>0.91310000000000002</v>
      </c>
      <c r="L33" s="429">
        <v>7.3059360730593603E-2</v>
      </c>
      <c r="M33" s="234">
        <v>0.10423515981735161</v>
      </c>
      <c r="N33" s="421">
        <v>0.1772945205479452</v>
      </c>
      <c r="O33" s="234">
        <f>N33</f>
        <v>0.1772945205479452</v>
      </c>
    </row>
    <row r="34" spans="1:15" ht="13" thickBot="1">
      <c r="A34" s="230" t="s">
        <v>225</v>
      </c>
      <c r="B34" s="230" t="s">
        <v>433</v>
      </c>
      <c r="C34" s="231">
        <v>0.9</v>
      </c>
      <c r="D34" s="232">
        <v>40</v>
      </c>
      <c r="E34" s="233">
        <v>15.2</v>
      </c>
      <c r="F34" s="461">
        <v>0.7</v>
      </c>
      <c r="G34" s="233">
        <v>0</v>
      </c>
      <c r="H34" s="415">
        <f>E34/D34</f>
        <v>0.38</v>
      </c>
      <c r="I34" s="234">
        <f>F34+G34*8760/1000*C34</f>
        <v>0.7</v>
      </c>
      <c r="J34" s="429">
        <f>H34/C34</f>
        <v>0.42222222222222222</v>
      </c>
      <c r="K34" s="234">
        <f>I34/C34</f>
        <v>0.77777777777777768</v>
      </c>
      <c r="L34" s="429">
        <f t="shared" ref="L34:M36" si="6">J34/8760*1000</f>
        <v>4.8198883815322169E-2</v>
      </c>
      <c r="M34" s="234">
        <f t="shared" si="6"/>
        <v>8.8787417554540837E-2</v>
      </c>
      <c r="N34" s="421">
        <f>SUM(L34:M34)</f>
        <v>0.13698630136986301</v>
      </c>
      <c r="O34" s="234">
        <f>N34</f>
        <v>0.13698630136986301</v>
      </c>
    </row>
    <row r="35" spans="1:15" ht="13" thickBot="1">
      <c r="A35" s="241" t="s">
        <v>142</v>
      </c>
      <c r="B35" s="241" t="s">
        <v>223</v>
      </c>
      <c r="C35" s="242">
        <v>0.8</v>
      </c>
      <c r="D35" s="243">
        <v>40</v>
      </c>
      <c r="E35" s="234">
        <v>8.5</v>
      </c>
      <c r="F35" s="429">
        <v>0.18</v>
      </c>
      <c r="G35" s="234">
        <v>5.8999999999999997E-2</v>
      </c>
      <c r="H35" s="415">
        <f>E35/D35</f>
        <v>0.21249999999999999</v>
      </c>
      <c r="I35" s="234">
        <v>0.59</v>
      </c>
      <c r="J35" s="429">
        <f>H35/C35</f>
        <v>0.265625</v>
      </c>
      <c r="K35" s="234">
        <f>I35/C35</f>
        <v>0.73749999999999993</v>
      </c>
      <c r="L35" s="429">
        <f t="shared" si="6"/>
        <v>3.0322488584474887E-2</v>
      </c>
      <c r="M35" s="234">
        <f t="shared" si="6"/>
        <v>8.4189497716894962E-2</v>
      </c>
      <c r="N35" s="421">
        <f>SUM(L35:M35)</f>
        <v>0.11451198630136986</v>
      </c>
      <c r="O35" s="234">
        <f>N35</f>
        <v>0.11451198630136986</v>
      </c>
    </row>
    <row r="36" spans="1:15" ht="13" thickBot="1">
      <c r="A36" s="241" t="s">
        <v>222</v>
      </c>
      <c r="B36" s="241" t="s">
        <v>312</v>
      </c>
      <c r="C36" s="242">
        <v>0.85</v>
      </c>
      <c r="D36" s="243">
        <v>40</v>
      </c>
      <c r="E36" s="234">
        <v>1.02</v>
      </c>
      <c r="F36" s="429">
        <v>0.1</v>
      </c>
      <c r="G36" s="234">
        <v>0.09</v>
      </c>
      <c r="H36" s="415">
        <f>E36/D36</f>
        <v>2.5500000000000002E-2</v>
      </c>
      <c r="I36" s="234">
        <f>F36+G36*8760/1000*C36</f>
        <v>0.77013999999999994</v>
      </c>
      <c r="J36" s="429">
        <f>H36/C36</f>
        <v>3.0000000000000002E-2</v>
      </c>
      <c r="K36" s="234">
        <f>I36/C36</f>
        <v>0.90604705882352932</v>
      </c>
      <c r="L36" s="429">
        <f t="shared" si="6"/>
        <v>3.4246575342465756E-3</v>
      </c>
      <c r="M36" s="234">
        <f t="shared" si="6"/>
        <v>0.10343002954606499</v>
      </c>
      <c r="N36" s="421">
        <f>SUM(L36:M36)</f>
        <v>0.10685468708031157</v>
      </c>
      <c r="O36" s="234">
        <f>N36</f>
        <v>0.10685468708031157</v>
      </c>
    </row>
    <row r="37" spans="1:15">
      <c r="A37" s="212" t="s">
        <v>427</v>
      </c>
      <c r="B37" s="212" t="s">
        <v>429</v>
      </c>
      <c r="C37" s="244">
        <v>1</v>
      </c>
      <c r="D37" s="221">
        <v>20</v>
      </c>
      <c r="E37" s="531" t="s">
        <v>0</v>
      </c>
      <c r="F37" s="532"/>
      <c r="G37" s="532"/>
      <c r="H37" s="532"/>
      <c r="I37" s="532"/>
      <c r="J37" s="532"/>
      <c r="K37" s="532"/>
      <c r="L37" s="532"/>
      <c r="M37" s="533"/>
      <c r="N37" s="417">
        <v>0.17</v>
      </c>
      <c r="O37" s="534">
        <f>AVERAGE(N37,N38)</f>
        <v>0.38</v>
      </c>
    </row>
    <row r="38" spans="1:15">
      <c r="A38" s="213" t="s">
        <v>428</v>
      </c>
      <c r="B38" s="213" t="s">
        <v>430</v>
      </c>
      <c r="C38" s="220">
        <v>1</v>
      </c>
      <c r="D38" s="214">
        <v>20</v>
      </c>
      <c r="E38" s="536" t="s">
        <v>0</v>
      </c>
      <c r="F38" s="537"/>
      <c r="G38" s="537"/>
      <c r="H38" s="537"/>
      <c r="I38" s="537"/>
      <c r="J38" s="537"/>
      <c r="K38" s="537"/>
      <c r="L38" s="537"/>
      <c r="M38" s="538"/>
      <c r="N38" s="419">
        <v>0.59</v>
      </c>
      <c r="O38" s="535"/>
    </row>
    <row r="39" spans="1:15">
      <c r="A39" s="81" t="s">
        <v>758</v>
      </c>
      <c r="B39" s="81" t="s">
        <v>759</v>
      </c>
      <c r="C39" s="564">
        <v>0.2</v>
      </c>
      <c r="D39" s="81">
        <v>25</v>
      </c>
      <c r="E39" s="416">
        <f>(97031+32490+15112+20185)/B40</f>
        <v>14.698366579021558</v>
      </c>
      <c r="F39" s="416">
        <f>(8989)/B40</f>
        <v>0.80163342097844159</v>
      </c>
      <c r="G39" s="81">
        <v>0</v>
      </c>
      <c r="H39" s="416">
        <f>E39/D39</f>
        <v>0.58793466316086229</v>
      </c>
      <c r="I39" s="416">
        <f>F39</f>
        <v>0.80163342097844159</v>
      </c>
      <c r="J39" s="416">
        <f>H39/C39</f>
        <v>2.9396733158043111</v>
      </c>
      <c r="K39" s="416">
        <f>I39/C39</f>
        <v>4.0081671048922081</v>
      </c>
      <c r="L39" s="416">
        <f>J39/8760*1000</f>
        <v>0.33557914563976154</v>
      </c>
      <c r="M39" s="416">
        <f>K39/8760*1000</f>
        <v>0.4575533224762795</v>
      </c>
      <c r="N39" s="81">
        <f>L39+M39</f>
        <v>0.79313246811604099</v>
      </c>
    </row>
    <row r="40" spans="1:15">
      <c r="B40" s="81">
        <f>173807/15.5</f>
        <v>11213.354838709678</v>
      </c>
    </row>
    <row r="41" spans="1:15">
      <c r="N41" s="565"/>
    </row>
  </sheetData>
  <mergeCells count="19">
    <mergeCell ref="A1:P10"/>
    <mergeCell ref="A11:A12"/>
    <mergeCell ref="B11:B12"/>
    <mergeCell ref="C11:C13"/>
    <mergeCell ref="D11:D13"/>
    <mergeCell ref="E11:G12"/>
    <mergeCell ref="H11:O11"/>
    <mergeCell ref="H12:I12"/>
    <mergeCell ref="J12:K12"/>
    <mergeCell ref="L12:O12"/>
    <mergeCell ref="E37:M37"/>
    <mergeCell ref="O37:O38"/>
    <mergeCell ref="E38:M38"/>
    <mergeCell ref="O14:O15"/>
    <mergeCell ref="O16:O18"/>
    <mergeCell ref="O19:O20"/>
    <mergeCell ref="O22:O24"/>
    <mergeCell ref="O25:O27"/>
    <mergeCell ref="O28:O3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58"/>
      <c r="C1" s="558"/>
      <c r="D1" s="558"/>
      <c r="E1" s="558"/>
      <c r="F1" s="558"/>
      <c r="G1" s="558"/>
      <c r="H1" s="558"/>
      <c r="I1" s="558"/>
      <c r="J1" s="558"/>
      <c r="K1" s="558"/>
      <c r="L1" s="558"/>
    </row>
    <row r="2" spans="1:12">
      <c r="B2" s="558"/>
      <c r="C2" s="558"/>
      <c r="D2" s="558"/>
      <c r="E2" s="558"/>
      <c r="F2" s="558"/>
      <c r="G2" s="558"/>
      <c r="H2" s="558"/>
      <c r="I2" s="558"/>
      <c r="J2" s="558"/>
      <c r="K2" s="558"/>
      <c r="L2" s="558"/>
    </row>
    <row r="3" spans="1:12">
      <c r="B3" s="558"/>
      <c r="C3" s="558"/>
      <c r="D3" s="558"/>
      <c r="E3" s="558"/>
      <c r="F3" s="558"/>
      <c r="G3" s="558"/>
      <c r="H3" s="558"/>
      <c r="I3" s="558"/>
      <c r="J3" s="558"/>
      <c r="K3" s="558"/>
      <c r="L3" s="558"/>
    </row>
    <row r="4" spans="1:12">
      <c r="B4" s="558"/>
      <c r="C4" s="558"/>
      <c r="D4" s="558"/>
      <c r="E4" s="558"/>
      <c r="F4" s="558"/>
      <c r="G4" s="558"/>
      <c r="H4" s="558"/>
      <c r="I4" s="558"/>
      <c r="J4" s="558"/>
      <c r="K4" s="558"/>
      <c r="L4" s="558"/>
    </row>
    <row r="5" spans="1:12">
      <c r="B5" s="558"/>
      <c r="C5" s="558"/>
      <c r="D5" s="558"/>
      <c r="E5" s="558"/>
      <c r="F5" s="558"/>
      <c r="G5" s="558"/>
      <c r="H5" s="558"/>
      <c r="I5" s="558"/>
      <c r="J5" s="558"/>
      <c r="K5" s="558"/>
      <c r="L5" s="558"/>
    </row>
    <row r="6" spans="1:12">
      <c r="B6" s="558"/>
      <c r="C6" s="558"/>
      <c r="D6" s="558"/>
      <c r="E6" s="558"/>
      <c r="F6" s="558"/>
      <c r="G6" s="558"/>
      <c r="H6" s="558"/>
      <c r="I6" s="558"/>
      <c r="J6" s="558"/>
      <c r="K6" s="558"/>
      <c r="L6" s="558"/>
    </row>
    <row r="7" spans="1:12">
      <c r="B7" s="558"/>
      <c r="C7" s="558"/>
      <c r="D7" s="558"/>
      <c r="E7" s="558"/>
      <c r="F7" s="558"/>
      <c r="G7" s="558"/>
      <c r="H7" s="558"/>
      <c r="I7" s="558"/>
      <c r="J7" s="558"/>
      <c r="K7" s="558"/>
      <c r="L7" s="558"/>
    </row>
    <row r="8" spans="1:12">
      <c r="B8" s="558"/>
      <c r="C8" s="558"/>
      <c r="D8" s="558"/>
      <c r="E8" s="558"/>
      <c r="F8" s="558"/>
      <c r="G8" s="558"/>
      <c r="H8" s="558"/>
      <c r="I8" s="558"/>
      <c r="J8" s="558"/>
      <c r="K8" s="558"/>
      <c r="L8" s="558"/>
    </row>
    <row r="9" spans="1:12" ht="48" customHeight="1">
      <c r="B9" s="558"/>
      <c r="C9" s="558"/>
      <c r="D9" s="558"/>
      <c r="E9" s="558"/>
      <c r="F9" s="558"/>
      <c r="G9" s="558"/>
      <c r="H9" s="558"/>
      <c r="I9" s="558"/>
      <c r="J9" s="558"/>
      <c r="K9" s="558"/>
      <c r="L9" s="558"/>
    </row>
    <row r="10" spans="1:12" s="144" customFormat="1" ht="15" thickBot="1">
      <c r="A10" s="139" t="s">
        <v>149</v>
      </c>
      <c r="B10" s="140" t="s">
        <v>460</v>
      </c>
      <c r="C10" s="141" t="s">
        <v>144</v>
      </c>
      <c r="D10" s="141" t="s">
        <v>461</v>
      </c>
      <c r="E10" s="141" t="s">
        <v>265</v>
      </c>
      <c r="F10" s="141" t="s">
        <v>461</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553</v>
      </c>
      <c r="I11" s="147" t="s">
        <v>462</v>
      </c>
      <c r="J11" s="145" t="s">
        <v>463</v>
      </c>
    </row>
    <row r="12" spans="1:12" s="145" customFormat="1" ht="28">
      <c r="B12" s="148">
        <f>B11+1</f>
        <v>2</v>
      </c>
      <c r="C12" s="149">
        <v>2009</v>
      </c>
      <c r="D12" s="149" t="s">
        <v>464</v>
      </c>
      <c r="E12" s="149" t="s">
        <v>465</v>
      </c>
      <c r="F12" s="147" t="str">
        <f t="shared" ref="F12:F26" si="0">D12 &amp; " - " &amp; E12</f>
        <v>Julio Friedmann - Lawrence Livermore National Laboratory</v>
      </c>
      <c r="G12" s="149" t="s">
        <v>466</v>
      </c>
      <c r="H12" s="149" t="s">
        <v>467</v>
      </c>
      <c r="I12" s="149" t="s">
        <v>468</v>
      </c>
    </row>
    <row r="13" spans="1:12" s="145" customFormat="1" ht="28">
      <c r="B13" s="148">
        <f>B12+1</f>
        <v>3</v>
      </c>
      <c r="C13" s="149">
        <v>2009</v>
      </c>
      <c r="D13" s="149" t="s">
        <v>469</v>
      </c>
      <c r="E13" s="149" t="s">
        <v>470</v>
      </c>
      <c r="F13" s="147" t="str">
        <f t="shared" si="0"/>
        <v>José Goldemberg  - State of São Paulo, Brazil</v>
      </c>
      <c r="G13" s="149" t="s">
        <v>471</v>
      </c>
      <c r="H13" s="149"/>
      <c r="I13" s="149"/>
    </row>
    <row r="14" spans="1:12" s="145" customFormat="1" ht="42">
      <c r="B14" s="150">
        <f>B13+1</f>
        <v>4</v>
      </c>
      <c r="C14" s="151">
        <v>2009</v>
      </c>
      <c r="D14" s="151" t="s">
        <v>472</v>
      </c>
      <c r="E14" s="151" t="s">
        <v>473</v>
      </c>
      <c r="F14" s="147" t="str">
        <f t="shared" si="0"/>
        <v xml:space="preserve">SkyFuels - National Renewable Energy Laboratory </v>
      </c>
      <c r="G14" s="151" t="s">
        <v>474</v>
      </c>
      <c r="H14" s="151" t="s">
        <v>475</v>
      </c>
      <c r="I14" s="151" t="s">
        <v>476</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477</v>
      </c>
      <c r="J15" s="145" t="s">
        <v>478</v>
      </c>
    </row>
    <row r="16" spans="1:12" s="152" customFormat="1" ht="42">
      <c r="A16" s="149"/>
      <c r="B16" s="148">
        <f>B15+1</f>
        <v>6</v>
      </c>
      <c r="C16" s="149">
        <v>2008</v>
      </c>
      <c r="D16" s="149" t="s">
        <v>479</v>
      </c>
      <c r="E16" s="149" t="s">
        <v>480</v>
      </c>
      <c r="F16" s="147" t="str">
        <f t="shared" si="0"/>
        <v>David Roland-Holst - University of California, Berkeley</v>
      </c>
      <c r="G16" s="149" t="s">
        <v>481</v>
      </c>
      <c r="H16" s="149" t="s">
        <v>482</v>
      </c>
      <c r="I16" s="149" t="s">
        <v>483</v>
      </c>
      <c r="J16" s="145"/>
    </row>
    <row r="17" spans="1:10" s="152" customFormat="1" ht="28">
      <c r="A17" s="149"/>
      <c r="B17" s="148">
        <v>7</v>
      </c>
      <c r="C17" s="149">
        <v>2007</v>
      </c>
      <c r="D17" s="149" t="s">
        <v>497</v>
      </c>
      <c r="E17" s="149" t="s">
        <v>0</v>
      </c>
      <c r="F17" s="147" t="str">
        <f>D17</f>
        <v>Vestas</v>
      </c>
      <c r="G17" s="149" t="s">
        <v>498</v>
      </c>
      <c r="H17" s="149" t="s">
        <v>499</v>
      </c>
      <c r="I17" s="149" t="s">
        <v>500</v>
      </c>
      <c r="J17" s="145"/>
    </row>
    <row r="18" spans="1:10" s="152" customFormat="1" ht="42">
      <c r="A18" s="149"/>
      <c r="B18" s="148">
        <v>8</v>
      </c>
      <c r="C18" s="149">
        <v>2006</v>
      </c>
      <c r="D18" s="149" t="s">
        <v>484</v>
      </c>
      <c r="E18" s="149" t="s">
        <v>485</v>
      </c>
      <c r="F18" s="147" t="str">
        <f t="shared" si="0"/>
        <v>Winfried Hoffman, Sven Teske - European Photovoltaic Industry Association (EPIA) and Greenpeace</v>
      </c>
      <c r="G18" s="149" t="s">
        <v>486</v>
      </c>
      <c r="H18" s="149" t="s">
        <v>487</v>
      </c>
      <c r="I18" s="149" t="s">
        <v>488</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533</v>
      </c>
      <c r="H19" s="149" t="s">
        <v>534</v>
      </c>
      <c r="I19" s="149"/>
      <c r="J19" s="145" t="s">
        <v>489</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490</v>
      </c>
      <c r="I20" s="149" t="s">
        <v>0</v>
      </c>
      <c r="J20" s="145" t="s">
        <v>325</v>
      </c>
    </row>
    <row r="21" spans="1:10" s="152" customFormat="1" ht="70">
      <c r="A21" s="149" t="s">
        <v>491</v>
      </c>
      <c r="B21" s="148">
        <v>11</v>
      </c>
      <c r="C21" s="149">
        <v>2006</v>
      </c>
      <c r="D21" s="149" t="s">
        <v>492</v>
      </c>
      <c r="E21" s="149" t="s">
        <v>493</v>
      </c>
      <c r="F21" s="147" t="str">
        <f t="shared" si="0"/>
        <v>L. Stoddard, J. Abiecunas, R. O'Connell - National Renewable Energy Laboratory</v>
      </c>
      <c r="G21" s="149" t="s">
        <v>494</v>
      </c>
      <c r="H21" s="149" t="s">
        <v>554</v>
      </c>
      <c r="I21" s="149" t="s">
        <v>495</v>
      </c>
      <c r="J21" s="145" t="s">
        <v>496</v>
      </c>
    </row>
    <row r="22" spans="1:10" s="152" customFormat="1" ht="42">
      <c r="A22" s="149" t="s">
        <v>501</v>
      </c>
      <c r="B22" s="148">
        <v>12</v>
      </c>
      <c r="C22" s="149">
        <v>2005</v>
      </c>
      <c r="D22" s="149" t="s">
        <v>502</v>
      </c>
      <c r="E22" s="149" t="s">
        <v>503</v>
      </c>
      <c r="F22" s="147" t="str">
        <f t="shared" si="0"/>
        <v>Doug Arent, John Tschirhart, Dick Watsson - Western Governors' Association: Geothermal Task Force</v>
      </c>
      <c r="G22" s="149" t="s">
        <v>504</v>
      </c>
      <c r="H22" s="149" t="s">
        <v>505</v>
      </c>
      <c r="I22" s="149"/>
      <c r="J22" s="145" t="s">
        <v>506</v>
      </c>
    </row>
    <row r="23" spans="1:10" s="152" customFormat="1" ht="70">
      <c r="A23" s="153"/>
      <c r="B23" s="148">
        <v>13</v>
      </c>
      <c r="C23" s="149">
        <v>2005</v>
      </c>
      <c r="D23" s="149" t="s">
        <v>507</v>
      </c>
      <c r="E23" s="149" t="s">
        <v>508</v>
      </c>
      <c r="F23" s="147" t="str">
        <f t="shared" si="0"/>
        <v>Jose Gil and Hugo Lucas - Institute for Diversification and Saving of Energy (Instituto para la Diversificacion y Ahorro de la Energia, IDAE)</v>
      </c>
      <c r="G23" s="149" t="s">
        <v>509</v>
      </c>
      <c r="H23" s="149" t="s">
        <v>532</v>
      </c>
      <c r="I23" s="149" t="s">
        <v>530</v>
      </c>
      <c r="J23" s="145" t="s">
        <v>531</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510</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511</v>
      </c>
      <c r="H25" s="149" t="s">
        <v>512</v>
      </c>
      <c r="I25" s="149" t="s">
        <v>513</v>
      </c>
      <c r="J25" s="145" t="s">
        <v>514</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515</v>
      </c>
      <c r="I26" s="149" t="s">
        <v>516</v>
      </c>
      <c r="J26" s="145" t="s">
        <v>318</v>
      </c>
    </row>
    <row r="27" spans="1:10" s="152" customFormat="1" ht="112">
      <c r="A27" s="149" t="s">
        <v>314</v>
      </c>
      <c r="B27" s="148">
        <f>B26+1</f>
        <v>17</v>
      </c>
      <c r="C27" s="149">
        <v>2001</v>
      </c>
      <c r="D27" s="149" t="s">
        <v>319</v>
      </c>
      <c r="E27" s="149" t="s">
        <v>320</v>
      </c>
      <c r="F27" s="149" t="s">
        <v>536</v>
      </c>
      <c r="G27" s="149" t="s">
        <v>321</v>
      </c>
      <c r="H27" s="149" t="s">
        <v>517</v>
      </c>
      <c r="I27" s="149" t="s">
        <v>518</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42" zoomScale="125" zoomScaleNormal="125" zoomScalePageLayoutView="125" workbookViewId="0">
      <pane xSplit="1" topLeftCell="B1" activePane="topRight" state="frozen"/>
      <selection activeCell="A33" sqref="A33"/>
      <selection pane="topRight" activeCell="G56" sqref="G56:AJ56"/>
    </sheetView>
  </sheetViews>
  <sheetFormatPr baseColWidth="10" defaultColWidth="12.5" defaultRowHeight="16" x14ac:dyDescent="0"/>
  <cols>
    <col min="1" max="1" width="47.33203125" style="5" customWidth="1"/>
    <col min="2" max="2" width="13.6640625" style="343" bestFit="1" customWidth="1"/>
    <col min="3" max="6" width="13.1640625" style="343" bestFit="1" customWidth="1"/>
    <col min="7" max="7" width="13.1640625" style="298" bestFit="1" customWidth="1"/>
    <col min="8" max="19" width="14.5" style="298" bestFit="1" customWidth="1"/>
    <col min="20" max="21" width="16.5" style="298" bestFit="1" customWidth="1"/>
    <col min="22" max="37" width="12.5" style="298"/>
    <col min="38" max="16384" width="12.5" style="5"/>
  </cols>
  <sheetData>
    <row r="1" spans="1:37">
      <c r="A1" s="267" t="s">
        <v>63</v>
      </c>
    </row>
    <row r="2" spans="1:37">
      <c r="A2" s="271" t="s">
        <v>705</v>
      </c>
    </row>
    <row r="3" spans="1:37">
      <c r="A3" s="271" t="s">
        <v>657</v>
      </c>
    </row>
    <row r="4" spans="1:37">
      <c r="A4" s="271" t="s">
        <v>592</v>
      </c>
    </row>
    <row r="6" spans="1:37">
      <c r="A6" s="6" t="s">
        <v>64</v>
      </c>
    </row>
    <row r="7" spans="1:37">
      <c r="A7" s="6" t="s">
        <v>65</v>
      </c>
    </row>
    <row r="8" spans="1:37">
      <c r="A8" s="78" t="s">
        <v>280</v>
      </c>
    </row>
    <row r="10" spans="1:37">
      <c r="AK10" s="299"/>
    </row>
    <row r="11" spans="1:37">
      <c r="B11" s="363" t="s">
        <v>7</v>
      </c>
      <c r="C11" s="363" t="s">
        <v>8</v>
      </c>
      <c r="D11" s="363" t="s">
        <v>9</v>
      </c>
      <c r="E11" s="363" t="s">
        <v>10</v>
      </c>
      <c r="F11" s="363" t="s">
        <v>11</v>
      </c>
      <c r="G11" s="318" t="s">
        <v>12</v>
      </c>
      <c r="H11" s="318" t="s">
        <v>13</v>
      </c>
      <c r="I11" s="318" t="s">
        <v>14</v>
      </c>
      <c r="J11" s="318" t="s">
        <v>15</v>
      </c>
      <c r="K11" s="318" t="s">
        <v>16</v>
      </c>
      <c r="L11" s="318" t="s">
        <v>17</v>
      </c>
      <c r="M11" s="318" t="s">
        <v>18</v>
      </c>
      <c r="N11" s="318" t="s">
        <v>19</v>
      </c>
      <c r="O11" s="318" t="s">
        <v>20</v>
      </c>
      <c r="P11" s="318" t="s">
        <v>21</v>
      </c>
      <c r="Q11" s="318" t="s">
        <v>22</v>
      </c>
      <c r="R11" s="318" t="s">
        <v>23</v>
      </c>
      <c r="S11" s="318" t="s">
        <v>24</v>
      </c>
      <c r="T11" s="318" t="s">
        <v>25</v>
      </c>
      <c r="U11" s="318" t="s">
        <v>26</v>
      </c>
      <c r="V11" s="318" t="s">
        <v>27</v>
      </c>
      <c r="W11" s="318" t="s">
        <v>28</v>
      </c>
      <c r="X11" s="318" t="s">
        <v>29</v>
      </c>
      <c r="Y11" s="318" t="s">
        <v>30</v>
      </c>
      <c r="Z11" s="318" t="s">
        <v>31</v>
      </c>
      <c r="AA11" s="318" t="s">
        <v>582</v>
      </c>
      <c r="AB11" s="318" t="s">
        <v>583</v>
      </c>
      <c r="AC11" s="318" t="s">
        <v>584</v>
      </c>
      <c r="AD11" s="318" t="s">
        <v>585</v>
      </c>
      <c r="AE11" s="318" t="s">
        <v>586</v>
      </c>
      <c r="AF11" s="318" t="s">
        <v>587</v>
      </c>
      <c r="AG11" s="318" t="s">
        <v>588</v>
      </c>
      <c r="AH11" s="318" t="s">
        <v>589</v>
      </c>
      <c r="AI11" s="318" t="s">
        <v>590</v>
      </c>
      <c r="AJ11" s="318" t="s">
        <v>591</v>
      </c>
      <c r="AK11" s="318" t="s">
        <v>594</v>
      </c>
    </row>
    <row r="14" spans="1:37">
      <c r="A14" s="6" t="s">
        <v>66</v>
      </c>
    </row>
    <row r="16" spans="1:37">
      <c r="A16" s="6" t="s">
        <v>32</v>
      </c>
    </row>
    <row r="17" spans="1:38" s="250" customFormat="1">
      <c r="A17" s="249" t="s">
        <v>67</v>
      </c>
      <c r="B17" s="343"/>
      <c r="C17" s="343"/>
      <c r="D17" s="343"/>
      <c r="E17" s="343"/>
      <c r="F17" s="343"/>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row>
    <row r="18" spans="1:38" s="250" customFormat="1">
      <c r="A18" s="249"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0" customFormat="1">
      <c r="A19" s="249"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0" customFormat="1">
      <c r="A20" s="249"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0" customFormat="1">
      <c r="A21" s="249"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0" customFormat="1">
      <c r="A22" s="249"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0" customFormat="1">
      <c r="A23" s="249"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0" customFormat="1">
      <c r="A24" s="249"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0" customFormat="1">
      <c r="A25" s="249"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0" customFormat="1">
      <c r="A26" s="249"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0" customFormat="1">
      <c r="A27" s="249"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0" customFormat="1">
      <c r="A28" s="249"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0" customFormat="1">
      <c r="A29" s="249"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0" customFormat="1">
      <c r="A30" s="249"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0" customFormat="1">
      <c r="A31" s="249"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0" customFormat="1">
      <c r="A32" s="249"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0" customFormat="1">
      <c r="A33" s="249"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0"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2" t="s">
        <v>755</v>
      </c>
    </row>
    <row r="35" spans="1:44" s="250" customFormat="1">
      <c r="A35" s="249" t="s">
        <v>754</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4"/>
    </row>
    <row r="36" spans="1:44" s="250" customFormat="1">
      <c r="A36" s="500" t="s">
        <v>720</v>
      </c>
      <c r="G36" s="498">
        <v>143.58399900000001</v>
      </c>
      <c r="H36" s="498">
        <v>132.56699800000001</v>
      </c>
      <c r="I36" s="498">
        <v>138.465622</v>
      </c>
      <c r="J36" s="498">
        <v>140.126091</v>
      </c>
      <c r="K36" s="498">
        <v>143.934067</v>
      </c>
      <c r="L36" s="498">
        <v>134.553234</v>
      </c>
      <c r="M36" s="498">
        <v>137.22957199999999</v>
      </c>
      <c r="N36" s="498">
        <v>140.95248100000001</v>
      </c>
      <c r="O36" s="498">
        <v>141.155666</v>
      </c>
      <c r="P36" s="498">
        <v>139.62634700000001</v>
      </c>
      <c r="Q36" s="498">
        <v>140.71800999999999</v>
      </c>
      <c r="R36" s="498">
        <v>141.73129599999999</v>
      </c>
      <c r="S36" s="498">
        <v>141.301075</v>
      </c>
      <c r="T36" s="498">
        <v>143.78455700000001</v>
      </c>
      <c r="U36" s="498">
        <v>144.46855199999999</v>
      </c>
      <c r="V36" s="498">
        <v>144.63528500000001</v>
      </c>
      <c r="W36" s="498">
        <v>145.27077500000001</v>
      </c>
      <c r="X36" s="498">
        <v>145.86707699999999</v>
      </c>
      <c r="Y36" s="498">
        <v>148.17410599999999</v>
      </c>
      <c r="Z36" s="498">
        <v>148.06077999999999</v>
      </c>
      <c r="AA36" s="498">
        <v>147.71203599999998</v>
      </c>
      <c r="AB36" s="498">
        <v>147.50064500000002</v>
      </c>
      <c r="AC36" s="498">
        <v>147.37453099999999</v>
      </c>
      <c r="AD36" s="498">
        <v>147.24384599999999</v>
      </c>
      <c r="AE36" s="498">
        <v>147.094964</v>
      </c>
      <c r="AF36" s="498">
        <v>146.992378</v>
      </c>
      <c r="AG36" s="498">
        <v>146.883792</v>
      </c>
      <c r="AH36" s="498">
        <v>146.779999</v>
      </c>
      <c r="AI36" s="498">
        <v>146.690575</v>
      </c>
      <c r="AJ36" s="498">
        <v>146.59167099999999</v>
      </c>
      <c r="AK36" s="502">
        <v>0.03</v>
      </c>
      <c r="AL36" s="514" t="s">
        <v>68</v>
      </c>
      <c r="AM36" s="517">
        <v>0.55000000000000004</v>
      </c>
    </row>
    <row r="37" spans="1:44" s="250" customFormat="1">
      <c r="A37" s="500" t="s">
        <v>721</v>
      </c>
      <c r="G37" s="498">
        <v>0.183</v>
      </c>
      <c r="H37" s="498">
        <v>0.157</v>
      </c>
      <c r="I37" s="498">
        <v>0.55582100000000001</v>
      </c>
      <c r="J37" s="498">
        <v>0.5625</v>
      </c>
      <c r="K37" s="498">
        <v>0.57809700000000008</v>
      </c>
      <c r="L37" s="498">
        <v>0.54077600000000003</v>
      </c>
      <c r="M37" s="498">
        <v>0.55332800000000004</v>
      </c>
      <c r="N37" s="498">
        <v>0.56520400000000004</v>
      </c>
      <c r="O37" s="498">
        <v>0.56605899999999998</v>
      </c>
      <c r="P37" s="498">
        <v>0.56465699999999996</v>
      </c>
      <c r="Q37" s="498">
        <v>0.57143299999999997</v>
      </c>
      <c r="R37" s="498">
        <v>0.57443100000000002</v>
      </c>
      <c r="S37" s="498">
        <v>0.57382999999999995</v>
      </c>
      <c r="T37" s="498">
        <v>0.58606500000000006</v>
      </c>
      <c r="U37" s="498">
        <v>0.588951</v>
      </c>
      <c r="V37" s="498">
        <v>0.589333</v>
      </c>
      <c r="W37" s="498">
        <v>0.59269400000000005</v>
      </c>
      <c r="X37" s="498">
        <v>0.59508700000000003</v>
      </c>
      <c r="Y37" s="498">
        <v>0.60448800000000003</v>
      </c>
      <c r="Z37" s="498">
        <v>0.60541400000000001</v>
      </c>
      <c r="AA37" s="498">
        <v>0.60490299999999997</v>
      </c>
      <c r="AB37" s="498">
        <v>0.60441699999999998</v>
      </c>
      <c r="AC37" s="498">
        <v>0.59993200000000002</v>
      </c>
      <c r="AD37" s="498">
        <v>0.59940000000000004</v>
      </c>
      <c r="AE37" s="498">
        <v>0.59923300000000002</v>
      </c>
      <c r="AF37" s="498">
        <v>0.59903600000000001</v>
      </c>
      <c r="AG37" s="498">
        <v>0.59978399999999998</v>
      </c>
      <c r="AH37" s="498">
        <v>0.59934399999999999</v>
      </c>
      <c r="AI37" s="498">
        <v>0.59897599999999995</v>
      </c>
      <c r="AJ37" s="498">
        <v>0.59852099999999997</v>
      </c>
      <c r="AK37" s="502">
        <v>-3.7999999999999999E-2</v>
      </c>
      <c r="AL37" s="515" t="s">
        <v>69</v>
      </c>
      <c r="AM37" s="517">
        <v>0.24280885918148459</v>
      </c>
    </row>
    <row r="38" spans="1:44" s="250" customFormat="1">
      <c r="A38" s="500" t="s">
        <v>722</v>
      </c>
      <c r="G38" s="498">
        <v>7.4269249999999998</v>
      </c>
      <c r="H38" s="498">
        <v>10.006454</v>
      </c>
      <c r="I38" s="498">
        <v>3.4584999999999999</v>
      </c>
      <c r="J38" s="498">
        <v>3.7650109999999999</v>
      </c>
      <c r="K38" s="498">
        <v>4.5283920000000002</v>
      </c>
      <c r="L38" s="498">
        <v>6.1786329999999996</v>
      </c>
      <c r="M38" s="498">
        <v>5.6843240000000002</v>
      </c>
      <c r="N38" s="498">
        <v>5.6692509999999992</v>
      </c>
      <c r="O38" s="498">
        <v>5.7195710000000002</v>
      </c>
      <c r="P38" s="498">
        <v>5.8108610000000001</v>
      </c>
      <c r="Q38" s="498">
        <v>6.4239320000000006</v>
      </c>
      <c r="R38" s="498">
        <v>7.6735470000000001</v>
      </c>
      <c r="S38" s="498">
        <v>7.178058</v>
      </c>
      <c r="T38" s="498">
        <v>6.6950940000000001</v>
      </c>
      <c r="U38" s="498">
        <v>7.4390229999999997</v>
      </c>
      <c r="V38" s="498">
        <v>8.399992000000001</v>
      </c>
      <c r="W38" s="498">
        <v>8.8996709999999997</v>
      </c>
      <c r="X38" s="498">
        <v>9.7700269999999989</v>
      </c>
      <c r="Y38" s="498">
        <v>10.336822</v>
      </c>
      <c r="Z38" s="498">
        <v>10.842274</v>
      </c>
      <c r="AA38" s="498">
        <v>11.627741</v>
      </c>
      <c r="AB38" s="498">
        <v>11.093456</v>
      </c>
      <c r="AC38" s="498">
        <v>11.916919</v>
      </c>
      <c r="AD38" s="498">
        <v>12.638300000000001</v>
      </c>
      <c r="AE38" s="498">
        <v>13.102585999999999</v>
      </c>
      <c r="AF38" s="498">
        <v>13.337501</v>
      </c>
      <c r="AG38" s="498">
        <v>13.545846000000001</v>
      </c>
      <c r="AH38" s="498">
        <v>13.368604000000001</v>
      </c>
      <c r="AI38" s="498">
        <v>13.920840999999999</v>
      </c>
      <c r="AJ38" s="498">
        <v>15.800028000000001</v>
      </c>
      <c r="AK38" s="502">
        <v>-4.0000000000000001E-3</v>
      </c>
      <c r="AL38" s="515" t="s">
        <v>76</v>
      </c>
      <c r="AM38" s="517">
        <v>0.5</v>
      </c>
    </row>
    <row r="39" spans="1:44" s="250" customFormat="1">
      <c r="A39" s="500" t="s">
        <v>723</v>
      </c>
      <c r="G39" s="498">
        <v>25.361000000000001</v>
      </c>
      <c r="H39" s="498">
        <v>28.376999000000001</v>
      </c>
      <c r="I39" s="498">
        <v>26.531698999999996</v>
      </c>
      <c r="J39" s="498">
        <v>26.604664</v>
      </c>
      <c r="K39" s="498">
        <v>27.261091999999998</v>
      </c>
      <c r="L39" s="498">
        <v>27.524864999999998</v>
      </c>
      <c r="M39" s="498">
        <v>27.524864999999998</v>
      </c>
      <c r="N39" s="498">
        <v>27.524864999999998</v>
      </c>
      <c r="O39" s="498">
        <v>27.524864999999998</v>
      </c>
      <c r="P39" s="498">
        <v>27.524864999999998</v>
      </c>
      <c r="Q39" s="498">
        <v>27.524864999999998</v>
      </c>
      <c r="R39" s="498">
        <v>27.524864000000001</v>
      </c>
      <c r="S39" s="498">
        <v>27.524864999999998</v>
      </c>
      <c r="T39" s="498">
        <v>27.524864999999998</v>
      </c>
      <c r="U39" s="498">
        <v>27.524864999999998</v>
      </c>
      <c r="V39" s="498">
        <v>27.524864999999998</v>
      </c>
      <c r="W39" s="498">
        <v>27.524864999999998</v>
      </c>
      <c r="X39" s="498">
        <v>27.524864999999998</v>
      </c>
      <c r="Y39" s="498">
        <v>27.524864999999998</v>
      </c>
      <c r="Z39" s="498">
        <v>27.524864999999998</v>
      </c>
      <c r="AA39" s="498">
        <v>27.524864999999998</v>
      </c>
      <c r="AB39" s="498">
        <v>27.524864999999998</v>
      </c>
      <c r="AC39" s="498">
        <v>27.524864999999998</v>
      </c>
      <c r="AD39" s="498">
        <v>27.524864999999998</v>
      </c>
      <c r="AE39" s="498">
        <v>27.524864999999998</v>
      </c>
      <c r="AF39" s="498">
        <v>27.524864999999998</v>
      </c>
      <c r="AG39" s="498">
        <v>27.524864999999998</v>
      </c>
      <c r="AH39" s="498">
        <v>27.524864999999998</v>
      </c>
      <c r="AI39" s="498">
        <v>27.524864999999998</v>
      </c>
      <c r="AJ39" s="498">
        <v>27.524864999999998</v>
      </c>
      <c r="AK39" s="502">
        <v>-5.0000000000000001E-3</v>
      </c>
      <c r="AL39" s="515" t="s">
        <v>742</v>
      </c>
      <c r="AM39" s="517">
        <v>4.4469559765372285E-2</v>
      </c>
    </row>
    <row r="40" spans="1:44" s="250" customFormat="1">
      <c r="A40" s="500" t="s">
        <v>724</v>
      </c>
      <c r="G40" s="498">
        <v>-7.7399999999999997E-2</v>
      </c>
      <c r="H40" s="498">
        <v>-0.10339999999999999</v>
      </c>
      <c r="I40" s="498">
        <v>-7.0115999999999998E-2</v>
      </c>
      <c r="J40" s="498">
        <v>-7.0115999999999998E-2</v>
      </c>
      <c r="K40" s="498">
        <v>-7.0115999999999998E-2</v>
      </c>
      <c r="L40" s="498">
        <v>-7.0115999999999998E-2</v>
      </c>
      <c r="M40" s="498">
        <v>-7.0115999999999998E-2</v>
      </c>
      <c r="N40" s="498">
        <v>-7.0115999999999998E-2</v>
      </c>
      <c r="O40" s="498">
        <v>-7.0115999999999998E-2</v>
      </c>
      <c r="P40" s="498">
        <v>-7.0115999999999998E-2</v>
      </c>
      <c r="Q40" s="498">
        <v>-6.9696999999999995E-2</v>
      </c>
      <c r="R40" s="498">
        <v>-6.9105E-2</v>
      </c>
      <c r="S40" s="498">
        <v>-6.9105E-2</v>
      </c>
      <c r="T40" s="498">
        <v>-6.9105E-2</v>
      </c>
      <c r="U40" s="498">
        <v>-6.8403000000000005E-2</v>
      </c>
      <c r="V40" s="498">
        <v>-6.7750000000000005E-2</v>
      </c>
      <c r="W40" s="498">
        <v>-6.6847999999999991E-2</v>
      </c>
      <c r="X40" s="498">
        <v>-6.6008999999999998E-2</v>
      </c>
      <c r="Y40" s="498">
        <v>-6.5697999999999993E-2</v>
      </c>
      <c r="Z40" s="498">
        <v>-6.5480999999999998E-2</v>
      </c>
      <c r="AA40" s="498">
        <v>-6.5424999999999997E-2</v>
      </c>
      <c r="AB40" s="498">
        <v>-6.5322000000000005E-2</v>
      </c>
      <c r="AC40" s="498">
        <v>-6.5261E-2</v>
      </c>
      <c r="AD40" s="498">
        <v>-6.5133999999999997E-2</v>
      </c>
      <c r="AE40" s="498">
        <v>-6.5026E-2</v>
      </c>
      <c r="AF40" s="498">
        <v>-6.4961999999999992E-2</v>
      </c>
      <c r="AG40" s="498">
        <v>-6.4812000000000008E-2</v>
      </c>
      <c r="AH40" s="498">
        <v>-6.4737000000000003E-2</v>
      </c>
      <c r="AI40" s="498">
        <v>-6.4628000000000005E-2</v>
      </c>
      <c r="AJ40" s="498">
        <v>-6.4512E-2</v>
      </c>
      <c r="AK40" s="502">
        <v>1E-3</v>
      </c>
      <c r="AL40" s="516" t="s">
        <v>225</v>
      </c>
      <c r="AM40" s="517">
        <v>0.35</v>
      </c>
    </row>
    <row r="41" spans="1:44" s="250" customFormat="1">
      <c r="A41" s="500" t="s">
        <v>725</v>
      </c>
      <c r="G41" s="498">
        <v>6.7183989999999998</v>
      </c>
      <c r="H41" s="498">
        <v>9.3453990000000005</v>
      </c>
      <c r="I41" s="498">
        <v>14.260801000000001</v>
      </c>
      <c r="J41" s="498">
        <v>15.18064</v>
      </c>
      <c r="K41" s="498">
        <v>16.315785999999999</v>
      </c>
      <c r="L41" s="498">
        <v>16.744600000000002</v>
      </c>
      <c r="M41" s="498">
        <v>17.605535</v>
      </c>
      <c r="N41" s="498">
        <v>17.605319999999999</v>
      </c>
      <c r="O41" s="498">
        <v>17.766461</v>
      </c>
      <c r="P41" s="498">
        <v>18.939246999999998</v>
      </c>
      <c r="Q41" s="498">
        <v>19.169640000000001</v>
      </c>
      <c r="R41" s="498">
        <v>19.140498999999998</v>
      </c>
      <c r="S41" s="498">
        <v>19.147521999999999</v>
      </c>
      <c r="T41" s="498">
        <v>19.466061</v>
      </c>
      <c r="U41" s="498">
        <v>19.481487000000001</v>
      </c>
      <c r="V41" s="498">
        <v>19.488061999999999</v>
      </c>
      <c r="W41" s="498">
        <v>19.581220000000002</v>
      </c>
      <c r="X41" s="498">
        <v>19.591334</v>
      </c>
      <c r="Y41" s="498">
        <v>19.623257000000002</v>
      </c>
      <c r="Z41" s="498">
        <v>19.996566000000001</v>
      </c>
      <c r="AA41" s="498">
        <v>20.283565000000003</v>
      </c>
      <c r="AB41" s="498">
        <v>20.462068000000002</v>
      </c>
      <c r="AC41" s="498">
        <v>20.503609000000001</v>
      </c>
      <c r="AD41" s="498">
        <v>20.592103999999999</v>
      </c>
      <c r="AE41" s="498">
        <v>20.679122</v>
      </c>
      <c r="AF41" s="498">
        <v>20.686737999999998</v>
      </c>
      <c r="AG41" s="498">
        <v>20.771072</v>
      </c>
      <c r="AH41" s="498">
        <v>20.819095000000001</v>
      </c>
      <c r="AI41" s="498">
        <v>21.264035999999997</v>
      </c>
      <c r="AJ41" s="498">
        <v>22.667596000000003</v>
      </c>
      <c r="AK41" s="502">
        <v>2.1000000000000001E-2</v>
      </c>
      <c r="AL41" s="516" t="s">
        <v>379</v>
      </c>
      <c r="AM41" s="517">
        <v>0.24600047182926632</v>
      </c>
    </row>
    <row r="42" spans="1:44" s="250" customFormat="1">
      <c r="A42" s="500" t="s">
        <v>726</v>
      </c>
      <c r="G42" s="498">
        <v>0</v>
      </c>
      <c r="H42" s="498">
        <v>0</v>
      </c>
      <c r="I42" s="498">
        <v>0</v>
      </c>
      <c r="J42" s="498">
        <v>0</v>
      </c>
      <c r="K42" s="498">
        <v>0</v>
      </c>
      <c r="L42" s="498">
        <v>0</v>
      </c>
      <c r="M42" s="498">
        <v>0</v>
      </c>
      <c r="N42" s="498">
        <v>0</v>
      </c>
      <c r="O42" s="498">
        <v>0</v>
      </c>
      <c r="P42" s="498">
        <v>0</v>
      </c>
      <c r="Q42" s="498">
        <v>0</v>
      </c>
      <c r="R42" s="498">
        <v>0</v>
      </c>
      <c r="S42" s="498">
        <v>0</v>
      </c>
      <c r="T42" s="498">
        <v>0</v>
      </c>
      <c r="U42" s="498">
        <v>0</v>
      </c>
      <c r="V42" s="498">
        <v>0</v>
      </c>
      <c r="W42" s="498">
        <v>0</v>
      </c>
      <c r="X42" s="498">
        <v>0</v>
      </c>
      <c r="Y42" s="498">
        <v>0</v>
      </c>
      <c r="Z42" s="498">
        <v>0</v>
      </c>
      <c r="AA42" s="498">
        <v>0</v>
      </c>
      <c r="AB42" s="498">
        <v>0</v>
      </c>
      <c r="AC42" s="498">
        <v>0</v>
      </c>
      <c r="AD42" s="498">
        <v>0</v>
      </c>
      <c r="AE42" s="498">
        <v>0</v>
      </c>
      <c r="AF42" s="498">
        <v>0</v>
      </c>
      <c r="AG42" s="498">
        <v>0</v>
      </c>
      <c r="AH42" s="498">
        <v>0</v>
      </c>
      <c r="AI42" s="498">
        <v>0</v>
      </c>
      <c r="AJ42" s="498">
        <v>0</v>
      </c>
      <c r="AK42" s="498" t="s">
        <v>41</v>
      </c>
      <c r="AL42" s="516" t="s">
        <v>743</v>
      </c>
      <c r="AM42" s="517">
        <v>1</v>
      </c>
    </row>
    <row r="43" spans="1:44" s="250" customFormat="1">
      <c r="A43" s="501" t="s">
        <v>727</v>
      </c>
      <c r="G43" s="499">
        <v>183.19592299999999</v>
      </c>
      <c r="H43" s="499">
        <v>180.349457</v>
      </c>
      <c r="I43" s="499">
        <v>183.202324</v>
      </c>
      <c r="J43" s="499">
        <v>186.1688</v>
      </c>
      <c r="K43" s="499">
        <v>192.54730899999998</v>
      </c>
      <c r="L43" s="499">
        <v>185.471992</v>
      </c>
      <c r="M43" s="499">
        <v>188.52750399999999</v>
      </c>
      <c r="N43" s="499">
        <v>192.246994</v>
      </c>
      <c r="O43" s="499">
        <v>192.66250600000001</v>
      </c>
      <c r="P43" s="499">
        <v>192.39586600000001</v>
      </c>
      <c r="Q43" s="499">
        <v>194.338189</v>
      </c>
      <c r="R43" s="499">
        <v>196.57553799999999</v>
      </c>
      <c r="S43" s="499">
        <v>195.65625</v>
      </c>
      <c r="T43" s="499">
        <v>197.987526</v>
      </c>
      <c r="U43" s="499">
        <v>199.43447099999997</v>
      </c>
      <c r="V43" s="499">
        <v>200.569794</v>
      </c>
      <c r="W43" s="499">
        <v>201.80237600000001</v>
      </c>
      <c r="X43" s="499">
        <v>203.28237899999999</v>
      </c>
      <c r="Y43" s="499">
        <v>206.19783799999999</v>
      </c>
      <c r="Z43" s="499">
        <v>206.96442400000001</v>
      </c>
      <c r="AA43" s="499">
        <v>207.68769800000001</v>
      </c>
      <c r="AB43" s="499">
        <v>207.12012499999997</v>
      </c>
      <c r="AC43" s="499">
        <v>207.85459900000001</v>
      </c>
      <c r="AD43" s="499">
        <v>208.533387</v>
      </c>
      <c r="AE43" s="499">
        <v>208.93575200000001</v>
      </c>
      <c r="AF43" s="499">
        <v>209.07557699999998</v>
      </c>
      <c r="AG43" s="499">
        <v>209.26054399999998</v>
      </c>
      <c r="AH43" s="499">
        <v>209.02716800000002</v>
      </c>
      <c r="AI43" s="499">
        <v>209.93465499999999</v>
      </c>
      <c r="AJ43" s="499">
        <v>213.11817200000002</v>
      </c>
      <c r="AK43" s="503">
        <v>1E-3</v>
      </c>
      <c r="AL43" s="516" t="s">
        <v>744</v>
      </c>
      <c r="AM43" s="517">
        <v>0.39068220163901785</v>
      </c>
    </row>
    <row r="44" spans="1:44" s="250" customFormat="1">
      <c r="A44" s="249"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8" t="s">
        <v>58</v>
      </c>
      <c r="AM44" s="517">
        <v>0.27078535436421053</v>
      </c>
    </row>
    <row r="45" spans="1:44" s="250" customFormat="1">
      <c r="A45" s="249"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0" customFormat="1">
      <c r="A46" s="249"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2" customFormat="1">
      <c r="B47" s="363" t="s">
        <v>7</v>
      </c>
      <c r="C47" s="363" t="s">
        <v>8</v>
      </c>
      <c r="D47" s="363" t="s">
        <v>9</v>
      </c>
      <c r="E47" s="363" t="s">
        <v>10</v>
      </c>
      <c r="F47" s="363" t="s">
        <v>11</v>
      </c>
      <c r="G47" s="322" t="s">
        <v>12</v>
      </c>
      <c r="H47" s="322" t="s">
        <v>13</v>
      </c>
      <c r="I47" s="322" t="s">
        <v>14</v>
      </c>
      <c r="J47" s="322" t="s">
        <v>15</v>
      </c>
      <c r="K47" s="322" t="s">
        <v>16</v>
      </c>
      <c r="L47" s="322" t="s">
        <v>17</v>
      </c>
      <c r="M47" s="322" t="s">
        <v>18</v>
      </c>
      <c r="N47" s="322" t="s">
        <v>19</v>
      </c>
      <c r="O47" s="322" t="s">
        <v>20</v>
      </c>
      <c r="P47" s="322" t="s">
        <v>21</v>
      </c>
      <c r="Q47" s="322" t="s">
        <v>22</v>
      </c>
      <c r="R47" s="322" t="s">
        <v>23</v>
      </c>
      <c r="S47" s="322" t="s">
        <v>24</v>
      </c>
      <c r="T47" s="322" t="s">
        <v>25</v>
      </c>
      <c r="U47" s="322" t="s">
        <v>26</v>
      </c>
      <c r="V47" s="322" t="s">
        <v>27</v>
      </c>
      <c r="W47" s="322" t="s">
        <v>28</v>
      </c>
      <c r="X47" s="322" t="s">
        <v>29</v>
      </c>
      <c r="Y47" s="322" t="s">
        <v>30</v>
      </c>
      <c r="Z47" s="322" t="s">
        <v>31</v>
      </c>
      <c r="AA47" s="322" t="s">
        <v>582</v>
      </c>
      <c r="AB47" s="322" t="s">
        <v>583</v>
      </c>
      <c r="AC47" s="322" t="s">
        <v>584</v>
      </c>
      <c r="AD47" s="322" t="s">
        <v>585</v>
      </c>
      <c r="AE47" s="322" t="s">
        <v>586</v>
      </c>
      <c r="AF47" s="322" t="s">
        <v>587</v>
      </c>
      <c r="AG47" s="322" t="s">
        <v>588</v>
      </c>
      <c r="AH47" s="322" t="s">
        <v>589</v>
      </c>
      <c r="AI47" s="322" t="s">
        <v>590</v>
      </c>
      <c r="AJ47" s="322" t="s">
        <v>591</v>
      </c>
      <c r="AK47" s="322" t="s">
        <v>594</v>
      </c>
    </row>
    <row r="48" spans="1:44" s="254" customFormat="1">
      <c r="A48" s="253" t="s">
        <v>756</v>
      </c>
      <c r="B48" s="364"/>
      <c r="C48" s="364"/>
      <c r="D48" s="364"/>
      <c r="E48" s="364"/>
      <c r="F48" s="364"/>
      <c r="G48" s="320"/>
      <c r="H48" s="320"/>
      <c r="I48" s="320"/>
      <c r="J48" s="320"/>
      <c r="K48" s="320"/>
      <c r="L48" s="320"/>
      <c r="M48" s="320"/>
      <c r="N48" s="320"/>
      <c r="O48" s="320"/>
      <c r="P48" s="320"/>
      <c r="Q48" s="320"/>
      <c r="R48" s="320"/>
      <c r="S48" s="320"/>
      <c r="T48" s="320"/>
      <c r="U48" s="320"/>
      <c r="V48" s="320"/>
      <c r="W48" s="320"/>
      <c r="X48" s="320"/>
      <c r="Y48" s="320"/>
      <c r="Z48" s="320"/>
      <c r="AA48" s="320"/>
      <c r="AB48" s="320"/>
      <c r="AC48" s="320"/>
      <c r="AD48" s="320"/>
      <c r="AE48" s="320"/>
      <c r="AF48" s="320"/>
      <c r="AG48" s="320"/>
      <c r="AH48" s="320"/>
      <c r="AI48" s="320"/>
      <c r="AJ48" s="320"/>
      <c r="AK48" s="320"/>
      <c r="AM48" s="254" t="s">
        <v>748</v>
      </c>
      <c r="AN48" s="254">
        <v>2006</v>
      </c>
      <c r="AO48" s="254">
        <v>2007</v>
      </c>
      <c r="AP48" s="254">
        <v>2008</v>
      </c>
      <c r="AQ48" s="254">
        <v>2009</v>
      </c>
      <c r="AR48" s="254">
        <v>2010</v>
      </c>
    </row>
    <row r="49" spans="1:44" s="254" customFormat="1">
      <c r="A49" s="253" t="s">
        <v>68</v>
      </c>
      <c r="B49" s="504">
        <f>AN51</f>
        <v>77.45</v>
      </c>
      <c r="C49" s="504">
        <f t="shared" ref="C49:F49" si="0">AO51</f>
        <v>75.084000000000003</v>
      </c>
      <c r="D49" s="504">
        <f t="shared" si="0"/>
        <v>73.531999999999996</v>
      </c>
      <c r="E49" s="504">
        <f t="shared" si="0"/>
        <v>71.611000000000004</v>
      </c>
      <c r="F49" s="504">
        <f t="shared" si="0"/>
        <v>75.046999999999997</v>
      </c>
      <c r="G49" s="483">
        <f t="shared" ref="G49:AJ49" si="1">G36*$AM36</f>
        <v>78.971199450000015</v>
      </c>
      <c r="H49" s="483">
        <f t="shared" si="1"/>
        <v>72.91184890000001</v>
      </c>
      <c r="I49" s="483">
        <f t="shared" si="1"/>
        <v>76.156092100000009</v>
      </c>
      <c r="J49" s="483">
        <f t="shared" si="1"/>
        <v>77.069350050000011</v>
      </c>
      <c r="K49" s="483">
        <f t="shared" si="1"/>
        <v>79.163736850000006</v>
      </c>
      <c r="L49" s="483">
        <f t="shared" si="1"/>
        <v>74.004278700000015</v>
      </c>
      <c r="M49" s="483">
        <f t="shared" si="1"/>
        <v>75.476264600000007</v>
      </c>
      <c r="N49" s="483">
        <f t="shared" si="1"/>
        <v>77.523864550000013</v>
      </c>
      <c r="O49" s="483">
        <f t="shared" si="1"/>
        <v>77.635616300000009</v>
      </c>
      <c r="P49" s="483">
        <f t="shared" si="1"/>
        <v>76.794490850000017</v>
      </c>
      <c r="Q49" s="483">
        <f t="shared" si="1"/>
        <v>77.394905500000007</v>
      </c>
      <c r="R49" s="483">
        <f t="shared" si="1"/>
        <v>77.952212799999998</v>
      </c>
      <c r="S49" s="483">
        <f t="shared" si="1"/>
        <v>77.715591250000003</v>
      </c>
      <c r="T49" s="483">
        <f t="shared" si="1"/>
        <v>79.081506350000012</v>
      </c>
      <c r="U49" s="483">
        <f t="shared" si="1"/>
        <v>79.457703600000002</v>
      </c>
      <c r="V49" s="483">
        <f t="shared" si="1"/>
        <v>79.549406750000017</v>
      </c>
      <c r="W49" s="483">
        <f t="shared" si="1"/>
        <v>79.898926250000017</v>
      </c>
      <c r="X49" s="483">
        <f t="shared" si="1"/>
        <v>80.22689235</v>
      </c>
      <c r="Y49" s="483">
        <f t="shared" si="1"/>
        <v>81.495758300000006</v>
      </c>
      <c r="Z49" s="483">
        <f t="shared" si="1"/>
        <v>81.433429000000004</v>
      </c>
      <c r="AA49" s="483">
        <f t="shared" si="1"/>
        <v>81.241619799999995</v>
      </c>
      <c r="AB49" s="483">
        <f t="shared" si="1"/>
        <v>81.125354750000014</v>
      </c>
      <c r="AC49" s="483">
        <f t="shared" si="1"/>
        <v>81.05599205</v>
      </c>
      <c r="AD49" s="483">
        <f t="shared" si="1"/>
        <v>80.984115299999999</v>
      </c>
      <c r="AE49" s="483">
        <f t="shared" si="1"/>
        <v>80.902230200000005</v>
      </c>
      <c r="AF49" s="483">
        <f t="shared" si="1"/>
        <v>80.845807900000011</v>
      </c>
      <c r="AG49" s="483">
        <f t="shared" si="1"/>
        <v>80.786085600000007</v>
      </c>
      <c r="AH49" s="483">
        <f t="shared" si="1"/>
        <v>80.728999450000003</v>
      </c>
      <c r="AI49" s="483">
        <f t="shared" si="1"/>
        <v>80.679816250000002</v>
      </c>
      <c r="AJ49" s="483">
        <f t="shared" si="1"/>
        <v>80.625419050000005</v>
      </c>
      <c r="AK49"/>
    </row>
    <row r="50" spans="1:44" s="254" customFormat="1">
      <c r="A50" s="253" t="s">
        <v>69</v>
      </c>
      <c r="B50" s="504">
        <f t="shared" ref="B50:B51" si="2">AN52</f>
        <v>6.0999999999999999E-2</v>
      </c>
      <c r="C50" s="504">
        <f t="shared" ref="C50:C51" si="3">AO52</f>
        <v>0.06</v>
      </c>
      <c r="D50" s="504">
        <f t="shared" ref="D50:D51" si="4">AP52</f>
        <v>5.7000000000000002E-2</v>
      </c>
      <c r="E50" s="504">
        <f t="shared" ref="E50:E51" si="5">AQ52</f>
        <v>8.7999999999999995E-2</v>
      </c>
      <c r="F50" s="504">
        <f t="shared" ref="F50:F51" si="6">AR52</f>
        <v>0.126</v>
      </c>
      <c r="G50" s="483">
        <f t="shared" ref="G50:AJ50" si="7">G37*$AM37</f>
        <v>4.443402123021168E-2</v>
      </c>
      <c r="H50" s="483">
        <f t="shared" si="7"/>
        <v>3.8120990891493081E-2</v>
      </c>
      <c r="I50" s="483">
        <f t="shared" si="7"/>
        <v>0.13495826291911195</v>
      </c>
      <c r="J50" s="483">
        <f t="shared" si="7"/>
        <v>0.13657998328958509</v>
      </c>
      <c r="K50" s="483">
        <f t="shared" si="7"/>
        <v>0.14036707306623872</v>
      </c>
      <c r="L50" s="483">
        <f t="shared" si="7"/>
        <v>0.13130520363272652</v>
      </c>
      <c r="M50" s="483">
        <f t="shared" si="7"/>
        <v>0.13435294043317253</v>
      </c>
      <c r="N50" s="483">
        <f t="shared" si="7"/>
        <v>0.13723653844481182</v>
      </c>
      <c r="O50" s="483">
        <f t="shared" si="7"/>
        <v>0.13744414001941199</v>
      </c>
      <c r="P50" s="483">
        <f t="shared" si="7"/>
        <v>0.13710372199883955</v>
      </c>
      <c r="Q50" s="483">
        <f t="shared" si="7"/>
        <v>0.13874899482865327</v>
      </c>
      <c r="R50" s="483">
        <f t="shared" si="7"/>
        <v>0.13947693578847939</v>
      </c>
      <c r="S50" s="483">
        <f t="shared" si="7"/>
        <v>0.1393310076641113</v>
      </c>
      <c r="T50" s="483">
        <f t="shared" si="7"/>
        <v>0.14230177405619679</v>
      </c>
      <c r="U50" s="483">
        <f t="shared" si="7"/>
        <v>0.14300252042379452</v>
      </c>
      <c r="V50" s="483">
        <f t="shared" si="7"/>
        <v>0.14309527340800185</v>
      </c>
      <c r="W50" s="483">
        <f t="shared" si="7"/>
        <v>0.14391135398371085</v>
      </c>
      <c r="X50" s="483">
        <f t="shared" si="7"/>
        <v>0.14449239558373214</v>
      </c>
      <c r="Y50" s="483">
        <f t="shared" si="7"/>
        <v>0.14677504166889727</v>
      </c>
      <c r="Z50" s="483">
        <f t="shared" si="7"/>
        <v>0.1469998826724993</v>
      </c>
      <c r="AA50" s="483">
        <f t="shared" si="7"/>
        <v>0.14687580734545758</v>
      </c>
      <c r="AB50" s="483">
        <f t="shared" si="7"/>
        <v>0.14675780223989537</v>
      </c>
      <c r="AC50" s="483">
        <f t="shared" si="7"/>
        <v>0.14566880450646641</v>
      </c>
      <c r="AD50" s="483">
        <f t="shared" si="7"/>
        <v>0.14553963019338187</v>
      </c>
      <c r="AE50" s="483">
        <f t="shared" si="7"/>
        <v>0.14549908111389856</v>
      </c>
      <c r="AF50" s="483">
        <f t="shared" si="7"/>
        <v>0.1454512477686398</v>
      </c>
      <c r="AG50" s="483">
        <f t="shared" si="7"/>
        <v>0.14563286879530754</v>
      </c>
      <c r="AH50" s="483">
        <f t="shared" si="7"/>
        <v>0.1455260328972677</v>
      </c>
      <c r="AI50" s="483">
        <f t="shared" si="7"/>
        <v>0.14543667923708892</v>
      </c>
      <c r="AJ50" s="483">
        <f t="shared" si="7"/>
        <v>0.14532620120616133</v>
      </c>
      <c r="AK50"/>
      <c r="AM50" s="254" t="s">
        <v>751</v>
      </c>
      <c r="AN50" s="254">
        <v>81.245000000000005</v>
      </c>
      <c r="AO50" s="254">
        <v>80.126999999999995</v>
      </c>
      <c r="AP50" s="254">
        <v>78.787999999999997</v>
      </c>
      <c r="AQ50" s="254">
        <v>75.122</v>
      </c>
      <c r="AR50" s="254">
        <v>79.87</v>
      </c>
    </row>
    <row r="51" spans="1:44" s="254" customFormat="1">
      <c r="A51" s="253" t="s">
        <v>76</v>
      </c>
      <c r="B51" s="504">
        <f t="shared" si="2"/>
        <v>3.7290000000000001</v>
      </c>
      <c r="C51" s="504">
        <f t="shared" si="3"/>
        <v>4.9790000000000001</v>
      </c>
      <c r="D51" s="504">
        <f t="shared" si="4"/>
        <v>5.1959999999999997</v>
      </c>
      <c r="E51" s="504">
        <f t="shared" si="5"/>
        <v>3.4159999999999999</v>
      </c>
      <c r="F51" s="504">
        <f t="shared" si="6"/>
        <v>4.6900000000000004</v>
      </c>
      <c r="G51" s="483">
        <f t="shared" ref="G51:AJ51" si="8">G38*$AM38</f>
        <v>3.7134624999999999</v>
      </c>
      <c r="H51" s="483">
        <f t="shared" si="8"/>
        <v>5.0032269999999999</v>
      </c>
      <c r="I51" s="483">
        <f t="shared" si="8"/>
        <v>1.72925</v>
      </c>
      <c r="J51" s="483">
        <f t="shared" si="8"/>
        <v>1.8825054999999999</v>
      </c>
      <c r="K51" s="483">
        <f t="shared" si="8"/>
        <v>2.2641960000000001</v>
      </c>
      <c r="L51" s="483">
        <f t="shared" si="8"/>
        <v>3.0893164999999998</v>
      </c>
      <c r="M51" s="483">
        <f t="shared" si="8"/>
        <v>2.8421620000000001</v>
      </c>
      <c r="N51" s="483">
        <f t="shared" si="8"/>
        <v>2.8346254999999996</v>
      </c>
      <c r="O51" s="483">
        <f t="shared" si="8"/>
        <v>2.8597855000000001</v>
      </c>
      <c r="P51" s="483">
        <f t="shared" si="8"/>
        <v>2.9054305</v>
      </c>
      <c r="Q51" s="483">
        <f t="shared" si="8"/>
        <v>3.2119660000000003</v>
      </c>
      <c r="R51" s="483">
        <f t="shared" si="8"/>
        <v>3.8367735000000001</v>
      </c>
      <c r="S51" s="483">
        <f t="shared" si="8"/>
        <v>3.589029</v>
      </c>
      <c r="T51" s="483">
        <f t="shared" si="8"/>
        <v>3.3475470000000001</v>
      </c>
      <c r="U51" s="483">
        <f t="shared" si="8"/>
        <v>3.7195114999999999</v>
      </c>
      <c r="V51" s="483">
        <f t="shared" si="8"/>
        <v>4.1999960000000005</v>
      </c>
      <c r="W51" s="483">
        <f t="shared" si="8"/>
        <v>4.4498354999999998</v>
      </c>
      <c r="X51" s="483">
        <f t="shared" si="8"/>
        <v>4.8850134999999995</v>
      </c>
      <c r="Y51" s="483">
        <f t="shared" si="8"/>
        <v>5.1684109999999999</v>
      </c>
      <c r="Z51" s="483">
        <f t="shared" si="8"/>
        <v>5.4211369999999999</v>
      </c>
      <c r="AA51" s="483">
        <f t="shared" si="8"/>
        <v>5.8138705000000002</v>
      </c>
      <c r="AB51" s="483">
        <f t="shared" si="8"/>
        <v>5.5467279999999999</v>
      </c>
      <c r="AC51" s="483">
        <f t="shared" si="8"/>
        <v>5.9584595</v>
      </c>
      <c r="AD51" s="483">
        <f t="shared" si="8"/>
        <v>6.3191500000000005</v>
      </c>
      <c r="AE51" s="483">
        <f t="shared" si="8"/>
        <v>6.5512929999999994</v>
      </c>
      <c r="AF51" s="483">
        <f t="shared" si="8"/>
        <v>6.6687504999999998</v>
      </c>
      <c r="AG51" s="483">
        <f t="shared" si="8"/>
        <v>6.7729230000000005</v>
      </c>
      <c r="AH51" s="483">
        <f t="shared" si="8"/>
        <v>6.6843020000000006</v>
      </c>
      <c r="AI51" s="483">
        <f t="shared" si="8"/>
        <v>6.9604204999999997</v>
      </c>
      <c r="AJ51" s="483">
        <f t="shared" si="8"/>
        <v>7.9000140000000005</v>
      </c>
      <c r="AK51"/>
      <c r="AM51" s="254" t="s">
        <v>68</v>
      </c>
      <c r="AN51" s="254">
        <v>77.45</v>
      </c>
      <c r="AO51" s="254">
        <v>75.084000000000003</v>
      </c>
      <c r="AP51" s="254">
        <v>73.531999999999996</v>
      </c>
      <c r="AQ51" s="254">
        <v>71.611000000000004</v>
      </c>
      <c r="AR51" s="254">
        <v>75.046999999999997</v>
      </c>
    </row>
    <row r="52" spans="1:44" s="254" customFormat="1">
      <c r="A52" s="253" t="s">
        <v>71</v>
      </c>
      <c r="B52" s="505">
        <f>AN55</f>
        <v>10.117000000000001</v>
      </c>
      <c r="C52" s="505">
        <f t="shared" ref="C52:F52" si="9">AO55</f>
        <v>9.3719999999999999</v>
      </c>
      <c r="D52" s="505">
        <f t="shared" si="9"/>
        <v>9.3789999999999996</v>
      </c>
      <c r="E52" s="505">
        <f t="shared" si="9"/>
        <v>10.247</v>
      </c>
      <c r="F52" s="505">
        <f t="shared" si="9"/>
        <v>8.9960000000000004</v>
      </c>
      <c r="G52" s="483">
        <f>G39*$AM40</f>
        <v>8.8763500000000004</v>
      </c>
      <c r="H52" s="483">
        <f t="shared" ref="H52:AJ52" si="10">H39*$AM40</f>
        <v>9.93194965</v>
      </c>
      <c r="I52" s="483">
        <f t="shared" si="10"/>
        <v>9.2860946499999972</v>
      </c>
      <c r="J52" s="483">
        <f t="shared" si="10"/>
        <v>9.3116323999999988</v>
      </c>
      <c r="K52" s="483">
        <f t="shared" si="10"/>
        <v>9.5413821999999993</v>
      </c>
      <c r="L52" s="483">
        <f t="shared" si="10"/>
        <v>9.6337027499999994</v>
      </c>
      <c r="M52" s="483">
        <f t="shared" si="10"/>
        <v>9.6337027499999994</v>
      </c>
      <c r="N52" s="483">
        <f t="shared" si="10"/>
        <v>9.6337027499999994</v>
      </c>
      <c r="O52" s="483">
        <f t="shared" si="10"/>
        <v>9.6337027499999994</v>
      </c>
      <c r="P52" s="483">
        <f t="shared" si="10"/>
        <v>9.6337027499999994</v>
      </c>
      <c r="Q52" s="483">
        <f t="shared" si="10"/>
        <v>9.6337027499999994</v>
      </c>
      <c r="R52" s="483">
        <f t="shared" si="10"/>
        <v>9.6337023999999989</v>
      </c>
      <c r="S52" s="483">
        <f t="shared" si="10"/>
        <v>9.6337027499999994</v>
      </c>
      <c r="T52" s="483">
        <f t="shared" si="10"/>
        <v>9.6337027499999994</v>
      </c>
      <c r="U52" s="483">
        <f t="shared" si="10"/>
        <v>9.6337027499999994</v>
      </c>
      <c r="V52" s="483">
        <f t="shared" si="10"/>
        <v>9.6337027499999994</v>
      </c>
      <c r="W52" s="483">
        <f t="shared" si="10"/>
        <v>9.6337027499999994</v>
      </c>
      <c r="X52" s="483">
        <f t="shared" si="10"/>
        <v>9.6337027499999994</v>
      </c>
      <c r="Y52" s="483">
        <f t="shared" si="10"/>
        <v>9.6337027499999994</v>
      </c>
      <c r="Z52" s="483">
        <f t="shared" si="10"/>
        <v>9.6337027499999994</v>
      </c>
      <c r="AA52" s="483">
        <f t="shared" si="10"/>
        <v>9.6337027499999994</v>
      </c>
      <c r="AB52" s="483">
        <f t="shared" si="10"/>
        <v>9.6337027499999994</v>
      </c>
      <c r="AC52" s="483">
        <f t="shared" si="10"/>
        <v>9.6337027499999994</v>
      </c>
      <c r="AD52" s="483">
        <f t="shared" si="10"/>
        <v>9.6337027499999994</v>
      </c>
      <c r="AE52" s="483">
        <f t="shared" si="10"/>
        <v>9.6337027499999994</v>
      </c>
      <c r="AF52" s="483">
        <f t="shared" si="10"/>
        <v>9.6337027499999994</v>
      </c>
      <c r="AG52" s="483">
        <f t="shared" si="10"/>
        <v>9.6337027499999994</v>
      </c>
      <c r="AH52" s="483">
        <f t="shared" si="10"/>
        <v>9.6337027499999994</v>
      </c>
      <c r="AI52" s="483">
        <f t="shared" si="10"/>
        <v>9.6337027499999994</v>
      </c>
      <c r="AJ52" s="483">
        <f t="shared" si="10"/>
        <v>9.6337027499999994</v>
      </c>
      <c r="AK52"/>
      <c r="AM52" s="254" t="s">
        <v>69</v>
      </c>
      <c r="AN52" s="254">
        <v>6.0999999999999999E-2</v>
      </c>
      <c r="AO52" s="254">
        <v>0.06</v>
      </c>
      <c r="AP52" s="254">
        <v>5.7000000000000002E-2</v>
      </c>
      <c r="AQ52" s="254">
        <v>8.7999999999999995E-2</v>
      </c>
      <c r="AR52" s="254">
        <v>0.126</v>
      </c>
    </row>
    <row r="53" spans="1:44" s="254" customFormat="1">
      <c r="A53" s="253" t="s">
        <v>326</v>
      </c>
      <c r="B53" s="506"/>
      <c r="C53" s="506"/>
      <c r="D53" s="506"/>
      <c r="E53" s="506"/>
      <c r="F53" s="506"/>
      <c r="G53" s="483"/>
      <c r="H53" s="483"/>
      <c r="I53" s="483"/>
      <c r="J53" s="483"/>
      <c r="K53" s="483"/>
      <c r="L53" s="483"/>
      <c r="M53" s="483"/>
      <c r="N53" s="483"/>
      <c r="O53" s="483"/>
      <c r="P53" s="483"/>
      <c r="Q53" s="483"/>
      <c r="R53" s="483"/>
      <c r="S53" s="483"/>
      <c r="T53" s="483"/>
      <c r="U53" s="483"/>
      <c r="V53" s="483"/>
      <c r="W53" s="483"/>
      <c r="X53" s="483"/>
      <c r="Y53" s="483"/>
      <c r="Z53" s="483"/>
      <c r="AA53" s="483"/>
      <c r="AB53" s="483"/>
      <c r="AC53" s="483"/>
      <c r="AD53" s="483"/>
      <c r="AE53" s="483"/>
      <c r="AF53" s="483"/>
      <c r="AG53" s="483"/>
      <c r="AH53" s="483"/>
      <c r="AI53" s="483"/>
      <c r="AJ53" s="483"/>
      <c r="AK53"/>
      <c r="AM53" s="254" t="s">
        <v>745</v>
      </c>
      <c r="AN53" s="254">
        <v>3.7290000000000001</v>
      </c>
      <c r="AO53" s="254">
        <v>4.9790000000000001</v>
      </c>
      <c r="AP53" s="254">
        <v>5.1959999999999997</v>
      </c>
      <c r="AQ53" s="254">
        <v>3.4159999999999999</v>
      </c>
      <c r="AR53" s="254">
        <v>4.6900000000000004</v>
      </c>
    </row>
    <row r="54" spans="1:44" s="254" customFormat="1">
      <c r="A54" s="253" t="s">
        <v>628</v>
      </c>
      <c r="B54" s="505">
        <f>AN56</f>
        <v>0.223</v>
      </c>
      <c r="C54" s="505">
        <f t="shared" ref="C54:F54" si="11">AO56</f>
        <v>1.234</v>
      </c>
      <c r="D54" s="505">
        <f t="shared" si="11"/>
        <v>2.2930000000000001</v>
      </c>
      <c r="E54" s="505">
        <f t="shared" si="11"/>
        <v>2.391</v>
      </c>
      <c r="F54" s="505">
        <f t="shared" si="11"/>
        <v>2.5270000000000001</v>
      </c>
      <c r="G54" s="483">
        <f>EIA_RE_aeo2014!G79</f>
        <v>2.4708864052538697</v>
      </c>
      <c r="H54" s="483">
        <f>EIA_RE_aeo2014!H79</f>
        <v>2.7290342727704973</v>
      </c>
      <c r="I54" s="483">
        <f>EIA_RE_aeo2014!I79</f>
        <v>3.9638424704927271</v>
      </c>
      <c r="J54" s="483">
        <f>EIA_RE_aeo2014!J79</f>
        <v>4.3485274054519145</v>
      </c>
      <c r="K54" s="483">
        <f>EIA_RE_aeo2014!K79</f>
        <v>4.9628842754519145</v>
      </c>
      <c r="L54" s="483">
        <f>EIA_RE_aeo2014!L79</f>
        <v>5.0683800454519146</v>
      </c>
      <c r="M54" s="483">
        <f>EIA_RE_aeo2014!M79</f>
        <v>5.8691158954519143</v>
      </c>
      <c r="N54" s="483">
        <f>EIA_RE_aeo2014!N79</f>
        <v>5.8685633954519139</v>
      </c>
      <c r="O54" s="483">
        <f>EIA_RE_aeo2014!O79</f>
        <v>5.9752895854519146</v>
      </c>
      <c r="P54" s="483">
        <f>EIA_RE_aeo2014!P79</f>
        <v>6.7617515554519141</v>
      </c>
      <c r="Q54" s="483">
        <f>EIA_RE_aeo2014!Q79</f>
        <v>6.9489423254519149</v>
      </c>
      <c r="R54" s="483">
        <f>EIA_RE_aeo2014!R79</f>
        <v>6.9293110454519145</v>
      </c>
      <c r="S54" s="483">
        <f>EIA_RE_aeo2014!S79</f>
        <v>6.934013855451914</v>
      </c>
      <c r="T54" s="483">
        <f>EIA_RE_aeo2014!T79</f>
        <v>7.1469100254519144</v>
      </c>
      <c r="U54" s="483">
        <f>EIA_RE_aeo2014!U79</f>
        <v>7.1566135754519156</v>
      </c>
      <c r="V54" s="483">
        <f>EIA_RE_aeo2014!V79</f>
        <v>7.1612218254519142</v>
      </c>
      <c r="W54" s="483">
        <f>EIA_RE_aeo2014!W79</f>
        <v>7.2348493954519144</v>
      </c>
      <c r="X54" s="483">
        <f>EIA_RE_aeo2014!X79</f>
        <v>7.2360717254519145</v>
      </c>
      <c r="Y54" s="483">
        <f>EIA_RE_aeo2014!Y79</f>
        <v>7.2578250054519149</v>
      </c>
      <c r="Z54" s="483">
        <f>EIA_RE_aeo2014!Z79</f>
        <v>7.4932908854519145</v>
      </c>
      <c r="AA54" s="483">
        <f>EIA_RE_aeo2014!AA79</f>
        <v>7.6540920954519143</v>
      </c>
      <c r="AB54" s="483">
        <f>EIA_RE_aeo2014!AB79</f>
        <v>7.729062655451914</v>
      </c>
      <c r="AC54" s="483">
        <f>EIA_RE_aeo2014!AC79</f>
        <v>7.736873095451914</v>
      </c>
      <c r="AD54" s="483">
        <f>EIA_RE_aeo2014!AD79</f>
        <v>7.7543004254519143</v>
      </c>
      <c r="AE54" s="483">
        <f>EIA_RE_aeo2014!AE79</f>
        <v>7.7844097454519137</v>
      </c>
      <c r="AF54" s="483">
        <f>EIA_RE_aeo2014!AF79</f>
        <v>7.7865024854519147</v>
      </c>
      <c r="AG54" s="483">
        <f>EIA_RE_aeo2014!AG79</f>
        <v>7.8042723654519151</v>
      </c>
      <c r="AH54" s="483">
        <f>EIA_RE_aeo2014!AH79</f>
        <v>7.8113855354519144</v>
      </c>
      <c r="AI54" s="483">
        <f>EIA_RE_aeo2014!AI79</f>
        <v>7.8998589354519142</v>
      </c>
      <c r="AJ54" s="483">
        <f>EIA_RE_aeo2014!AJ79</f>
        <v>8.1746818054519146</v>
      </c>
      <c r="AK54"/>
      <c r="AM54" s="254" t="s">
        <v>752</v>
      </c>
      <c r="AN54" s="254">
        <v>5.0000000000000001E-3</v>
      </c>
      <c r="AO54" s="254">
        <v>3.0000000000000001E-3</v>
      </c>
      <c r="AP54" s="254">
        <v>3.0000000000000001E-3</v>
      </c>
      <c r="AQ54" s="254">
        <v>7.0000000000000001E-3</v>
      </c>
      <c r="AR54" s="254">
        <v>7.0000000000000001E-3</v>
      </c>
    </row>
    <row r="55" spans="1:44" s="254" customFormat="1">
      <c r="A55" s="253" t="s">
        <v>629</v>
      </c>
      <c r="B55" s="505">
        <f>AN58</f>
        <v>5.3999999999999999E-2</v>
      </c>
      <c r="C55" s="505">
        <f t="shared" ref="C55:F55" si="12">AO58</f>
        <v>3.6999999999999998E-2</v>
      </c>
      <c r="D55" s="505">
        <f t="shared" si="12"/>
        <v>2.4E-2</v>
      </c>
      <c r="E55" s="505">
        <f t="shared" si="12"/>
        <v>2.7E-2</v>
      </c>
      <c r="F55" s="505">
        <f t="shared" si="12"/>
        <v>3.2000000000000001E-2</v>
      </c>
      <c r="G55" s="483">
        <f>G40*$AM43</f>
        <v>-3.0238802406859978E-2</v>
      </c>
      <c r="H55" s="483">
        <f t="shared" ref="H55:AJ55" si="13">H40*$AM43</f>
        <v>-4.0396539649474442E-2</v>
      </c>
      <c r="I55" s="483">
        <f t="shared" si="13"/>
        <v>-2.7393073250121375E-2</v>
      </c>
      <c r="J55" s="483">
        <f t="shared" si="13"/>
        <v>-2.7393073250121375E-2</v>
      </c>
      <c r="K55" s="483">
        <f t="shared" si="13"/>
        <v>-2.7393073250121375E-2</v>
      </c>
      <c r="L55" s="483">
        <f t="shared" si="13"/>
        <v>-2.7393073250121375E-2</v>
      </c>
      <c r="M55" s="483">
        <f t="shared" si="13"/>
        <v>-2.7393073250121375E-2</v>
      </c>
      <c r="N55" s="483">
        <f t="shared" si="13"/>
        <v>-2.7393073250121375E-2</v>
      </c>
      <c r="O55" s="483">
        <f t="shared" si="13"/>
        <v>-2.7393073250121375E-2</v>
      </c>
      <c r="P55" s="483">
        <f t="shared" si="13"/>
        <v>-2.7393073250121375E-2</v>
      </c>
      <c r="Q55" s="483">
        <f t="shared" si="13"/>
        <v>-2.7229377407634626E-2</v>
      </c>
      <c r="R55" s="483">
        <f t="shared" si="13"/>
        <v>-2.6998093544264329E-2</v>
      </c>
      <c r="S55" s="483">
        <f t="shared" si="13"/>
        <v>-2.6998093544264329E-2</v>
      </c>
      <c r="T55" s="483">
        <f t="shared" si="13"/>
        <v>-2.6998093544264329E-2</v>
      </c>
      <c r="U55" s="483">
        <f t="shared" si="13"/>
        <v>-2.672383463871374E-2</v>
      </c>
      <c r="V55" s="483">
        <f t="shared" si="13"/>
        <v>-2.6468719161043461E-2</v>
      </c>
      <c r="W55" s="483">
        <f t="shared" si="13"/>
        <v>-2.6116323815165061E-2</v>
      </c>
      <c r="X55" s="483">
        <f t="shared" si="13"/>
        <v>-2.5788541447989928E-2</v>
      </c>
      <c r="Y55" s="483">
        <f t="shared" si="13"/>
        <v>-2.566703928328019E-2</v>
      </c>
      <c r="Z55" s="483">
        <f t="shared" si="13"/>
        <v>-2.5582261245524526E-2</v>
      </c>
      <c r="AA55" s="483">
        <f t="shared" si="13"/>
        <v>-2.5560383042232741E-2</v>
      </c>
      <c r="AB55" s="483">
        <f t="shared" si="13"/>
        <v>-2.5520142775463925E-2</v>
      </c>
      <c r="AC55" s="483">
        <f t="shared" si="13"/>
        <v>-2.5496311161163944E-2</v>
      </c>
      <c r="AD55" s="483">
        <f t="shared" si="13"/>
        <v>-2.5446694521555787E-2</v>
      </c>
      <c r="AE55" s="483">
        <f t="shared" si="13"/>
        <v>-2.5404500843778776E-2</v>
      </c>
      <c r="AF55" s="483">
        <f t="shared" si="13"/>
        <v>-2.5379497182873873E-2</v>
      </c>
      <c r="AG55" s="483">
        <f t="shared" si="13"/>
        <v>-2.5320894852628027E-2</v>
      </c>
      <c r="AH55" s="483">
        <f t="shared" si="13"/>
        <v>-2.5291593687505099E-2</v>
      </c>
      <c r="AI55" s="483">
        <f t="shared" si="13"/>
        <v>-2.5249009327526446E-2</v>
      </c>
      <c r="AJ55" s="483">
        <f t="shared" si="13"/>
        <v>-2.5203690192136318E-2</v>
      </c>
      <c r="AK55"/>
      <c r="AM55" s="254" t="s">
        <v>225</v>
      </c>
      <c r="AN55" s="254">
        <v>10.117000000000001</v>
      </c>
      <c r="AO55" s="254">
        <v>9.3719999999999999</v>
      </c>
      <c r="AP55" s="254">
        <v>9.3789999999999996</v>
      </c>
      <c r="AQ55" s="254">
        <v>10.247</v>
      </c>
      <c r="AR55" s="254">
        <v>8.9960000000000004</v>
      </c>
    </row>
    <row r="56" spans="1:44" s="254" customFormat="1">
      <c r="A56" s="253" t="s">
        <v>82</v>
      </c>
      <c r="B56" s="505">
        <f>AN59</f>
        <v>91.686000000000007</v>
      </c>
      <c r="C56" s="505">
        <f t="shared" ref="C56" si="14">AO59</f>
        <v>91.153000000000006</v>
      </c>
      <c r="D56" s="505">
        <f t="shared" ref="D56" si="15">AP59</f>
        <v>91.028999999999996</v>
      </c>
      <c r="E56" s="505">
        <f t="shared" ref="E56" si="16">AQ59</f>
        <v>88.353999999999999</v>
      </c>
      <c r="F56" s="505">
        <f t="shared" ref="F56" si="17">AR59</f>
        <v>92.313000000000002</v>
      </c>
      <c r="G56" s="522">
        <f>G58</f>
        <v>94.046093574077247</v>
      </c>
      <c r="H56" s="522">
        <f t="shared" ref="H56:AJ56" si="18">H58</f>
        <v>90.57378427401251</v>
      </c>
      <c r="I56" s="522">
        <f t="shared" si="18"/>
        <v>91.242844410161709</v>
      </c>
      <c r="J56" s="522">
        <f t="shared" si="18"/>
        <v>92.721202265491371</v>
      </c>
      <c r="K56" s="522">
        <f t="shared" si="18"/>
        <v>96.045173325268038</v>
      </c>
      <c r="L56" s="522">
        <f t="shared" si="18"/>
        <v>91.899590125834521</v>
      </c>
      <c r="M56" s="522">
        <f t="shared" si="18"/>
        <v>93.92820511263497</v>
      </c>
      <c r="N56" s="522">
        <f t="shared" si="18"/>
        <v>95.970599660646613</v>
      </c>
      <c r="O56" s="522">
        <f t="shared" si="18"/>
        <v>96.214445202221214</v>
      </c>
      <c r="P56" s="522">
        <f t="shared" si="18"/>
        <v>96.205086304200634</v>
      </c>
      <c r="Q56" s="522">
        <f t="shared" si="18"/>
        <v>97.301036192872942</v>
      </c>
      <c r="R56" s="522">
        <f t="shared" si="18"/>
        <v>98.464478587696135</v>
      </c>
      <c r="S56" s="522">
        <f t="shared" si="18"/>
        <v>97.984669769571752</v>
      </c>
      <c r="T56" s="522">
        <f t="shared" si="18"/>
        <v>99.32496980596386</v>
      </c>
      <c r="U56" s="522">
        <f t="shared" si="18"/>
        <v>100.08381011123699</v>
      </c>
      <c r="V56" s="522">
        <f t="shared" si="18"/>
        <v>100.66095387969889</v>
      </c>
      <c r="W56" s="522">
        <f t="shared" si="18"/>
        <v>101.33510892562049</v>
      </c>
      <c r="X56" s="522">
        <f t="shared" si="18"/>
        <v>102.10038417958764</v>
      </c>
      <c r="Y56" s="522">
        <f t="shared" si="18"/>
        <v>103.67680505783756</v>
      </c>
      <c r="Z56" s="522">
        <f t="shared" si="18"/>
        <v>104.1029772568789</v>
      </c>
      <c r="AA56" s="522">
        <f t="shared" si="18"/>
        <v>104.46460056975513</v>
      </c>
      <c r="AB56" s="522">
        <f t="shared" si="18"/>
        <v>104.15608581491635</v>
      </c>
      <c r="AC56" s="522">
        <f t="shared" si="18"/>
        <v>104.50519988879722</v>
      </c>
      <c r="AD56" s="522">
        <f t="shared" si="18"/>
        <v>104.81136141112373</v>
      </c>
      <c r="AE56" s="522">
        <f t="shared" si="18"/>
        <v>104.99173027572203</v>
      </c>
      <c r="AF56" s="522">
        <f t="shared" si="18"/>
        <v>105.05483538603769</v>
      </c>
      <c r="AG56" s="522">
        <f t="shared" si="18"/>
        <v>105.11729568939461</v>
      </c>
      <c r="AH56" s="522">
        <f t="shared" si="18"/>
        <v>104.97862417466169</v>
      </c>
      <c r="AI56" s="522">
        <f t="shared" si="18"/>
        <v>105.29398610536148</v>
      </c>
      <c r="AJ56" s="522">
        <f t="shared" si="18"/>
        <v>106.45394011646593</v>
      </c>
      <c r="AK56"/>
      <c r="AM56" s="254" t="s">
        <v>379</v>
      </c>
      <c r="AN56" s="254">
        <v>0.223</v>
      </c>
      <c r="AO56" s="254">
        <v>1.234</v>
      </c>
      <c r="AP56" s="254">
        <v>2.2930000000000001</v>
      </c>
      <c r="AQ56" s="254">
        <v>2.391</v>
      </c>
      <c r="AR56" s="254">
        <v>2.5270000000000001</v>
      </c>
    </row>
    <row r="57" spans="1:44" s="254" customFormat="1">
      <c r="B57" s="487"/>
      <c r="C57" s="487"/>
      <c r="D57" s="487"/>
      <c r="E57" s="487"/>
      <c r="F57" s="487"/>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M57" s="254" t="s">
        <v>753</v>
      </c>
      <c r="AN57" s="254">
        <v>4.8000000000000001E-2</v>
      </c>
      <c r="AO57" s="254">
        <v>0.38300000000000001</v>
      </c>
      <c r="AP57" s="254">
        <v>0.54500000000000004</v>
      </c>
      <c r="AQ57" s="254">
        <v>0.56699999999999995</v>
      </c>
      <c r="AR57" s="254">
        <v>0.88800000000000001</v>
      </c>
    </row>
    <row r="58" spans="1:44" s="254" customFormat="1">
      <c r="A58" s="253" t="s">
        <v>83</v>
      </c>
      <c r="B58" s="482">
        <f>SUM(B49:B52,B54,B55)</f>
        <v>91.634000000000015</v>
      </c>
      <c r="C58" s="482">
        <f t="shared" ref="C58:AJ58" si="19">SUM(C49:C52,C54,C55)</f>
        <v>90.766000000000005</v>
      </c>
      <c r="D58" s="482">
        <f t="shared" si="19"/>
        <v>90.481000000000009</v>
      </c>
      <c r="E58" s="482">
        <f t="shared" si="19"/>
        <v>87.78</v>
      </c>
      <c r="F58" s="482">
        <f t="shared" si="19"/>
        <v>91.417999999999992</v>
      </c>
      <c r="G58" s="482">
        <f t="shared" si="19"/>
        <v>94.046093574077247</v>
      </c>
      <c r="H58" s="482">
        <f t="shared" si="19"/>
        <v>90.57378427401251</v>
      </c>
      <c r="I58" s="482">
        <f t="shared" si="19"/>
        <v>91.242844410161709</v>
      </c>
      <c r="J58" s="482">
        <f t="shared" si="19"/>
        <v>92.721202265491371</v>
      </c>
      <c r="K58" s="482">
        <f t="shared" si="19"/>
        <v>96.045173325268038</v>
      </c>
      <c r="L58" s="482">
        <f t="shared" si="19"/>
        <v>91.899590125834521</v>
      </c>
      <c r="M58" s="482">
        <f t="shared" si="19"/>
        <v>93.92820511263497</v>
      </c>
      <c r="N58" s="482">
        <f t="shared" si="19"/>
        <v>95.970599660646613</v>
      </c>
      <c r="O58" s="482">
        <f t="shared" si="19"/>
        <v>96.214445202221214</v>
      </c>
      <c r="P58" s="482">
        <f t="shared" si="19"/>
        <v>96.205086304200634</v>
      </c>
      <c r="Q58" s="482">
        <f t="shared" si="19"/>
        <v>97.301036192872942</v>
      </c>
      <c r="R58" s="482">
        <f t="shared" si="19"/>
        <v>98.464478587696135</v>
      </c>
      <c r="S58" s="482">
        <f t="shared" si="19"/>
        <v>97.984669769571752</v>
      </c>
      <c r="T58" s="482">
        <f t="shared" si="19"/>
        <v>99.32496980596386</v>
      </c>
      <c r="U58" s="482">
        <f t="shared" si="19"/>
        <v>100.08381011123699</v>
      </c>
      <c r="V58" s="482">
        <f t="shared" si="19"/>
        <v>100.66095387969889</v>
      </c>
      <c r="W58" s="482">
        <f t="shared" si="19"/>
        <v>101.33510892562049</v>
      </c>
      <c r="X58" s="482">
        <f t="shared" si="19"/>
        <v>102.10038417958764</v>
      </c>
      <c r="Y58" s="482">
        <f t="shared" si="19"/>
        <v>103.67680505783756</v>
      </c>
      <c r="Z58" s="482">
        <f t="shared" si="19"/>
        <v>104.1029772568789</v>
      </c>
      <c r="AA58" s="482">
        <f t="shared" si="19"/>
        <v>104.46460056975513</v>
      </c>
      <c r="AB58" s="482">
        <f t="shared" si="19"/>
        <v>104.15608581491635</v>
      </c>
      <c r="AC58" s="482">
        <f t="shared" si="19"/>
        <v>104.50519988879722</v>
      </c>
      <c r="AD58" s="482">
        <f t="shared" si="19"/>
        <v>104.81136141112373</v>
      </c>
      <c r="AE58" s="482">
        <f t="shared" si="19"/>
        <v>104.99173027572203</v>
      </c>
      <c r="AF58" s="482">
        <f t="shared" si="19"/>
        <v>105.05483538603769</v>
      </c>
      <c r="AG58" s="482">
        <f t="shared" si="19"/>
        <v>105.11729568939461</v>
      </c>
      <c r="AH58" s="482">
        <f t="shared" si="19"/>
        <v>104.97862417466169</v>
      </c>
      <c r="AI58" s="482">
        <f t="shared" si="19"/>
        <v>105.29398610536148</v>
      </c>
      <c r="AJ58" s="482">
        <f t="shared" si="19"/>
        <v>106.45394011646593</v>
      </c>
      <c r="AK58" s="489">
        <v>8.9999999999999993E-3</v>
      </c>
      <c r="AM58" s="254" t="s">
        <v>744</v>
      </c>
      <c r="AN58" s="254">
        <v>5.3999999999999999E-2</v>
      </c>
      <c r="AO58" s="254">
        <v>3.6999999999999998E-2</v>
      </c>
      <c r="AP58" s="254">
        <v>2.4E-2</v>
      </c>
      <c r="AQ58" s="254">
        <v>2.7E-2</v>
      </c>
      <c r="AR58" s="254">
        <v>3.2000000000000001E-2</v>
      </c>
    </row>
    <row r="59" spans="1:44">
      <c r="A59" s="6" t="s">
        <v>84</v>
      </c>
      <c r="B59" s="365">
        <v>3906.17822265625</v>
      </c>
      <c r="C59" s="365">
        <v>4003.6083984375</v>
      </c>
      <c r="D59" s="365">
        <v>4006.09130859375</v>
      </c>
      <c r="E59" s="365">
        <v>3992.21752929688</v>
      </c>
      <c r="F59" s="365">
        <v>4046.56079101563</v>
      </c>
      <c r="G59" s="247">
        <v>3975.9853520000001</v>
      </c>
      <c r="H59" s="247">
        <v>3914.8715820000002</v>
      </c>
      <c r="I59" s="247">
        <v>3921.3237300000001</v>
      </c>
      <c r="J59" s="247">
        <v>3939.0678710000002</v>
      </c>
      <c r="K59" s="247">
        <v>4009.0505370000001</v>
      </c>
      <c r="L59" s="247">
        <v>4063.0170899999998</v>
      </c>
      <c r="M59" s="247">
        <v>4119.9077150000003</v>
      </c>
      <c r="N59" s="247">
        <v>4166.5869140000004</v>
      </c>
      <c r="O59" s="247">
        <v>4198.9038090000004</v>
      </c>
      <c r="P59" s="247">
        <v>4219.6909180000002</v>
      </c>
      <c r="Q59" s="247">
        <v>4252.6411129999997</v>
      </c>
      <c r="R59" s="247">
        <v>4292.3344729999999</v>
      </c>
      <c r="S59" s="247">
        <v>4339.8535160000001</v>
      </c>
      <c r="T59" s="247">
        <v>4382.0117190000001</v>
      </c>
      <c r="U59" s="247">
        <v>4415.9643550000001</v>
      </c>
      <c r="V59" s="247">
        <v>4450.7382809999999</v>
      </c>
      <c r="W59" s="247">
        <v>4486.6025390000004</v>
      </c>
      <c r="X59" s="247">
        <v>4519.0146480000003</v>
      </c>
      <c r="Y59" s="247">
        <v>4546.845703</v>
      </c>
      <c r="Z59" s="247">
        <v>4573.2431640000004</v>
      </c>
      <c r="AA59" s="247">
        <v>4595.8320309999999</v>
      </c>
      <c r="AB59" s="247">
        <v>4620.3847660000001</v>
      </c>
      <c r="AC59" s="247">
        <v>4650.2163090000004</v>
      </c>
      <c r="AD59" s="247">
        <v>4684.017578</v>
      </c>
      <c r="AE59" s="247">
        <v>4715.7373049999997</v>
      </c>
      <c r="AF59" s="247">
        <v>4746.6293949999999</v>
      </c>
      <c r="AG59" s="247">
        <v>4780.0688479999999</v>
      </c>
      <c r="AH59" s="247">
        <v>4817.2851559999999</v>
      </c>
      <c r="AI59" s="247">
        <v>4853.5073240000002</v>
      </c>
      <c r="AJ59" s="247">
        <v>4888.0634769999997</v>
      </c>
      <c r="AK59" s="248">
        <v>8.0000000000000002E-3</v>
      </c>
      <c r="AM59" s="5" t="s">
        <v>58</v>
      </c>
      <c r="AN59" s="5">
        <v>91.686000000000007</v>
      </c>
      <c r="AO59" s="5">
        <v>91.153000000000006</v>
      </c>
      <c r="AP59" s="5">
        <v>91.028999999999996</v>
      </c>
      <c r="AQ59" s="5">
        <v>88.353999999999999</v>
      </c>
      <c r="AR59" s="5">
        <v>92.313000000000002</v>
      </c>
    </row>
    <row r="60" spans="1:44" s="273" customFormat="1">
      <c r="A60" s="272" t="s">
        <v>331</v>
      </c>
      <c r="B60" s="366"/>
      <c r="C60" s="366"/>
      <c r="D60" s="366"/>
      <c r="E60" s="366">
        <f>E49/SUM(E49,E51)</f>
        <v>0.95446972423260967</v>
      </c>
      <c r="F60" s="366">
        <f t="shared" ref="F60:AJ60" si="20">F49/SUM(F49,F51)</f>
        <v>0.94118163462382587</v>
      </c>
      <c r="G60" s="323">
        <f t="shared" si="20"/>
        <v>0.95508885913755615</v>
      </c>
      <c r="H60" s="323">
        <f t="shared" si="20"/>
        <v>0.93578614995612175</v>
      </c>
      <c r="I60" s="323">
        <f t="shared" si="20"/>
        <v>0.97779749111482694</v>
      </c>
      <c r="J60" s="323">
        <f t="shared" si="20"/>
        <v>0.97615628553773748</v>
      </c>
      <c r="K60" s="323">
        <f t="shared" si="20"/>
        <v>0.97219386614945857</v>
      </c>
      <c r="L60" s="323">
        <f t="shared" si="20"/>
        <v>0.9599277152403447</v>
      </c>
      <c r="M60" s="323">
        <f t="shared" si="20"/>
        <v>0.96371017494368305</v>
      </c>
      <c r="N60" s="323">
        <f t="shared" si="20"/>
        <v>0.96472525182794922</v>
      </c>
      <c r="O60" s="323">
        <f t="shared" si="20"/>
        <v>0.96447268494782512</v>
      </c>
      <c r="P60" s="323">
        <f t="shared" si="20"/>
        <v>0.96354537807834373</v>
      </c>
      <c r="Q60" s="323">
        <f t="shared" si="20"/>
        <v>0.96015270236607553</v>
      </c>
      <c r="R60" s="323">
        <f t="shared" si="20"/>
        <v>0.95308936235097941</v>
      </c>
      <c r="S60" s="323">
        <f t="shared" si="20"/>
        <v>0.9558570104753672</v>
      </c>
      <c r="T60" s="323">
        <f t="shared" si="20"/>
        <v>0.95938874870021773</v>
      </c>
      <c r="U60" s="323">
        <f t="shared" si="20"/>
        <v>0.95528208662037795</v>
      </c>
      <c r="V60" s="323">
        <f t="shared" si="20"/>
        <v>0.94985043639609723</v>
      </c>
      <c r="W60" s="323">
        <f t="shared" si="20"/>
        <v>0.94724480350774087</v>
      </c>
      <c r="X60" s="323">
        <f t="shared" si="20"/>
        <v>0.94260481596300671</v>
      </c>
      <c r="Y60" s="323">
        <f t="shared" si="20"/>
        <v>0.94036276996888024</v>
      </c>
      <c r="Z60" s="323">
        <f t="shared" si="20"/>
        <v>0.93758374199924044</v>
      </c>
      <c r="AA60" s="323">
        <f t="shared" si="20"/>
        <v>0.93321649812131369</v>
      </c>
      <c r="AB60" s="323">
        <f t="shared" si="20"/>
        <v>0.93600329167121576</v>
      </c>
      <c r="AC60" s="323">
        <f t="shared" si="20"/>
        <v>0.93152333441329371</v>
      </c>
      <c r="AD60" s="323">
        <f t="shared" si="20"/>
        <v>0.92761840031658016</v>
      </c>
      <c r="AE60" s="323">
        <f t="shared" si="20"/>
        <v>0.92508828963908452</v>
      </c>
      <c r="AF60" s="323">
        <f t="shared" si="20"/>
        <v>0.92379838712640983</v>
      </c>
      <c r="AG60" s="323">
        <f t="shared" si="20"/>
        <v>0.92264733111653796</v>
      </c>
      <c r="AH60" s="323">
        <f t="shared" si="20"/>
        <v>0.92353220975387373</v>
      </c>
      <c r="AI60" s="323">
        <f t="shared" si="20"/>
        <v>0.92057962463228971</v>
      </c>
      <c r="AJ60" s="323">
        <f t="shared" si="20"/>
        <v>0.91075995080941319</v>
      </c>
      <c r="AK60" s="323"/>
      <c r="AL60" s="273" t="s">
        <v>0</v>
      </c>
    </row>
    <row r="61" spans="1:44" s="264" customFormat="1">
      <c r="A61" s="261" t="s">
        <v>107</v>
      </c>
      <c r="B61" s="357">
        <f>B54/B58</f>
        <v>2.433594517318899E-3</v>
      </c>
      <c r="C61" s="357">
        <f t="shared" ref="C61:AJ61" si="21">C54/C58</f>
        <v>1.3595399158275123E-2</v>
      </c>
      <c r="D61" s="357">
        <f t="shared" si="21"/>
        <v>2.5342337065240216E-2</v>
      </c>
      <c r="E61" s="357">
        <f t="shared" si="21"/>
        <v>2.7238550922761447E-2</v>
      </c>
      <c r="F61" s="357">
        <f t="shared" si="21"/>
        <v>2.7642258636154809E-2</v>
      </c>
      <c r="G61" s="308">
        <f t="shared" si="21"/>
        <v>2.6273142364043305E-2</v>
      </c>
      <c r="H61" s="308">
        <f t="shared" si="21"/>
        <v>3.0130509557979388E-2</v>
      </c>
      <c r="I61" s="308">
        <f t="shared" si="21"/>
        <v>4.3442776210199714E-2</v>
      </c>
      <c r="J61" s="308">
        <f t="shared" si="21"/>
        <v>4.6898954060158184E-2</v>
      </c>
      <c r="K61" s="308">
        <f t="shared" si="21"/>
        <v>5.1672396473735699E-2</v>
      </c>
      <c r="L61" s="308">
        <f t="shared" si="21"/>
        <v>5.5151280201706877E-2</v>
      </c>
      <c r="M61" s="308">
        <f t="shared" si="21"/>
        <v>6.2485127746387828E-2</v>
      </c>
      <c r="N61" s="308">
        <f t="shared" si="21"/>
        <v>6.1149595982553366E-2</v>
      </c>
      <c r="O61" s="308">
        <f t="shared" si="21"/>
        <v>6.2103871959072195E-2</v>
      </c>
      <c r="P61" s="308">
        <f t="shared" si="21"/>
        <v>7.0284761598479781E-2</v>
      </c>
      <c r="Q61" s="308">
        <f t="shared" si="21"/>
        <v>7.141694063439899E-2</v>
      </c>
      <c r="R61" s="308">
        <f t="shared" si="21"/>
        <v>7.0373713900088466E-2</v>
      </c>
      <c r="S61" s="308">
        <f t="shared" si="21"/>
        <v>7.0766313462692396E-2</v>
      </c>
      <c r="T61" s="308">
        <f t="shared" si="21"/>
        <v>7.1954816995300874E-2</v>
      </c>
      <c r="U61" s="308">
        <f t="shared" si="21"/>
        <v>7.150620632345811E-2</v>
      </c>
      <c r="V61" s="308">
        <f t="shared" si="21"/>
        <v>7.114200242936676E-2</v>
      </c>
      <c r="W61" s="308">
        <f t="shared" si="21"/>
        <v>7.1395289077571936E-2</v>
      </c>
      <c r="X61" s="308">
        <f t="shared" si="21"/>
        <v>7.0872130243155168E-2</v>
      </c>
      <c r="Y61" s="308">
        <f t="shared" si="21"/>
        <v>7.0004327403829961E-2</v>
      </c>
      <c r="Z61" s="308">
        <f t="shared" si="21"/>
        <v>7.1979602148763464E-2</v>
      </c>
      <c r="AA61" s="308">
        <f t="shared" si="21"/>
        <v>7.3269720591531626E-2</v>
      </c>
      <c r="AB61" s="308">
        <f t="shared" si="21"/>
        <v>7.4206539108874842E-2</v>
      </c>
      <c r="AC61" s="308">
        <f t="shared" si="21"/>
        <v>7.4033379235527344E-2</v>
      </c>
      <c r="AD61" s="308">
        <f t="shared" si="21"/>
        <v>7.398339570302484E-2</v>
      </c>
      <c r="AE61" s="308">
        <f t="shared" si="21"/>
        <v>7.4143075126098357E-2</v>
      </c>
      <c r="AF61" s="308">
        <f t="shared" si="21"/>
        <v>7.4118458772881757E-2</v>
      </c>
      <c r="AG61" s="308">
        <f t="shared" si="21"/>
        <v>7.424346597074126E-2</v>
      </c>
      <c r="AH61" s="308">
        <f t="shared" si="21"/>
        <v>7.4409296148285023E-2</v>
      </c>
      <c r="AI61" s="308">
        <f t="shared" si="21"/>
        <v>7.5026686970963291E-2</v>
      </c>
      <c r="AJ61" s="308">
        <f t="shared" si="21"/>
        <v>7.6790786668003125E-2</v>
      </c>
      <c r="AK61" s="308"/>
    </row>
    <row r="62" spans="1:44" s="274" customFormat="1">
      <c r="A62" s="263" t="s">
        <v>108</v>
      </c>
      <c r="B62" s="367">
        <f>(B54-EIA_RE_aeo2014!B73)/B56</f>
        <v>2.6176297362738034E-4</v>
      </c>
      <c r="C62" s="367">
        <f>(C54-EIA_RE_aeo2014!C73)/C56</f>
        <v>3.2911697914495436E-4</v>
      </c>
      <c r="D62" s="367">
        <f>(D54-EIA_RE_aeo2014!D73)/D56</f>
        <v>2.7024354875918662E-3</v>
      </c>
      <c r="E62" s="367">
        <f>(E54-EIA_RE_aeo2014!E73)/E56</f>
        <v>6.4965932498811611E-3</v>
      </c>
      <c r="F62" s="367">
        <f>(F54-EIA_RE_aeo2014!F73)/F56</f>
        <v>1.0702717927052529E-2</v>
      </c>
      <c r="G62" s="324">
        <f>(G54-EIA_RE_aeo2014!G73)/G56</f>
        <v>1.0737143531203575E-2</v>
      </c>
      <c r="H62" s="324">
        <f>(H54-EIA_RE_aeo2014!H73)/H56</f>
        <v>1.7785325916129281E-2</v>
      </c>
      <c r="I62" s="324">
        <f>(I54-EIA_RE_aeo2014!I73)/I56</f>
        <v>2.7956197409039173E-2</v>
      </c>
      <c r="J62" s="324">
        <f>(J54-EIA_RE_aeo2014!J73)/J56</f>
        <v>2.8907548003715592E-2</v>
      </c>
      <c r="K62" s="324">
        <f>(K54-EIA_RE_aeo2014!K73)/K56</f>
        <v>2.9170706121416597E-2</v>
      </c>
      <c r="L62" s="324">
        <f>(L54-EIA_RE_aeo2014!L73)/L56</f>
        <v>3.1154462620906227E-2</v>
      </c>
      <c r="M62" s="324">
        <f>(M54-EIA_RE_aeo2014!M73)/M56</f>
        <v>3.0950987959002842E-2</v>
      </c>
      <c r="N62" s="324">
        <f>(N54-EIA_RE_aeo2014!N73)/N56</f>
        <v>3.02865388538756E-2</v>
      </c>
      <c r="O62" s="324">
        <f>(O54-EIA_RE_aeo2014!O73)/O56</f>
        <v>3.1319024176863913E-2</v>
      </c>
      <c r="P62" s="324">
        <f>(P54-EIA_RE_aeo2014!P73)/P56</f>
        <v>3.949691904476782E-2</v>
      </c>
      <c r="Q62" s="324">
        <f>(Q54-EIA_RE_aeo2014!Q73)/Q56</f>
        <v>3.9766860938479254E-2</v>
      </c>
      <c r="R62" s="324">
        <f>(R54-EIA_RE_aeo2014!R73)/R56</f>
        <v>3.9097607082976688E-2</v>
      </c>
      <c r="S62" s="324">
        <f>(S54-EIA_RE_aeo2014!S73)/S56</f>
        <v>3.9337054607790002E-2</v>
      </c>
      <c r="T62" s="324">
        <f>(T54-EIA_RE_aeo2014!T73)/T56</f>
        <v>4.0949667373648649E-2</v>
      </c>
      <c r="U62" s="324">
        <f>(U54-EIA_RE_aeo2014!U73)/U56</f>
        <v>4.0736148742944026E-2</v>
      </c>
      <c r="V62" s="324">
        <f>(V54-EIA_RE_aeo2014!V73)/V56</f>
        <v>4.0548356816983148E-2</v>
      </c>
      <c r="W62" s="324">
        <f>(W54-EIA_RE_aeo2014!W73)/W56</f>
        <v>4.0350258057680152E-2</v>
      </c>
      <c r="X62" s="324">
        <f>(X54-EIA_RE_aeo2014!X73)/X56</f>
        <v>4.0059791726715456E-2</v>
      </c>
      <c r="Y62" s="324">
        <f>(Y54-EIA_RE_aeo2014!Y73)/Y56</f>
        <v>3.9660494969516555E-2</v>
      </c>
      <c r="Z62" s="324">
        <f>(Z54-EIA_RE_aeo2014!Z73)/Z56</f>
        <v>4.1759989963828355E-2</v>
      </c>
      <c r="AA62" s="324">
        <f>(AA54-EIA_RE_aeo2014!AK73)/AA56</f>
        <v>7.3269720591531626E-2</v>
      </c>
      <c r="AB62" s="324">
        <f>(AB54-EIA_RE_aeo2014!AL73)/AB56</f>
        <v>7.4206539108874842E-2</v>
      </c>
      <c r="AC62" s="324">
        <f>(AC54-EIA_RE_aeo2014!AM73)/AC56</f>
        <v>7.4033379235527344E-2</v>
      </c>
      <c r="AD62" s="324">
        <f>(AD54-EIA_RE_aeo2014!AN73)/AD56</f>
        <v>7.2084746574526071E-2</v>
      </c>
      <c r="AE62" s="324">
        <f>(AE54-EIA_RE_aeo2014!AO73)/AE56</f>
        <v>6.2675505281900731E-2</v>
      </c>
      <c r="AF62" s="324">
        <f>(AF54-EIA_RE_aeo2014!AP73)/AF56</f>
        <v>5.4633396591040904E-2</v>
      </c>
      <c r="AG62" s="324">
        <f>(AG54-EIA_RE_aeo2014!AQ73)/AG56</f>
        <v>5.6958013675916672E-2</v>
      </c>
      <c r="AH62" s="324">
        <f>(AH54-EIA_RE_aeo2014!AR73)/AH56</f>
        <v>5.9749168792839424E-2</v>
      </c>
      <c r="AI62" s="324">
        <f>(AI54-EIA_RE_aeo2014!AS73)/AI56</f>
        <v>7.5026686970963291E-2</v>
      </c>
      <c r="AJ62" s="324">
        <f>(AJ54-EIA_RE_aeo2014!AT73)/AJ56</f>
        <v>7.6790786668003125E-2</v>
      </c>
      <c r="AK62" s="324"/>
    </row>
    <row r="63" spans="1:44" s="474" customFormat="1">
      <c r="A63" s="474" t="s">
        <v>109</v>
      </c>
      <c r="C63" s="475"/>
      <c r="D63" s="475"/>
      <c r="E63" s="475"/>
      <c r="F63" s="475">
        <v>42094.619140625</v>
      </c>
      <c r="G63" s="476">
        <v>102605.04540000002</v>
      </c>
      <c r="H63" s="476">
        <v>163360.96875</v>
      </c>
      <c r="I63" s="476">
        <v>225974.68357199998</v>
      </c>
      <c r="J63" s="476">
        <v>289591.77345600002</v>
      </c>
      <c r="K63" s="476">
        <v>358569.27243000007</v>
      </c>
      <c r="L63" s="476">
        <v>428005.66654200002</v>
      </c>
      <c r="M63" s="476">
        <v>499509.19281199999</v>
      </c>
      <c r="N63" s="476">
        <v>571413.594774</v>
      </c>
      <c r="O63" s="476">
        <v>642582.21966400009</v>
      </c>
      <c r="P63" s="476">
        <v>712804.27253000019</v>
      </c>
      <c r="Q63" s="476">
        <v>785931.55672200024</v>
      </c>
      <c r="R63" s="476">
        <v>861455.63087200013</v>
      </c>
      <c r="S63" s="476">
        <v>939930.84375000035</v>
      </c>
      <c r="T63" s="476">
        <v>1018634.9062500005</v>
      </c>
      <c r="U63" s="476">
        <v>1096613.15925</v>
      </c>
      <c r="V63" s="477"/>
      <c r="W63" s="477"/>
      <c r="X63" s="477"/>
      <c r="Y63" s="477"/>
      <c r="Z63" s="477"/>
      <c r="AA63" s="477"/>
      <c r="AB63" s="477"/>
      <c r="AC63" s="477"/>
      <c r="AD63" s="477"/>
      <c r="AE63" s="477"/>
      <c r="AF63" s="477"/>
      <c r="AG63" s="477"/>
      <c r="AH63" s="477"/>
      <c r="AI63" s="477"/>
      <c r="AJ63" s="477"/>
      <c r="AK63" s="477"/>
    </row>
    <row r="64" spans="1:44" s="478" customFormat="1">
      <c r="A64" s="478" t="s">
        <v>110</v>
      </c>
      <c r="C64" s="479"/>
      <c r="D64" s="479"/>
      <c r="E64" s="479"/>
      <c r="F64" s="479"/>
      <c r="G64" s="480">
        <f>G63/1000/G58</f>
        <v>1.0910080525479897</v>
      </c>
      <c r="H64" s="480">
        <f t="shared" ref="H64:O64" si="22">H63/1000/H58</f>
        <v>1.8036230909352835</v>
      </c>
      <c r="I64" s="480">
        <f t="shared" si="22"/>
        <v>2.4766290993316864</v>
      </c>
      <c r="J64" s="480">
        <f t="shared" si="22"/>
        <v>3.1232530034155865</v>
      </c>
      <c r="K64" s="480">
        <f t="shared" si="22"/>
        <v>3.733339844321629</v>
      </c>
      <c r="L64" s="480">
        <f t="shared" si="22"/>
        <v>4.6573185577427338</v>
      </c>
      <c r="M64" s="480">
        <f t="shared" si="22"/>
        <v>5.3179893325227328</v>
      </c>
      <c r="N64" s="480">
        <f t="shared" si="22"/>
        <v>5.9540483939302922</v>
      </c>
      <c r="O64" s="480">
        <f t="shared" si="22"/>
        <v>6.6786460007479764</v>
      </c>
      <c r="P64" s="480">
        <f t="shared" ref="P64" si="23">P63/1000/P58</f>
        <v>7.4092160811135486</v>
      </c>
      <c r="Q64" s="480">
        <f t="shared" ref="Q64" si="24">Q63/1000/Q58</f>
        <v>8.0773194970308833</v>
      </c>
      <c r="R64" s="480">
        <f t="shared" ref="R64" si="25">R63/1000/R58</f>
        <v>8.7488975032225014</v>
      </c>
      <c r="S64" s="480">
        <f t="shared" ref="S64" si="26">S63/1000/S58</f>
        <v>9.5926316428928491</v>
      </c>
      <c r="T64" s="480">
        <f t="shared" ref="T64" si="27">T63/1000/T58</f>
        <v>10.255577305887464</v>
      </c>
      <c r="U64" s="480">
        <f t="shared" ref="U64" si="28">U63/1000/U58</f>
        <v>10.956948561722243</v>
      </c>
      <c r="V64" s="480"/>
      <c r="W64" s="480"/>
      <c r="X64" s="480"/>
      <c r="Y64" s="480"/>
      <c r="Z64" s="480"/>
      <c r="AA64" s="480"/>
      <c r="AB64" s="480"/>
      <c r="AC64" s="480"/>
      <c r="AD64" s="480"/>
      <c r="AE64" s="480"/>
      <c r="AF64" s="480"/>
      <c r="AG64" s="480"/>
      <c r="AH64" s="480"/>
      <c r="AI64" s="480"/>
      <c r="AJ64" s="480"/>
      <c r="AK64" s="480"/>
    </row>
    <row r="65" spans="1:38" s="478" customFormat="1">
      <c r="A65" s="478" t="s">
        <v>113</v>
      </c>
      <c r="D65" s="479"/>
      <c r="E65" s="479"/>
      <c r="F65" s="479"/>
      <c r="G65" s="480"/>
      <c r="H65" s="480">
        <f t="shared" ref="H65:U65" si="29">(H64-G64)/G64</f>
        <v>0.65317119953699732</v>
      </c>
      <c r="I65" s="480">
        <f t="shared" si="29"/>
        <v>0.37314115780554247</v>
      </c>
      <c r="J65" s="480">
        <f t="shared" si="29"/>
        <v>0.2610903280827922</v>
      </c>
      <c r="K65" s="480">
        <f t="shared" si="29"/>
        <v>0.19533699006735994</v>
      </c>
      <c r="L65" s="480">
        <f t="shared" si="29"/>
        <v>0.24749386660484896</v>
      </c>
      <c r="M65" s="480">
        <f t="shared" si="29"/>
        <v>0.14185647096903906</v>
      </c>
      <c r="N65" s="480">
        <f t="shared" si="29"/>
        <v>0.11960517812957468</v>
      </c>
      <c r="O65" s="480">
        <f t="shared" si="29"/>
        <v>0.12169830657680872</v>
      </c>
      <c r="P65" s="480">
        <f t="shared" si="29"/>
        <v>0.10938895103644537</v>
      </c>
      <c r="Q65" s="480">
        <f t="shared" si="29"/>
        <v>9.0171943779634486E-2</v>
      </c>
      <c r="R65" s="480">
        <f t="shared" si="29"/>
        <v>8.3143672407471489E-2</v>
      </c>
      <c r="S65" s="480">
        <f t="shared" si="29"/>
        <v>9.6438910086622143E-2</v>
      </c>
      <c r="T65" s="480">
        <f t="shared" si="29"/>
        <v>6.9109884302269525E-2</v>
      </c>
      <c r="U65" s="480">
        <f t="shared" si="29"/>
        <v>6.8389251518014491E-2</v>
      </c>
      <c r="V65" s="480"/>
      <c r="W65" s="480"/>
      <c r="X65" s="480"/>
      <c r="Y65" s="480"/>
      <c r="Z65" s="480"/>
      <c r="AA65" s="480"/>
      <c r="AB65" s="480"/>
      <c r="AC65" s="480"/>
      <c r="AD65" s="480"/>
      <c r="AE65" s="480"/>
      <c r="AF65" s="480"/>
      <c r="AG65" s="480"/>
      <c r="AH65" s="480"/>
      <c r="AI65" s="480"/>
      <c r="AJ65" s="480"/>
      <c r="AK65" s="480"/>
    </row>
    <row r="66" spans="1:38" s="264" customFormat="1">
      <c r="A66" s="264" t="s">
        <v>129</v>
      </c>
      <c r="B66" s="368">
        <f>B52/B58</f>
        <v>0.11040661763101031</v>
      </c>
      <c r="C66" s="368">
        <f t="shared" ref="C66:AJ66" si="30">C52/C58</f>
        <v>0.10325452261860167</v>
      </c>
      <c r="D66" s="368">
        <f t="shared" si="30"/>
        <v>0.10365712138460006</v>
      </c>
      <c r="E66" s="368">
        <f t="shared" si="30"/>
        <v>0.11673501936659832</v>
      </c>
      <c r="F66" s="368">
        <f t="shared" si="30"/>
        <v>9.8405128092935765E-2</v>
      </c>
      <c r="G66" s="325">
        <f t="shared" si="30"/>
        <v>9.4382973951048471E-2</v>
      </c>
      <c r="H66" s="325">
        <f t="shared" si="30"/>
        <v>0.1096558980019308</v>
      </c>
      <c r="I66" s="325">
        <f t="shared" si="30"/>
        <v>0.10177340162979187</v>
      </c>
      <c r="J66" s="325">
        <f t="shared" si="30"/>
        <v>0.10042613957202286</v>
      </c>
      <c r="K66" s="325">
        <f t="shared" si="30"/>
        <v>9.9342651688357209E-2</v>
      </c>
      <c r="L66" s="325">
        <f t="shared" si="30"/>
        <v>0.10482857145291885</v>
      </c>
      <c r="M66" s="325">
        <f t="shared" si="30"/>
        <v>0.10256453573713717</v>
      </c>
      <c r="N66" s="325">
        <f t="shared" si="30"/>
        <v>0.10038181259745076</v>
      </c>
      <c r="O66" s="325">
        <f t="shared" si="30"/>
        <v>0.10012740529503771</v>
      </c>
      <c r="P66" s="325">
        <f t="shared" si="30"/>
        <v>0.10013714575899049</v>
      </c>
      <c r="Q66" s="325">
        <f t="shared" si="30"/>
        <v>9.9009251359911454E-2</v>
      </c>
      <c r="R66" s="325">
        <f t="shared" si="30"/>
        <v>9.7839368452247111E-2</v>
      </c>
      <c r="S66" s="325">
        <f t="shared" si="30"/>
        <v>9.8318469334594399E-2</v>
      </c>
      <c r="T66" s="325">
        <f t="shared" si="30"/>
        <v>9.6991751105687765E-2</v>
      </c>
      <c r="U66" s="325">
        <f t="shared" si="30"/>
        <v>9.6256354941850558E-2</v>
      </c>
      <c r="V66" s="325">
        <f t="shared" si="30"/>
        <v>9.5704465124713131E-2</v>
      </c>
      <c r="W66" s="325">
        <f t="shared" si="30"/>
        <v>9.5067769227653309E-2</v>
      </c>
      <c r="X66" s="325">
        <f t="shared" si="30"/>
        <v>9.4355205687130142E-2</v>
      </c>
      <c r="Y66" s="325">
        <f t="shared" si="30"/>
        <v>9.2920521081120352E-2</v>
      </c>
      <c r="Z66" s="325">
        <f t="shared" si="30"/>
        <v>9.2540127130354713E-2</v>
      </c>
      <c r="AA66" s="325">
        <f t="shared" si="30"/>
        <v>9.2219782562296751E-2</v>
      </c>
      <c r="AB66" s="325">
        <f t="shared" si="30"/>
        <v>9.2492941479376742E-2</v>
      </c>
      <c r="AC66" s="325">
        <f t="shared" si="30"/>
        <v>9.2183956016074903E-2</v>
      </c>
      <c r="AD66" s="325">
        <f t="shared" si="30"/>
        <v>9.1914680052782582E-2</v>
      </c>
      <c r="AE66" s="325">
        <f t="shared" si="30"/>
        <v>9.1756776697561174E-2</v>
      </c>
      <c r="AF66" s="325">
        <f t="shared" si="30"/>
        <v>9.1701659562834034E-2</v>
      </c>
      <c r="AG66" s="325">
        <f t="shared" si="30"/>
        <v>9.1647170780212089E-2</v>
      </c>
      <c r="AH66" s="325">
        <f t="shared" si="30"/>
        <v>9.1768232111440182E-2</v>
      </c>
      <c r="AI66" s="325">
        <f t="shared" si="30"/>
        <v>9.1493380641512814E-2</v>
      </c>
      <c r="AJ66" s="325">
        <f t="shared" si="30"/>
        <v>9.0496441366662878E-2</v>
      </c>
      <c r="AK66" s="325"/>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593</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593</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631</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630</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59" t="s">
        <v>632</v>
      </c>
      <c r="B109" s="559"/>
      <c r="C109" s="559"/>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559"/>
      <c r="AD109" s="559"/>
      <c r="AE109" s="559"/>
      <c r="AF109" s="559"/>
    </row>
    <row r="110" spans="1:38">
      <c r="A110" s="560" t="s">
        <v>633</v>
      </c>
      <c r="B110" s="560"/>
      <c r="C110" s="560"/>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0"/>
      <c r="AD110" s="560"/>
      <c r="AE110" s="560"/>
      <c r="AF110" s="560"/>
    </row>
    <row r="111" spans="1:38">
      <c r="A111" s="560" t="s">
        <v>634</v>
      </c>
      <c r="B111" s="560"/>
      <c r="C111" s="560"/>
      <c r="D111" s="560"/>
      <c r="E111" s="560"/>
      <c r="F111" s="560"/>
      <c r="G111" s="560"/>
      <c r="H111" s="560"/>
      <c r="I111" s="560"/>
      <c r="J111" s="560"/>
      <c r="K111" s="560"/>
      <c r="L111" s="560"/>
      <c r="M111" s="560"/>
      <c r="N111" s="560"/>
      <c r="O111" s="560"/>
      <c r="P111" s="560"/>
      <c r="Q111" s="560"/>
      <c r="R111" s="560"/>
      <c r="S111" s="560"/>
      <c r="T111" s="560"/>
      <c r="U111" s="560"/>
      <c r="V111" s="560"/>
      <c r="W111" s="560"/>
      <c r="X111" s="560"/>
      <c r="Y111" s="560"/>
      <c r="Z111" s="560"/>
      <c r="AA111" s="560"/>
      <c r="AB111" s="560"/>
      <c r="AC111" s="560"/>
      <c r="AD111" s="560"/>
      <c r="AE111" s="560"/>
      <c r="AF111" s="560"/>
    </row>
    <row r="112" spans="1:38">
      <c r="A112" s="560" t="s">
        <v>635</v>
      </c>
      <c r="B112" s="560"/>
      <c r="C112" s="560"/>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560"/>
      <c r="AE112" s="560"/>
      <c r="AF112" s="560"/>
    </row>
    <row r="113" spans="1:32">
      <c r="A113" s="560" t="s">
        <v>636</v>
      </c>
      <c r="B113" s="560"/>
      <c r="C113" s="560"/>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row>
    <row r="114" spans="1:32">
      <c r="A114" s="560" t="s">
        <v>637</v>
      </c>
      <c r="B114" s="560"/>
      <c r="C114" s="560"/>
      <c r="D114" s="560"/>
      <c r="E114" s="560"/>
      <c r="F114" s="560"/>
      <c r="G114" s="560"/>
      <c r="H114" s="560"/>
      <c r="I114" s="560"/>
      <c r="J114" s="560"/>
      <c r="K114" s="560"/>
      <c r="L114" s="560"/>
      <c r="M114" s="560"/>
      <c r="N114" s="560"/>
      <c r="O114" s="560"/>
      <c r="P114" s="560"/>
      <c r="Q114" s="560"/>
      <c r="R114" s="560"/>
      <c r="S114" s="560"/>
      <c r="T114" s="560"/>
      <c r="U114" s="560"/>
      <c r="V114" s="560"/>
      <c r="W114" s="560"/>
      <c r="X114" s="560"/>
      <c r="Y114" s="560"/>
      <c r="Z114" s="560"/>
      <c r="AA114" s="560"/>
      <c r="AB114" s="560"/>
      <c r="AC114" s="560"/>
      <c r="AD114" s="560"/>
      <c r="AE114" s="560"/>
      <c r="AF114" s="560"/>
    </row>
    <row r="115" spans="1:32">
      <c r="A115" s="560" t="s">
        <v>638</v>
      </c>
      <c r="B115" s="560"/>
      <c r="C115" s="560"/>
      <c r="D115" s="560"/>
      <c r="E115" s="560"/>
      <c r="F115" s="560"/>
      <c r="G115" s="560"/>
      <c r="H115" s="560"/>
      <c r="I115" s="560"/>
      <c r="J115" s="560"/>
      <c r="K115" s="560"/>
      <c r="L115" s="560"/>
      <c r="M115" s="560"/>
      <c r="N115" s="560"/>
      <c r="O115" s="560"/>
      <c r="P115" s="560"/>
      <c r="Q115" s="560"/>
      <c r="R115" s="560"/>
      <c r="S115" s="560"/>
      <c r="T115" s="560"/>
      <c r="U115" s="560"/>
      <c r="V115" s="560"/>
      <c r="W115" s="560"/>
      <c r="X115" s="560"/>
      <c r="Y115" s="560"/>
      <c r="Z115" s="560"/>
      <c r="AA115" s="560"/>
      <c r="AB115" s="560"/>
      <c r="AC115" s="560"/>
      <c r="AD115" s="560"/>
      <c r="AE115" s="560"/>
      <c r="AF115" s="560"/>
    </row>
    <row r="116" spans="1:32">
      <c r="A116" s="560" t="s">
        <v>639</v>
      </c>
      <c r="B116" s="560"/>
      <c r="C116" s="560"/>
      <c r="D116" s="560"/>
      <c r="E116" s="560"/>
      <c r="F116" s="560"/>
      <c r="G116" s="560"/>
      <c r="H116" s="560"/>
      <c r="I116" s="560"/>
      <c r="J116" s="560"/>
      <c r="K116" s="560"/>
      <c r="L116" s="560"/>
      <c r="M116" s="560"/>
      <c r="N116" s="560"/>
      <c r="O116" s="560"/>
      <c r="P116" s="560"/>
      <c r="Q116" s="560"/>
      <c r="R116" s="560"/>
      <c r="S116" s="560"/>
      <c r="T116" s="560"/>
      <c r="U116" s="560"/>
      <c r="V116" s="560"/>
      <c r="W116" s="560"/>
      <c r="X116" s="560"/>
      <c r="Y116" s="560"/>
      <c r="Z116" s="560"/>
      <c r="AA116" s="560"/>
      <c r="AB116" s="560"/>
      <c r="AC116" s="560"/>
      <c r="AD116" s="560"/>
      <c r="AE116" s="560"/>
      <c r="AF116" s="560"/>
    </row>
    <row r="117" spans="1:32">
      <c r="A117" s="560" t="s">
        <v>640</v>
      </c>
      <c r="B117" s="560"/>
      <c r="C117" s="560"/>
      <c r="D117" s="560"/>
      <c r="E117" s="560"/>
      <c r="F117" s="560"/>
      <c r="G117" s="560"/>
      <c r="H117" s="560"/>
      <c r="I117" s="560"/>
      <c r="J117" s="560"/>
      <c r="K117" s="560"/>
      <c r="L117" s="560"/>
      <c r="M117" s="560"/>
      <c r="N117" s="560"/>
      <c r="O117" s="560"/>
      <c r="P117" s="560"/>
      <c r="Q117" s="560"/>
      <c r="R117" s="560"/>
      <c r="S117" s="560"/>
      <c r="T117" s="560"/>
      <c r="U117" s="560"/>
      <c r="V117" s="560"/>
      <c r="W117" s="560"/>
      <c r="X117" s="560"/>
      <c r="Y117" s="560"/>
      <c r="Z117" s="560"/>
      <c r="AA117" s="560"/>
      <c r="AB117" s="560"/>
      <c r="AC117" s="560"/>
      <c r="AD117" s="560"/>
      <c r="AE117" s="560"/>
      <c r="AF117" s="560"/>
    </row>
    <row r="118" spans="1:32">
      <c r="A118" s="560" t="s">
        <v>641</v>
      </c>
      <c r="B118" s="560"/>
      <c r="C118" s="560"/>
      <c r="D118" s="560"/>
      <c r="E118" s="560"/>
      <c r="F118" s="560"/>
      <c r="G118" s="560"/>
      <c r="H118" s="560"/>
      <c r="I118" s="560"/>
      <c r="J118" s="560"/>
      <c r="K118" s="560"/>
      <c r="L118" s="560"/>
      <c r="M118" s="560"/>
      <c r="N118" s="560"/>
      <c r="O118" s="560"/>
      <c r="P118" s="560"/>
      <c r="Q118" s="560"/>
      <c r="R118" s="560"/>
      <c r="S118" s="560"/>
      <c r="T118" s="560"/>
      <c r="U118" s="560"/>
      <c r="V118" s="560"/>
      <c r="W118" s="560"/>
      <c r="X118" s="560"/>
      <c r="Y118" s="560"/>
      <c r="Z118" s="560"/>
      <c r="AA118" s="560"/>
      <c r="AB118" s="560"/>
      <c r="AC118" s="560"/>
      <c r="AD118" s="560"/>
      <c r="AE118" s="560"/>
      <c r="AF118" s="560"/>
    </row>
    <row r="119" spans="1:32">
      <c r="A119" s="560" t="s">
        <v>642</v>
      </c>
      <c r="B119" s="560"/>
      <c r="C119" s="560"/>
      <c r="D119" s="560"/>
      <c r="E119" s="560"/>
      <c r="F119" s="560"/>
      <c r="G119" s="560"/>
      <c r="H119" s="560"/>
      <c r="I119" s="560"/>
      <c r="J119" s="560"/>
      <c r="K119" s="560"/>
      <c r="L119" s="560"/>
      <c r="M119" s="560"/>
      <c r="N119" s="560"/>
      <c r="O119" s="560"/>
      <c r="P119" s="560"/>
      <c r="Q119" s="560"/>
      <c r="R119" s="560"/>
      <c r="S119" s="560"/>
      <c r="T119" s="560"/>
      <c r="U119" s="560"/>
      <c r="V119" s="560"/>
      <c r="W119" s="560"/>
      <c r="X119" s="560"/>
      <c r="Y119" s="560"/>
      <c r="Z119" s="560"/>
      <c r="AA119" s="560"/>
      <c r="AB119" s="560"/>
      <c r="AC119" s="560"/>
      <c r="AD119" s="560"/>
      <c r="AE119" s="560"/>
      <c r="AF119" s="560"/>
    </row>
    <row r="120" spans="1:32">
      <c r="A120" s="560" t="s">
        <v>643</v>
      </c>
      <c r="B120" s="560"/>
      <c r="C120" s="560"/>
      <c r="D120" s="560"/>
      <c r="E120" s="560"/>
      <c r="F120" s="560"/>
      <c r="G120" s="560"/>
      <c r="H120" s="560"/>
      <c r="I120" s="560"/>
      <c r="J120" s="560"/>
      <c r="K120" s="560"/>
      <c r="L120" s="560"/>
      <c r="M120" s="560"/>
      <c r="N120" s="560"/>
      <c r="O120" s="560"/>
      <c r="P120" s="560"/>
      <c r="Q120" s="560"/>
      <c r="R120" s="560"/>
      <c r="S120" s="560"/>
      <c r="T120" s="560"/>
      <c r="U120" s="560"/>
      <c r="V120" s="560"/>
      <c r="W120" s="560"/>
      <c r="X120" s="560"/>
      <c r="Y120" s="560"/>
      <c r="Z120" s="560"/>
      <c r="AA120" s="560"/>
      <c r="AB120" s="560"/>
      <c r="AC120" s="560"/>
      <c r="AD120" s="560"/>
      <c r="AE120" s="560"/>
      <c r="AF120" s="560"/>
    </row>
    <row r="121" spans="1:32">
      <c r="A121" s="560" t="s">
        <v>644</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60"/>
    </row>
    <row r="122" spans="1:32">
      <c r="A122" s="560" t="s">
        <v>645</v>
      </c>
      <c r="B122" s="560"/>
      <c r="C122" s="560"/>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0"/>
      <c r="AB122" s="560"/>
      <c r="AC122" s="560"/>
      <c r="AD122" s="560"/>
      <c r="AE122" s="560"/>
      <c r="AF122" s="560"/>
    </row>
    <row r="123" spans="1:32">
      <c r="A123" s="560" t="s">
        <v>646</v>
      </c>
      <c r="B123" s="560"/>
      <c r="C123" s="560"/>
      <c r="D123" s="560"/>
      <c r="E123" s="560"/>
      <c r="F123" s="560"/>
      <c r="G123" s="560"/>
      <c r="H123" s="560"/>
      <c r="I123" s="560"/>
      <c r="J123" s="560"/>
      <c r="K123" s="560"/>
      <c r="L123" s="560"/>
      <c r="M123" s="560"/>
      <c r="N123" s="560"/>
      <c r="O123" s="560"/>
      <c r="P123" s="560"/>
      <c r="Q123" s="560"/>
      <c r="R123" s="560"/>
      <c r="S123" s="560"/>
      <c r="T123" s="560"/>
      <c r="U123" s="560"/>
      <c r="V123" s="560"/>
      <c r="W123" s="560"/>
      <c r="X123" s="560"/>
      <c r="Y123" s="560"/>
      <c r="Z123" s="560"/>
      <c r="AA123" s="560"/>
      <c r="AB123" s="560"/>
      <c r="AC123" s="560"/>
      <c r="AD123" s="560"/>
      <c r="AE123" s="560"/>
      <c r="AF123" s="560"/>
    </row>
    <row r="124" spans="1:32">
      <c r="A124" s="560" t="s">
        <v>647</v>
      </c>
      <c r="B124" s="560"/>
      <c r="C124" s="560"/>
      <c r="D124" s="560"/>
      <c r="E124" s="560"/>
      <c r="F124" s="560"/>
      <c r="G124" s="560"/>
      <c r="H124" s="560"/>
      <c r="I124" s="560"/>
      <c r="J124" s="560"/>
      <c r="K124" s="560"/>
      <c r="L124" s="560"/>
      <c r="M124" s="560"/>
      <c r="N124" s="560"/>
      <c r="O124" s="560"/>
      <c r="P124" s="560"/>
      <c r="Q124" s="560"/>
      <c r="R124" s="560"/>
      <c r="S124" s="560"/>
      <c r="T124" s="560"/>
      <c r="U124" s="560"/>
      <c r="V124" s="560"/>
      <c r="W124" s="560"/>
      <c r="X124" s="560"/>
      <c r="Y124" s="560"/>
      <c r="Z124" s="560"/>
      <c r="AA124" s="560"/>
      <c r="AB124" s="560"/>
      <c r="AC124" s="560"/>
      <c r="AD124" s="560"/>
      <c r="AE124" s="560"/>
      <c r="AF124" s="560"/>
    </row>
    <row r="125" spans="1:32">
      <c r="A125" s="560" t="s">
        <v>640</v>
      </c>
      <c r="B125" s="560"/>
      <c r="C125" s="560"/>
      <c r="D125" s="560"/>
      <c r="E125" s="560"/>
      <c r="F125" s="560"/>
      <c r="G125" s="560"/>
      <c r="H125" s="560"/>
      <c r="I125" s="560"/>
      <c r="J125" s="560"/>
      <c r="K125" s="560"/>
      <c r="L125" s="560"/>
      <c r="M125" s="560"/>
      <c r="N125" s="560"/>
      <c r="O125" s="560"/>
      <c r="P125" s="560"/>
      <c r="Q125" s="560"/>
      <c r="R125" s="560"/>
      <c r="S125" s="560"/>
      <c r="T125" s="560"/>
      <c r="U125" s="560"/>
      <c r="V125" s="560"/>
      <c r="W125" s="560"/>
      <c r="X125" s="560"/>
      <c r="Y125" s="560"/>
      <c r="Z125" s="560"/>
      <c r="AA125" s="560"/>
      <c r="AB125" s="560"/>
      <c r="AC125" s="560"/>
      <c r="AD125" s="560"/>
      <c r="AE125" s="560"/>
      <c r="AF125" s="560"/>
    </row>
    <row r="126" spans="1:32">
      <c r="A126" s="560" t="s">
        <v>648</v>
      </c>
      <c r="B126" s="560"/>
      <c r="C126" s="560"/>
      <c r="D126" s="560"/>
      <c r="E126" s="560"/>
      <c r="F126" s="560"/>
      <c r="G126" s="560"/>
      <c r="H126" s="560"/>
      <c r="I126" s="560"/>
      <c r="J126" s="560"/>
      <c r="K126" s="560"/>
      <c r="L126" s="560"/>
      <c r="M126" s="560"/>
      <c r="N126" s="560"/>
      <c r="O126" s="560"/>
      <c r="P126" s="560"/>
      <c r="Q126" s="560"/>
      <c r="R126" s="560"/>
      <c r="S126" s="560"/>
      <c r="T126" s="560"/>
      <c r="U126" s="560"/>
      <c r="V126" s="560"/>
      <c r="W126" s="560"/>
      <c r="X126" s="560"/>
      <c r="Y126" s="560"/>
      <c r="Z126" s="560"/>
      <c r="AA126" s="560"/>
      <c r="AB126" s="560"/>
      <c r="AC126" s="560"/>
      <c r="AD126" s="560"/>
      <c r="AE126" s="560"/>
      <c r="AF126" s="560"/>
    </row>
    <row r="127" spans="1:32">
      <c r="A127" s="560" t="s">
        <v>649</v>
      </c>
      <c r="B127" s="560"/>
      <c r="C127" s="560"/>
      <c r="D127" s="560"/>
      <c r="E127" s="560"/>
      <c r="F127" s="560"/>
      <c r="G127" s="560"/>
      <c r="H127" s="560"/>
      <c r="I127" s="560"/>
      <c r="J127" s="560"/>
      <c r="K127" s="560"/>
      <c r="L127" s="560"/>
      <c r="M127" s="560"/>
      <c r="N127" s="560"/>
      <c r="O127" s="560"/>
      <c r="P127" s="560"/>
      <c r="Q127" s="560"/>
      <c r="R127" s="560"/>
      <c r="S127" s="560"/>
      <c r="T127" s="560"/>
      <c r="U127" s="560"/>
      <c r="V127" s="560"/>
      <c r="W127" s="560"/>
      <c r="X127" s="560"/>
      <c r="Y127" s="560"/>
      <c r="Z127" s="560"/>
      <c r="AA127" s="560"/>
      <c r="AB127" s="560"/>
      <c r="AC127" s="560"/>
      <c r="AD127" s="560"/>
      <c r="AE127" s="560"/>
      <c r="AF127" s="560"/>
    </row>
    <row r="128" spans="1:32">
      <c r="A128" s="560" t="s">
        <v>650</v>
      </c>
      <c r="B128" s="560"/>
      <c r="C128" s="560"/>
      <c r="D128" s="560"/>
      <c r="E128" s="560"/>
      <c r="F128" s="560"/>
      <c r="G128" s="560"/>
      <c r="H128" s="560"/>
      <c r="I128" s="560"/>
      <c r="J128" s="560"/>
      <c r="K128" s="560"/>
      <c r="L128" s="560"/>
      <c r="M128" s="560"/>
      <c r="N128" s="560"/>
      <c r="O128" s="560"/>
      <c r="P128" s="560"/>
      <c r="Q128" s="560"/>
      <c r="R128" s="560"/>
      <c r="S128" s="560"/>
      <c r="T128" s="560"/>
      <c r="U128" s="560"/>
      <c r="V128" s="560"/>
      <c r="W128" s="560"/>
      <c r="X128" s="560"/>
      <c r="Y128" s="560"/>
      <c r="Z128" s="560"/>
      <c r="AA128" s="560"/>
      <c r="AB128" s="560"/>
      <c r="AC128" s="560"/>
      <c r="AD128" s="560"/>
      <c r="AE128" s="560"/>
      <c r="AF128" s="560"/>
    </row>
    <row r="129" spans="1:32">
      <c r="A129" s="560" t="s">
        <v>620</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row>
    <row r="130" spans="1:32">
      <c r="A130" s="560" t="s">
        <v>621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row>
    <row r="131" spans="1:32">
      <c r="A131" s="560" t="s">
        <v>622</v>
      </c>
      <c r="B131" s="560"/>
      <c r="C131" s="560"/>
      <c r="D131" s="560"/>
      <c r="E131" s="560"/>
      <c r="F131" s="560"/>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row>
    <row r="132" spans="1:32">
      <c r="A132" s="560" t="s">
        <v>651</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row>
    <row r="133" spans="1:32">
      <c r="A133" s="560" t="s">
        <v>652</v>
      </c>
      <c r="B133" s="560"/>
      <c r="C133" s="560"/>
      <c r="D133" s="560"/>
      <c r="E133" s="560"/>
      <c r="F133" s="560"/>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row>
    <row r="134" spans="1:32">
      <c r="A134" s="560" t="s">
        <v>653</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row>
    <row r="135" spans="1:32">
      <c r="A135" s="560" t="s">
        <v>654</v>
      </c>
      <c r="B135" s="560"/>
      <c r="C135" s="560"/>
      <c r="D135" s="560"/>
      <c r="E135" s="560"/>
      <c r="F135" s="560"/>
      <c r="G135" s="560"/>
      <c r="H135" s="560"/>
      <c r="I135" s="560"/>
      <c r="J135" s="560"/>
      <c r="K135" s="560"/>
      <c r="L135" s="560"/>
      <c r="M135" s="560"/>
      <c r="N135" s="560"/>
      <c r="O135" s="560"/>
      <c r="P135" s="560"/>
      <c r="Q135" s="560"/>
      <c r="R135" s="560"/>
      <c r="S135" s="560"/>
      <c r="T135" s="560"/>
      <c r="U135" s="560"/>
      <c r="V135" s="560"/>
      <c r="W135" s="560"/>
      <c r="X135" s="560"/>
      <c r="Y135" s="560"/>
      <c r="Z135" s="560"/>
      <c r="AA135" s="560"/>
      <c r="AB135" s="560"/>
      <c r="AC135" s="560"/>
      <c r="AD135" s="560"/>
      <c r="AE135" s="560"/>
      <c r="AF135" s="560"/>
    </row>
    <row r="136" spans="1:32">
      <c r="A136" s="560" t="s">
        <v>655</v>
      </c>
      <c r="B136" s="560"/>
      <c r="C136" s="560"/>
      <c r="D136" s="560"/>
      <c r="E136" s="560"/>
      <c r="F136" s="560"/>
      <c r="G136" s="560"/>
      <c r="H136" s="560"/>
      <c r="I136" s="560"/>
      <c r="J136" s="560"/>
      <c r="K136" s="560"/>
      <c r="L136" s="560"/>
      <c r="M136" s="560"/>
      <c r="N136" s="560"/>
      <c r="O136" s="560"/>
      <c r="P136" s="560"/>
      <c r="Q136" s="560"/>
      <c r="R136" s="560"/>
      <c r="S136" s="560"/>
      <c r="T136" s="560"/>
      <c r="U136" s="560"/>
      <c r="V136" s="560"/>
      <c r="W136" s="560"/>
      <c r="X136" s="560"/>
      <c r="Y136" s="560"/>
      <c r="Z136" s="560"/>
      <c r="AA136" s="560"/>
      <c r="AB136" s="560"/>
      <c r="AC136" s="560"/>
      <c r="AD136" s="560"/>
      <c r="AE136" s="560"/>
      <c r="AF136" s="560"/>
    </row>
    <row r="137" spans="1:32">
      <c r="A137" s="560" t="s">
        <v>656</v>
      </c>
      <c r="B137" s="560"/>
      <c r="C137" s="560"/>
      <c r="D137" s="560"/>
      <c r="E137" s="560"/>
      <c r="F137" s="560"/>
      <c r="G137" s="560"/>
      <c r="H137" s="560"/>
      <c r="I137" s="560"/>
      <c r="J137" s="560"/>
      <c r="K137" s="560"/>
      <c r="L137" s="560"/>
      <c r="M137" s="560"/>
      <c r="N137" s="560"/>
      <c r="O137" s="560"/>
      <c r="P137" s="560"/>
      <c r="Q137" s="560"/>
      <c r="R137" s="560"/>
      <c r="S137" s="560"/>
      <c r="T137" s="560"/>
      <c r="U137" s="560"/>
      <c r="V137" s="560"/>
      <c r="W137" s="560"/>
      <c r="X137" s="560"/>
      <c r="Y137" s="560"/>
      <c r="Z137" s="560"/>
      <c r="AA137" s="560"/>
      <c r="AB137" s="560"/>
      <c r="AC137" s="560"/>
      <c r="AD137" s="560"/>
      <c r="AE137" s="560"/>
      <c r="AF137" s="560"/>
    </row>
  </sheetData>
  <mergeCells count="29">
    <mergeCell ref="A133:AF133"/>
    <mergeCell ref="A134:AF134"/>
    <mergeCell ref="A135:AF135"/>
    <mergeCell ref="A136:AF136"/>
    <mergeCell ref="A137:AF137"/>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14:AF114"/>
    <mergeCell ref="A115:AF115"/>
    <mergeCell ref="A116:AF116"/>
    <mergeCell ref="A117:AF117"/>
    <mergeCell ref="A118:AF118"/>
    <mergeCell ref="A109:AF109"/>
    <mergeCell ref="A110:AF110"/>
    <mergeCell ref="A111:AF111"/>
    <mergeCell ref="A112:AF112"/>
    <mergeCell ref="A113:AF113"/>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60" zoomScale="125" zoomScaleNormal="125" zoomScalePageLayoutView="125" workbookViewId="0">
      <selection activeCell="AM62" sqref="AM62"/>
    </sheetView>
  </sheetViews>
  <sheetFormatPr baseColWidth="10" defaultColWidth="12.5" defaultRowHeight="16" x14ac:dyDescent="0"/>
  <cols>
    <col min="1" max="1" width="47.33203125" style="5" customWidth="1"/>
    <col min="2" max="2" width="23" style="250" bestFit="1" customWidth="1"/>
    <col min="3" max="6" width="12.5" style="250"/>
    <col min="7" max="37" width="12.5" style="298"/>
    <col min="38" max="16384" width="12.5" style="5"/>
  </cols>
  <sheetData>
    <row r="1" spans="1:37">
      <c r="A1" s="267" t="s">
        <v>4</v>
      </c>
    </row>
    <row r="2" spans="1:37">
      <c r="A2" s="271" t="s">
        <v>705</v>
      </c>
    </row>
    <row r="3" spans="1:37">
      <c r="A3" s="271" t="s">
        <v>657</v>
      </c>
    </row>
    <row r="4" spans="1:37">
      <c r="A4" s="271" t="s">
        <v>658</v>
      </c>
    </row>
    <row r="6" spans="1:37">
      <c r="A6" s="6" t="s">
        <v>5</v>
      </c>
    </row>
    <row r="7" spans="1:37">
      <c r="A7" s="6" t="s">
        <v>6</v>
      </c>
    </row>
    <row r="8" spans="1:37">
      <c r="A8" s="78" t="s">
        <v>281</v>
      </c>
    </row>
    <row r="10" spans="1:37">
      <c r="AK10" s="299" t="s">
        <v>715</v>
      </c>
    </row>
    <row r="11" spans="1:37">
      <c r="B11" s="468" t="s">
        <v>7</v>
      </c>
      <c r="C11" s="468" t="s">
        <v>8</v>
      </c>
      <c r="D11" s="468" t="s">
        <v>9</v>
      </c>
      <c r="E11" s="468" t="s">
        <v>10</v>
      </c>
      <c r="F11" s="468" t="s">
        <v>11</v>
      </c>
      <c r="G11" s="299" t="s">
        <v>12</v>
      </c>
      <c r="H11" s="299" t="s">
        <v>13</v>
      </c>
      <c r="I11" s="299" t="s">
        <v>14</v>
      </c>
      <c r="J11" s="299" t="s">
        <v>15</v>
      </c>
      <c r="K11" s="299" t="s">
        <v>16</v>
      </c>
      <c r="L11" s="299" t="s">
        <v>17</v>
      </c>
      <c r="M11" s="299" t="s">
        <v>18</v>
      </c>
      <c r="N11" s="299" t="s">
        <v>19</v>
      </c>
      <c r="O11" s="299" t="s">
        <v>20</v>
      </c>
      <c r="P11" s="299" t="s">
        <v>21</v>
      </c>
      <c r="Q11" s="299" t="s">
        <v>22</v>
      </c>
      <c r="R11" s="299" t="s">
        <v>23</v>
      </c>
      <c r="S11" s="299" t="s">
        <v>24</v>
      </c>
      <c r="T11" s="299" t="s">
        <v>25</v>
      </c>
      <c r="U11" s="299" t="s">
        <v>26</v>
      </c>
      <c r="V11" s="299" t="s">
        <v>27</v>
      </c>
      <c r="W11" s="299" t="s">
        <v>28</v>
      </c>
      <c r="X11" s="299" t="s">
        <v>29</v>
      </c>
      <c r="Y11" s="299" t="s">
        <v>30</v>
      </c>
      <c r="Z11" s="299" t="s">
        <v>31</v>
      </c>
      <c r="AA11" s="299" t="s">
        <v>582</v>
      </c>
      <c r="AB11" s="299" t="s">
        <v>583</v>
      </c>
      <c r="AC11" s="299" t="s">
        <v>584</v>
      </c>
      <c r="AD11" s="299" t="s">
        <v>585</v>
      </c>
      <c r="AE11" s="299" t="s">
        <v>586</v>
      </c>
      <c r="AF11" s="299" t="s">
        <v>587</v>
      </c>
      <c r="AG11" s="299" t="s">
        <v>588</v>
      </c>
      <c r="AH11" s="299" t="s">
        <v>589</v>
      </c>
      <c r="AI11" s="299" t="s">
        <v>590</v>
      </c>
      <c r="AJ11" s="299" t="s">
        <v>591</v>
      </c>
      <c r="AK11" s="299">
        <v>2040</v>
      </c>
    </row>
    <row r="12" spans="1:37">
      <c r="B12" s="469"/>
      <c r="C12" s="469"/>
      <c r="D12" s="469"/>
      <c r="E12" s="469"/>
      <c r="F12" s="469"/>
    </row>
    <row r="13" spans="1:37">
      <c r="B13" s="469"/>
      <c r="C13" s="469"/>
      <c r="D13" s="469"/>
      <c r="E13" s="469"/>
      <c r="F13" s="469"/>
    </row>
    <row r="14" spans="1:37">
      <c r="A14" s="6" t="s">
        <v>32</v>
      </c>
      <c r="B14" s="469"/>
      <c r="C14" s="469"/>
      <c r="D14" s="469"/>
      <c r="E14" s="469"/>
      <c r="F14" s="469"/>
    </row>
    <row r="15" spans="1:37">
      <c r="A15" s="6" t="s">
        <v>33</v>
      </c>
      <c r="B15" s="469"/>
      <c r="C15" s="469"/>
      <c r="D15" s="469"/>
      <c r="E15" s="469"/>
      <c r="F15" s="469"/>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659</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660</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661</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8">
        <v>1E-4</v>
      </c>
      <c r="H33" s="498">
        <v>1E-4</v>
      </c>
      <c r="I33" s="498">
        <v>1E-4</v>
      </c>
      <c r="J33" s="498">
        <v>1E-4</v>
      </c>
      <c r="K33" s="498">
        <v>1E-4</v>
      </c>
      <c r="L33" s="498">
        <v>1E-4</v>
      </c>
      <c r="M33" s="498">
        <v>1E-4</v>
      </c>
      <c r="N33" s="498">
        <v>1E-4</v>
      </c>
      <c r="O33" s="498">
        <v>1E-4</v>
      </c>
      <c r="P33" s="498">
        <v>1E-4</v>
      </c>
      <c r="Q33" s="498">
        <v>1E-4</v>
      </c>
      <c r="R33" s="498">
        <v>1E-4</v>
      </c>
      <c r="S33" s="498">
        <v>1E-4</v>
      </c>
      <c r="T33" s="498">
        <v>1E-4</v>
      </c>
      <c r="U33" s="498">
        <v>1E-4</v>
      </c>
      <c r="V33" s="498">
        <v>1E-4</v>
      </c>
      <c r="W33" s="498">
        <v>1E-4</v>
      </c>
      <c r="X33" s="498">
        <v>1E-4</v>
      </c>
      <c r="Y33" s="498">
        <v>1E-4</v>
      </c>
      <c r="Z33" s="498">
        <v>1E-4</v>
      </c>
      <c r="AA33" s="498">
        <v>1E-4</v>
      </c>
      <c r="AB33" s="498">
        <v>1E-4</v>
      </c>
      <c r="AC33" s="498">
        <v>1E-4</v>
      </c>
      <c r="AD33" s="498">
        <v>1E-4</v>
      </c>
      <c r="AE33" s="498">
        <v>1E-4</v>
      </c>
      <c r="AF33" s="498">
        <v>1E-4</v>
      </c>
      <c r="AG33" s="498">
        <v>1E-4</v>
      </c>
      <c r="AH33" s="498">
        <v>1E-4</v>
      </c>
      <c r="AI33" s="498">
        <v>1E-4</v>
      </c>
      <c r="AJ33" s="498">
        <v>1E-4</v>
      </c>
      <c r="AK33"/>
    </row>
    <row r="34" spans="1:39" s="18" customFormat="1">
      <c r="A34" s="17" t="s">
        <v>662</v>
      </c>
      <c r="B34"/>
      <c r="C34"/>
      <c r="D34"/>
      <c r="E34"/>
      <c r="F34"/>
      <c r="G34" s="498">
        <v>1E-4</v>
      </c>
      <c r="H34" s="498">
        <v>1E-4</v>
      </c>
      <c r="I34" s="498">
        <v>1E-4</v>
      </c>
      <c r="J34" s="498">
        <v>1E-4</v>
      </c>
      <c r="K34" s="498">
        <v>1E-4</v>
      </c>
      <c r="L34" s="498">
        <v>1E-4</v>
      </c>
      <c r="M34" s="498">
        <v>1E-4</v>
      </c>
      <c r="N34" s="498">
        <v>1E-4</v>
      </c>
      <c r="O34" s="498">
        <v>1E-4</v>
      </c>
      <c r="P34" s="498">
        <v>1E-4</v>
      </c>
      <c r="Q34" s="498">
        <v>1E-4</v>
      </c>
      <c r="R34" s="498">
        <v>1E-4</v>
      </c>
      <c r="S34" s="498">
        <v>1E-4</v>
      </c>
      <c r="T34" s="498">
        <v>1E-4</v>
      </c>
      <c r="U34" s="498">
        <v>1E-4</v>
      </c>
      <c r="V34" s="498">
        <v>1E-4</v>
      </c>
      <c r="W34" s="498">
        <v>1E-4</v>
      </c>
      <c r="X34" s="498">
        <v>1E-4</v>
      </c>
      <c r="Y34" s="498">
        <v>1E-4</v>
      </c>
      <c r="Z34" s="498">
        <v>1E-4</v>
      </c>
      <c r="AA34" s="498">
        <v>1E-4</v>
      </c>
      <c r="AB34" s="498">
        <v>1E-4</v>
      </c>
      <c r="AC34" s="498">
        <v>1E-4</v>
      </c>
      <c r="AD34" s="498">
        <v>1E-4</v>
      </c>
      <c r="AE34" s="498">
        <v>1E-4</v>
      </c>
      <c r="AF34" s="498">
        <v>1E-4</v>
      </c>
      <c r="AG34" s="498">
        <v>1E-4</v>
      </c>
      <c r="AH34" s="498">
        <v>1E-4</v>
      </c>
      <c r="AI34" s="498">
        <v>1E-4</v>
      </c>
      <c r="AJ34" s="498">
        <v>1E-4</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663</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664</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662</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664</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662</v>
      </c>
      <c r="B54"/>
      <c r="C54"/>
      <c r="D54"/>
      <c r="E54"/>
      <c r="F54"/>
      <c r="G54" s="498">
        <v>1E-4</v>
      </c>
      <c r="H54" s="498">
        <v>1E-4</v>
      </c>
      <c r="I54" s="498">
        <v>1E-4</v>
      </c>
      <c r="J54" s="498">
        <v>1E-4</v>
      </c>
      <c r="K54" s="498">
        <v>1E-4</v>
      </c>
      <c r="L54" s="498">
        <v>1E-4</v>
      </c>
      <c r="M54" s="498">
        <v>1E-4</v>
      </c>
      <c r="N54" s="498">
        <v>1E-4</v>
      </c>
      <c r="O54" s="498">
        <v>1E-4</v>
      </c>
      <c r="P54" s="498">
        <v>1E-4</v>
      </c>
      <c r="Q54" s="498">
        <v>1E-4</v>
      </c>
      <c r="R54" s="498">
        <v>1E-4</v>
      </c>
      <c r="S54" s="498">
        <v>1E-4</v>
      </c>
      <c r="T54" s="498">
        <v>1E-4</v>
      </c>
      <c r="U54" s="498">
        <v>1E-4</v>
      </c>
      <c r="V54" s="498">
        <v>1E-4</v>
      </c>
      <c r="W54" s="498">
        <v>1E-4</v>
      </c>
      <c r="X54" s="498">
        <v>1E-4</v>
      </c>
      <c r="Y54" s="498">
        <v>1E-4</v>
      </c>
      <c r="Z54" s="498">
        <v>1E-4</v>
      </c>
      <c r="AA54" s="498">
        <v>1E-4</v>
      </c>
      <c r="AB54" s="498">
        <v>1E-4</v>
      </c>
      <c r="AC54" s="498">
        <v>1E-4</v>
      </c>
      <c r="AD54" s="498">
        <v>1E-4</v>
      </c>
      <c r="AE54" s="498">
        <v>1E-4</v>
      </c>
      <c r="AF54" s="498">
        <v>1E-4</v>
      </c>
      <c r="AG54" s="498">
        <v>1E-4</v>
      </c>
      <c r="AH54" s="498">
        <v>1E-4</v>
      </c>
      <c r="AI54" s="498">
        <v>1E-4</v>
      </c>
      <c r="AJ54" s="498">
        <v>1E-4</v>
      </c>
      <c r="AK54" s="502">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0" customFormat="1">
      <c r="A57" s="250" t="s">
        <v>350</v>
      </c>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9" s="250" customFormat="1">
      <c r="A58" s="249"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747</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741</v>
      </c>
      <c r="AM59" s="18" t="s">
        <v>757</v>
      </c>
    </row>
    <row r="60" spans="1:39">
      <c r="A60" s="500" t="s">
        <v>734</v>
      </c>
      <c r="G60" s="498">
        <v>1.538</v>
      </c>
      <c r="H60" s="498">
        <v>1.177</v>
      </c>
      <c r="I60" s="498">
        <v>1.4874099999999999</v>
      </c>
      <c r="J60" s="498">
        <v>1.755984</v>
      </c>
      <c r="K60" s="498">
        <v>2.2749250000000001</v>
      </c>
      <c r="L60" s="498">
        <v>2.3213660000000003</v>
      </c>
      <c r="M60" s="498">
        <v>3.1178370000000002</v>
      </c>
      <c r="N60" s="498">
        <v>3.1178379999999999</v>
      </c>
      <c r="O60" s="498">
        <v>3.117839</v>
      </c>
      <c r="P60" s="498">
        <v>3.117839</v>
      </c>
      <c r="Q60" s="498">
        <v>3.2416689999999999</v>
      </c>
      <c r="R60" s="498">
        <v>3.2416689999999999</v>
      </c>
      <c r="S60" s="498">
        <v>3.2416689999999999</v>
      </c>
      <c r="T60" s="498">
        <v>3.2416689999999999</v>
      </c>
      <c r="U60" s="498">
        <v>3.2416680000000002</v>
      </c>
      <c r="V60" s="498">
        <v>3.2416689999999999</v>
      </c>
      <c r="W60" s="498">
        <v>3.311528</v>
      </c>
      <c r="X60" s="498">
        <v>3.311528</v>
      </c>
      <c r="Y60" s="498">
        <v>3.311528</v>
      </c>
      <c r="Z60" s="498">
        <v>3.311528</v>
      </c>
      <c r="AA60" s="498">
        <v>3.311528</v>
      </c>
      <c r="AB60" s="498">
        <v>3.311528</v>
      </c>
      <c r="AC60" s="498">
        <v>3.311534</v>
      </c>
      <c r="AD60" s="498">
        <v>3.3115350000000001</v>
      </c>
      <c r="AE60" s="498">
        <v>3.311534</v>
      </c>
      <c r="AF60" s="498">
        <v>3.311528</v>
      </c>
      <c r="AG60" s="498">
        <v>3.311528</v>
      </c>
      <c r="AH60" s="498">
        <v>3.3115329999999998</v>
      </c>
      <c r="AI60" s="498">
        <v>3.311534</v>
      </c>
      <c r="AJ60" s="498">
        <v>3.311528</v>
      </c>
      <c r="AK60" s="502">
        <v>4.0000000000000001E-3</v>
      </c>
      <c r="AL60" s="507" t="s">
        <v>728</v>
      </c>
      <c r="AM60" s="29">
        <v>9.9999999999999995E-7</v>
      </c>
    </row>
    <row r="61" spans="1:39">
      <c r="A61" s="500" t="s">
        <v>735</v>
      </c>
      <c r="G61" s="498">
        <v>1E-4</v>
      </c>
      <c r="H61" s="498">
        <v>1E-4</v>
      </c>
      <c r="I61" s="498">
        <v>1E-4</v>
      </c>
      <c r="J61" s="498">
        <v>1E-4</v>
      </c>
      <c r="K61" s="498">
        <v>1E-4</v>
      </c>
      <c r="L61" s="498">
        <v>1E-4</v>
      </c>
      <c r="M61" s="498">
        <v>1E-4</v>
      </c>
      <c r="N61" s="498">
        <v>1E-4</v>
      </c>
      <c r="O61" s="498">
        <v>1E-4</v>
      </c>
      <c r="P61" s="498">
        <v>1E-4</v>
      </c>
      <c r="Q61" s="498">
        <v>1E-4</v>
      </c>
      <c r="R61" s="498">
        <v>1E-4</v>
      </c>
      <c r="S61" s="498">
        <v>1E-4</v>
      </c>
      <c r="T61" s="498">
        <v>1E-4</v>
      </c>
      <c r="U61" s="498">
        <v>1E-4</v>
      </c>
      <c r="V61" s="498">
        <v>1E-4</v>
      </c>
      <c r="W61" s="498">
        <v>1E-4</v>
      </c>
      <c r="X61" s="498">
        <v>1E-4</v>
      </c>
      <c r="Y61" s="498">
        <v>1E-4</v>
      </c>
      <c r="Z61" s="498">
        <v>1E-4</v>
      </c>
      <c r="AA61" s="498">
        <v>1E-4</v>
      </c>
      <c r="AB61" s="498">
        <v>1E-4</v>
      </c>
      <c r="AC61" s="498">
        <v>1E-4</v>
      </c>
      <c r="AD61" s="498">
        <v>1E-4</v>
      </c>
      <c r="AE61" s="498">
        <v>1E-4</v>
      </c>
      <c r="AF61" s="498">
        <v>1E-4</v>
      </c>
      <c r="AG61" s="498">
        <v>1E-4</v>
      </c>
      <c r="AH61" s="498">
        <v>1E-4</v>
      </c>
      <c r="AI61" s="498">
        <v>1E-4</v>
      </c>
      <c r="AJ61" s="498">
        <v>1E-4</v>
      </c>
      <c r="AK61" s="498" t="s">
        <v>41</v>
      </c>
      <c r="AL61" s="507" t="s">
        <v>729</v>
      </c>
      <c r="AM61" s="29">
        <v>0.95</v>
      </c>
    </row>
    <row r="62" spans="1:39">
      <c r="A62" s="500" t="s">
        <v>736</v>
      </c>
      <c r="G62" s="498">
        <v>0.23053999999999999</v>
      </c>
      <c r="H62" s="498">
        <v>0.207263</v>
      </c>
      <c r="I62" s="498">
        <v>0.22287899999999999</v>
      </c>
      <c r="J62" s="498">
        <v>0.237313</v>
      </c>
      <c r="K62" s="498">
        <v>0.237313</v>
      </c>
      <c r="L62" s="498">
        <v>0.237313</v>
      </c>
      <c r="M62" s="498">
        <v>0.237313</v>
      </c>
      <c r="N62" s="498">
        <v>0.237313</v>
      </c>
      <c r="O62" s="498">
        <v>0.237313</v>
      </c>
      <c r="P62" s="498">
        <v>0.237313</v>
      </c>
      <c r="Q62" s="498">
        <v>0.237313</v>
      </c>
      <c r="R62" s="498">
        <v>0.237313</v>
      </c>
      <c r="S62" s="498">
        <v>0.237313</v>
      </c>
      <c r="T62" s="498">
        <v>0.237313</v>
      </c>
      <c r="U62" s="498">
        <v>0.237313</v>
      </c>
      <c r="V62" s="498">
        <v>0.237313</v>
      </c>
      <c r="W62" s="498">
        <v>0.237313</v>
      </c>
      <c r="X62" s="498">
        <v>0.237313</v>
      </c>
      <c r="Y62" s="498">
        <v>0.237313</v>
      </c>
      <c r="Z62" s="498">
        <v>0.237313</v>
      </c>
      <c r="AA62" s="498">
        <v>0.237313</v>
      </c>
      <c r="AB62" s="498">
        <v>0.237313</v>
      </c>
      <c r="AC62" s="498">
        <v>0.237313</v>
      </c>
      <c r="AD62" s="498">
        <v>0.237313</v>
      </c>
      <c r="AE62" s="498">
        <v>0.237313</v>
      </c>
      <c r="AF62" s="498">
        <v>0.237313</v>
      </c>
      <c r="AG62" s="498">
        <v>0.237313</v>
      </c>
      <c r="AH62" s="498">
        <v>0.237313</v>
      </c>
      <c r="AI62" s="498">
        <v>0.237313</v>
      </c>
      <c r="AJ62" s="498">
        <v>0.237313</v>
      </c>
      <c r="AK62" s="502">
        <v>4.0000000000000001E-3</v>
      </c>
      <c r="AL62" s="507" t="s">
        <v>730</v>
      </c>
      <c r="AM62" s="29">
        <v>0</v>
      </c>
    </row>
    <row r="63" spans="1:39">
      <c r="A63" s="500" t="s">
        <v>737</v>
      </c>
      <c r="G63" s="498">
        <v>5.9500000000000004E-4</v>
      </c>
      <c r="H63" s="498">
        <v>6.29E-4</v>
      </c>
      <c r="I63" s="498">
        <v>4.6434999999999997E-2</v>
      </c>
      <c r="J63" s="498">
        <v>4.5799000000000006E-2</v>
      </c>
      <c r="K63" s="498">
        <v>3.7714999999999999E-2</v>
      </c>
      <c r="L63" s="498">
        <v>2.9009999999999999E-3</v>
      </c>
      <c r="M63" s="498">
        <v>6.9261000000000003E-2</v>
      </c>
      <c r="N63" s="498">
        <v>6.8166000000000004E-2</v>
      </c>
      <c r="O63" s="498">
        <v>0.22665800000000003</v>
      </c>
      <c r="P63" s="498">
        <v>1.400909</v>
      </c>
      <c r="Q63" s="498">
        <v>1.50353</v>
      </c>
      <c r="R63" s="498">
        <v>1.4741460000000002</v>
      </c>
      <c r="S63" s="498">
        <v>1.4811489999999998</v>
      </c>
      <c r="T63" s="498">
        <v>1.7985600000000002</v>
      </c>
      <c r="U63" s="498">
        <v>1.81263</v>
      </c>
      <c r="V63" s="498">
        <v>1.81962</v>
      </c>
      <c r="W63" s="498">
        <v>1.8251360000000001</v>
      </c>
      <c r="X63" s="498">
        <v>1.8233950000000001</v>
      </c>
      <c r="Y63" s="498">
        <v>1.8559990000000002</v>
      </c>
      <c r="Z63" s="498">
        <v>2.1978429999999998</v>
      </c>
      <c r="AA63" s="498">
        <v>2.417306</v>
      </c>
      <c r="AB63" s="498">
        <v>2.499994</v>
      </c>
      <c r="AC63" s="498">
        <v>2.497776</v>
      </c>
      <c r="AD63" s="498">
        <v>2.49579</v>
      </c>
      <c r="AE63" s="498">
        <v>2.5211110000000003</v>
      </c>
      <c r="AF63" s="498">
        <v>2.5203229999999999</v>
      </c>
      <c r="AG63" s="498">
        <v>2.5198869999999998</v>
      </c>
      <c r="AH63" s="498">
        <v>2.5119129999999998</v>
      </c>
      <c r="AI63" s="498">
        <v>2.507768</v>
      </c>
      <c r="AJ63" s="498">
        <v>2.4918589999999998</v>
      </c>
      <c r="AK63" s="502">
        <v>1.7999999999999999E-2</v>
      </c>
      <c r="AL63" s="507" t="s">
        <v>143</v>
      </c>
      <c r="AM63" s="29">
        <v>0.2</v>
      </c>
    </row>
    <row r="64" spans="1:39">
      <c r="A64" s="500" t="s">
        <v>738</v>
      </c>
      <c r="G64" s="498">
        <v>1.448E-2</v>
      </c>
      <c r="H64" s="498">
        <v>5.7357999999999999E-2</v>
      </c>
      <c r="I64" s="498">
        <v>0.12500900000000001</v>
      </c>
      <c r="J64" s="498">
        <v>0.214895</v>
      </c>
      <c r="K64" s="498">
        <v>0.34807900000000003</v>
      </c>
      <c r="L64" s="498">
        <v>0.503467</v>
      </c>
      <c r="M64" s="498">
        <v>0.50439199999999995</v>
      </c>
      <c r="N64" s="498">
        <v>0.50587500000000007</v>
      </c>
      <c r="O64" s="498">
        <v>0.50937599999999994</v>
      </c>
      <c r="P64" s="498">
        <v>0.51937600000000006</v>
      </c>
      <c r="Q64" s="498">
        <v>0.53358099999999997</v>
      </c>
      <c r="R64" s="498">
        <v>0.55019399999999996</v>
      </c>
      <c r="S64" s="498">
        <v>0.56863200000000003</v>
      </c>
      <c r="T64" s="498">
        <v>0.58883099999999999</v>
      </c>
      <c r="U64" s="498">
        <v>0.61320400000000008</v>
      </c>
      <c r="V64" s="498">
        <v>0.642038</v>
      </c>
      <c r="W64" s="498">
        <v>0.67225199999999996</v>
      </c>
      <c r="X64" s="498">
        <v>0.70302700000000007</v>
      </c>
      <c r="Y64" s="498">
        <v>0.73452300000000004</v>
      </c>
      <c r="Z64" s="498">
        <v>0.76722000000000001</v>
      </c>
      <c r="AA64" s="498">
        <v>0.80101999999999995</v>
      </c>
      <c r="AB64" s="498">
        <v>0.83614000000000011</v>
      </c>
      <c r="AC64" s="498">
        <v>0.87268199999999996</v>
      </c>
      <c r="AD64" s="498">
        <v>0.91154000000000002</v>
      </c>
      <c r="AE64" s="498">
        <v>0.95706600000000008</v>
      </c>
      <c r="AF64" s="498">
        <v>1.005247</v>
      </c>
      <c r="AG64" s="498">
        <v>1.0552429999999999</v>
      </c>
      <c r="AH64" s="498">
        <v>1.106392</v>
      </c>
      <c r="AI64" s="498">
        <v>1.159227</v>
      </c>
      <c r="AJ64" s="498">
        <v>1.216383</v>
      </c>
      <c r="AK64" s="502">
        <v>7.0000000000000007E-2</v>
      </c>
      <c r="AL64" s="507" t="s">
        <v>731</v>
      </c>
      <c r="AM64" s="29">
        <v>0.67</v>
      </c>
    </row>
    <row r="65" spans="1:44">
      <c r="A65" s="500" t="s">
        <v>739</v>
      </c>
      <c r="G65" s="498">
        <v>4.9912320000000001</v>
      </c>
      <c r="H65" s="498">
        <v>8.0022319999999993</v>
      </c>
      <c r="I65" s="498">
        <v>12.544601999999999</v>
      </c>
      <c r="J65" s="498">
        <v>13.190943000000001</v>
      </c>
      <c r="K65" s="498">
        <v>13.824838999999999</v>
      </c>
      <c r="L65" s="498">
        <v>14.24835</v>
      </c>
      <c r="M65" s="498">
        <v>14.246486000000001</v>
      </c>
      <c r="N65" s="498">
        <v>14.247387</v>
      </c>
      <c r="O65" s="498">
        <v>14.250064999999999</v>
      </c>
      <c r="P65" s="498">
        <v>14.248633999999999</v>
      </c>
      <c r="Q65" s="498">
        <v>14.252615</v>
      </c>
      <c r="R65" s="498">
        <v>14.252895000000001</v>
      </c>
      <c r="S65" s="498">
        <v>14.252949000000001</v>
      </c>
      <c r="T65" s="498">
        <v>14.254103000000001</v>
      </c>
      <c r="U65" s="498">
        <v>14.255491000000001</v>
      </c>
      <c r="V65" s="498">
        <v>14.255110999999999</v>
      </c>
      <c r="W65" s="498">
        <v>14.272939999999998</v>
      </c>
      <c r="X65" s="498">
        <v>14.284884</v>
      </c>
      <c r="Y65" s="498">
        <v>14.284427000000001</v>
      </c>
      <c r="Z65" s="498">
        <v>14.316579000000001</v>
      </c>
      <c r="AA65" s="498">
        <v>14.385384</v>
      </c>
      <c r="AB65" s="498">
        <v>14.483231999999999</v>
      </c>
      <c r="AC65" s="498">
        <v>14.529686</v>
      </c>
      <c r="AD65" s="498">
        <v>14.623471</v>
      </c>
      <c r="AE65" s="498">
        <v>14.689197</v>
      </c>
      <c r="AF65" s="498">
        <v>14.702328999999999</v>
      </c>
      <c r="AG65" s="498">
        <v>14.792638999999999</v>
      </c>
      <c r="AH65" s="498">
        <v>14.854894</v>
      </c>
      <c r="AI65" s="498">
        <v>15.311142</v>
      </c>
      <c r="AJ65" s="498">
        <v>16.738579999999999</v>
      </c>
      <c r="AK65" s="502">
        <v>7.2999999999999995E-2</v>
      </c>
      <c r="AL65" s="507" t="s">
        <v>732</v>
      </c>
      <c r="AM65" s="29">
        <v>4.8327210696059927E-2</v>
      </c>
    </row>
    <row r="66" spans="1:44">
      <c r="A66" s="501" t="s">
        <v>740</v>
      </c>
      <c r="G66" s="499">
        <v>6.7748469999999994</v>
      </c>
      <c r="H66" s="499">
        <v>9.4444820000000007</v>
      </c>
      <c r="I66" s="499">
        <v>14.426336000000001</v>
      </c>
      <c r="J66" s="499">
        <v>15.444934999999999</v>
      </c>
      <c r="K66" s="499">
        <v>16.722871999999999</v>
      </c>
      <c r="L66" s="499">
        <v>17.313397000000002</v>
      </c>
      <c r="M66" s="499">
        <v>18.175291000000001</v>
      </c>
      <c r="N66" s="499">
        <v>18.176579</v>
      </c>
      <c r="O66" s="499">
        <v>18.341252999999998</v>
      </c>
      <c r="P66" s="499">
        <v>19.524072</v>
      </c>
      <c r="Q66" s="499">
        <v>19.768709000000001</v>
      </c>
      <c r="R66" s="499">
        <v>19.756218000000001</v>
      </c>
      <c r="S66" s="499">
        <v>19.781711000000001</v>
      </c>
      <c r="T66" s="499">
        <v>20.120474999999999</v>
      </c>
      <c r="U66" s="499">
        <v>20.160305999999999</v>
      </c>
      <c r="V66" s="499">
        <v>20.195751000000001</v>
      </c>
      <c r="W66" s="499">
        <v>20.31917</v>
      </c>
      <c r="X66" s="499">
        <v>20.360147000000001</v>
      </c>
      <c r="Y66" s="499">
        <v>20.42379</v>
      </c>
      <c r="Z66" s="499">
        <v>20.830486000000001</v>
      </c>
      <c r="AA66" s="499">
        <v>21.152552999999997</v>
      </c>
      <c r="AB66" s="499">
        <v>21.368206999999998</v>
      </c>
      <c r="AC66" s="499">
        <v>21.448992000000001</v>
      </c>
      <c r="AD66" s="499">
        <v>21.579647999999999</v>
      </c>
      <c r="AE66" s="499">
        <v>21.716222000000002</v>
      </c>
      <c r="AF66" s="499">
        <v>21.77674</v>
      </c>
      <c r="AG66" s="499">
        <v>21.916611</v>
      </c>
      <c r="AH66" s="499">
        <v>22.022046</v>
      </c>
      <c r="AI66" s="499">
        <v>22.526983000000001</v>
      </c>
      <c r="AJ66" s="499">
        <v>23.995663</v>
      </c>
      <c r="AK66" s="503">
        <v>2.1999999999999999E-2</v>
      </c>
      <c r="AL66" s="507" t="s">
        <v>733</v>
      </c>
      <c r="AM66" s="29">
        <v>0.73604761904761906</v>
      </c>
    </row>
    <row r="67" spans="1:44">
      <c r="A67" s="509"/>
      <c r="B67"/>
      <c r="C67"/>
      <c r="D67"/>
      <c r="E67"/>
      <c r="F67"/>
      <c r="G67"/>
      <c r="H67"/>
      <c r="I67"/>
      <c r="J67"/>
      <c r="K67"/>
      <c r="L67"/>
      <c r="M67"/>
      <c r="N67"/>
      <c r="O67"/>
      <c r="P67"/>
      <c r="Q67"/>
      <c r="R67"/>
      <c r="S67"/>
      <c r="T67"/>
      <c r="U67"/>
      <c r="V67"/>
      <c r="W67"/>
      <c r="X67"/>
      <c r="Y67"/>
      <c r="Z67"/>
      <c r="AA67"/>
      <c r="AB67"/>
      <c r="AC67"/>
      <c r="AD67"/>
      <c r="AE67"/>
      <c r="AF67"/>
      <c r="AG67"/>
      <c r="AH67"/>
      <c r="AI67"/>
      <c r="AJ67"/>
      <c r="AK67"/>
      <c r="AL67" s="508" t="s">
        <v>58</v>
      </c>
      <c r="AM67" s="29">
        <v>0.24600047182926632</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0"/>
      <c r="C69" s="470"/>
      <c r="D69" s="470"/>
      <c r="E69" s="470"/>
      <c r="F69" s="470"/>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7"/>
    </row>
    <row r="70" spans="1:44" s="90" customFormat="1">
      <c r="B70" s="471" t="s">
        <v>7</v>
      </c>
      <c r="C70" s="471" t="s">
        <v>8</v>
      </c>
      <c r="D70" s="471" t="s">
        <v>9</v>
      </c>
      <c r="E70" s="471" t="s">
        <v>10</v>
      </c>
      <c r="F70" s="471" t="s">
        <v>11</v>
      </c>
      <c r="G70" s="318" t="s">
        <v>12</v>
      </c>
      <c r="H70" s="318" t="s">
        <v>13</v>
      </c>
      <c r="I70" s="318" t="s">
        <v>14</v>
      </c>
      <c r="J70" s="318" t="s">
        <v>15</v>
      </c>
      <c r="K70" s="318" t="s">
        <v>16</v>
      </c>
      <c r="L70" s="318" t="s">
        <v>17</v>
      </c>
      <c r="M70" s="318" t="s">
        <v>18</v>
      </c>
      <c r="N70" s="318" t="s">
        <v>19</v>
      </c>
      <c r="O70" s="318" t="s">
        <v>20</v>
      </c>
      <c r="P70" s="318" t="s">
        <v>21</v>
      </c>
      <c r="Q70" s="318" t="s">
        <v>22</v>
      </c>
      <c r="R70" s="318" t="s">
        <v>23</v>
      </c>
      <c r="S70" s="318" t="s">
        <v>24</v>
      </c>
      <c r="T70" s="318" t="s">
        <v>25</v>
      </c>
      <c r="U70" s="318" t="s">
        <v>26</v>
      </c>
      <c r="V70" s="318" t="s">
        <v>27</v>
      </c>
      <c r="W70" s="318" t="s">
        <v>28</v>
      </c>
      <c r="X70" s="318" t="s">
        <v>29</v>
      </c>
      <c r="Y70" s="318" t="s">
        <v>30</v>
      </c>
      <c r="Z70" s="318" t="s">
        <v>31</v>
      </c>
      <c r="AA70" s="318" t="s">
        <v>582</v>
      </c>
      <c r="AB70" s="318" t="s">
        <v>583</v>
      </c>
      <c r="AC70" s="318" t="s">
        <v>584</v>
      </c>
      <c r="AD70" s="318" t="s">
        <v>585</v>
      </c>
      <c r="AE70" s="318" t="s">
        <v>586</v>
      </c>
      <c r="AF70" s="318" t="s">
        <v>587</v>
      </c>
      <c r="AG70" s="318" t="s">
        <v>588</v>
      </c>
      <c r="AH70" s="318" t="s">
        <v>589</v>
      </c>
      <c r="AI70" s="318" t="s">
        <v>590</v>
      </c>
      <c r="AJ70" s="318" t="s">
        <v>591</v>
      </c>
      <c r="AK70" s="318" t="s">
        <v>594</v>
      </c>
      <c r="AM70" s="90" t="s">
        <v>748</v>
      </c>
      <c r="AN70" s="90">
        <v>2006</v>
      </c>
      <c r="AO70" s="90">
        <v>2007</v>
      </c>
      <c r="AP70" s="90">
        <v>2008</v>
      </c>
      <c r="AQ70" s="90">
        <v>2009</v>
      </c>
      <c r="AR70" s="90">
        <v>2010</v>
      </c>
    </row>
    <row r="71" spans="1:44">
      <c r="B71" s="469"/>
      <c r="C71" s="469"/>
      <c r="D71" s="469"/>
      <c r="E71" s="469"/>
      <c r="F71" s="469"/>
    </row>
    <row r="72" spans="1:44" s="18" customFormat="1">
      <c r="A72" s="17" t="s">
        <v>55</v>
      </c>
      <c r="B72" s="472"/>
      <c r="C72" s="472"/>
      <c r="D72" s="472"/>
      <c r="E72" s="472"/>
      <c r="F72" s="472"/>
      <c r="G72" s="319"/>
      <c r="H72" s="319"/>
      <c r="I72" s="319"/>
      <c r="J72" s="319"/>
      <c r="K72" s="319"/>
      <c r="L72" s="319"/>
      <c r="M72" s="319"/>
      <c r="N72" s="319"/>
      <c r="O72" s="319"/>
      <c r="P72" s="319"/>
      <c r="Q72" s="319"/>
      <c r="R72" s="319"/>
      <c r="S72" s="319"/>
      <c r="T72" s="319"/>
      <c r="U72" s="319"/>
      <c r="V72" s="319"/>
      <c r="W72" s="319"/>
      <c r="X72" s="319"/>
      <c r="Y72" s="319"/>
      <c r="Z72" s="319"/>
      <c r="AA72" s="319"/>
      <c r="AB72" s="319"/>
      <c r="AC72" s="319"/>
      <c r="AD72" s="319"/>
      <c r="AE72" s="319"/>
      <c r="AF72" s="319"/>
      <c r="AG72" s="319"/>
      <c r="AH72" s="319"/>
      <c r="AI72" s="319"/>
      <c r="AJ72" s="319"/>
      <c r="AK72" s="319"/>
      <c r="AM72" s="18" t="s">
        <v>728</v>
      </c>
      <c r="AN72" s="18">
        <v>0</v>
      </c>
      <c r="AO72" s="18">
        <v>0</v>
      </c>
      <c r="AP72" s="18">
        <v>0</v>
      </c>
      <c r="AQ72" s="18">
        <v>0</v>
      </c>
      <c r="AR72" s="18">
        <v>0</v>
      </c>
    </row>
    <row r="73" spans="1:44" s="18" customFormat="1">
      <c r="A73" s="17" t="s">
        <v>49</v>
      </c>
      <c r="B73" s="490">
        <f>AN73</f>
        <v>0.19900000000000001</v>
      </c>
      <c r="C73" s="490">
        <f t="shared" ref="C73:F73" si="0">AO73</f>
        <v>1.204</v>
      </c>
      <c r="D73" s="490">
        <f t="shared" si="0"/>
        <v>2.0470000000000002</v>
      </c>
      <c r="E73" s="490">
        <f t="shared" si="0"/>
        <v>1.8169999999999999</v>
      </c>
      <c r="F73" s="490">
        <f t="shared" si="0"/>
        <v>1.5389999999999999</v>
      </c>
      <c r="G73" s="483">
        <f t="shared" ref="G73:AJ73" si="1">G60*$AM61</f>
        <v>1.4611000000000001</v>
      </c>
      <c r="H73" s="483">
        <f t="shared" si="1"/>
        <v>1.11815</v>
      </c>
      <c r="I73" s="483">
        <f t="shared" si="1"/>
        <v>1.4130394999999998</v>
      </c>
      <c r="J73" s="483">
        <f t="shared" si="1"/>
        <v>1.6681847999999999</v>
      </c>
      <c r="K73" s="483">
        <f t="shared" si="1"/>
        <v>2.1611787499999999</v>
      </c>
      <c r="L73" s="483">
        <f t="shared" si="1"/>
        <v>2.2052977</v>
      </c>
      <c r="M73" s="483">
        <f t="shared" si="1"/>
        <v>2.96194515</v>
      </c>
      <c r="N73" s="483">
        <f t="shared" si="1"/>
        <v>2.9619460999999996</v>
      </c>
      <c r="O73" s="483">
        <f t="shared" si="1"/>
        <v>2.96194705</v>
      </c>
      <c r="P73" s="483">
        <f t="shared" si="1"/>
        <v>2.96194705</v>
      </c>
      <c r="Q73" s="483">
        <f t="shared" si="1"/>
        <v>3.0795855499999996</v>
      </c>
      <c r="R73" s="483">
        <f t="shared" si="1"/>
        <v>3.0795855499999996</v>
      </c>
      <c r="S73" s="483">
        <f t="shared" si="1"/>
        <v>3.0795855499999996</v>
      </c>
      <c r="T73" s="483">
        <f t="shared" si="1"/>
        <v>3.0795855499999996</v>
      </c>
      <c r="U73" s="483">
        <f t="shared" si="1"/>
        <v>3.0795846</v>
      </c>
      <c r="V73" s="483">
        <f t="shared" si="1"/>
        <v>3.0795855499999996</v>
      </c>
      <c r="W73" s="483">
        <f t="shared" si="1"/>
        <v>3.1459516000000001</v>
      </c>
      <c r="X73" s="483">
        <f t="shared" si="1"/>
        <v>3.1459516000000001</v>
      </c>
      <c r="Y73" s="483">
        <f t="shared" si="1"/>
        <v>3.1459516000000001</v>
      </c>
      <c r="Z73" s="483">
        <f t="shared" si="1"/>
        <v>3.1459516000000001</v>
      </c>
      <c r="AA73" s="483">
        <f t="shared" si="1"/>
        <v>3.1459516000000001</v>
      </c>
      <c r="AB73" s="483">
        <f t="shared" si="1"/>
        <v>3.1459516000000001</v>
      </c>
      <c r="AC73" s="483">
        <f t="shared" si="1"/>
        <v>3.1459572999999996</v>
      </c>
      <c r="AD73" s="483">
        <f t="shared" si="1"/>
        <v>3.1459582500000001</v>
      </c>
      <c r="AE73" s="483">
        <f t="shared" si="1"/>
        <v>3.1459572999999996</v>
      </c>
      <c r="AF73" s="483">
        <f t="shared" si="1"/>
        <v>3.1459516000000001</v>
      </c>
      <c r="AG73" s="483">
        <f t="shared" si="1"/>
        <v>3.1459516000000001</v>
      </c>
      <c r="AH73" s="483">
        <f t="shared" si="1"/>
        <v>3.1459563499999996</v>
      </c>
      <c r="AI73" s="483">
        <f t="shared" si="1"/>
        <v>3.1459572999999996</v>
      </c>
      <c r="AJ73" s="483">
        <f t="shared" si="1"/>
        <v>3.1459516000000001</v>
      </c>
      <c r="AK73" s="484"/>
      <c r="AM73" s="18" t="s">
        <v>729</v>
      </c>
      <c r="AN73" s="18">
        <v>0.19900000000000001</v>
      </c>
      <c r="AO73" s="18">
        <v>1.204</v>
      </c>
      <c r="AP73" s="18">
        <v>2.0470000000000002</v>
      </c>
      <c r="AQ73" s="18">
        <v>1.8169999999999999</v>
      </c>
      <c r="AR73" s="18">
        <v>1.5389999999999999</v>
      </c>
    </row>
    <row r="74" spans="1:44" s="18" customFormat="1">
      <c r="A74" s="17" t="s">
        <v>50</v>
      </c>
      <c r="B74" s="490">
        <f>AN72</f>
        <v>0</v>
      </c>
      <c r="C74" s="490">
        <f t="shared" ref="C74:F74" si="2">AO72</f>
        <v>0</v>
      </c>
      <c r="D74" s="490">
        <f t="shared" si="2"/>
        <v>0</v>
      </c>
      <c r="E74" s="490">
        <f t="shared" si="2"/>
        <v>0</v>
      </c>
      <c r="F74" s="490">
        <f t="shared" si="2"/>
        <v>0</v>
      </c>
      <c r="G74" s="483">
        <f t="shared" ref="G74:AJ74" si="3">G61*$AM60</f>
        <v>1E-10</v>
      </c>
      <c r="H74" s="483">
        <f t="shared" si="3"/>
        <v>1E-10</v>
      </c>
      <c r="I74" s="483">
        <f t="shared" si="3"/>
        <v>1E-10</v>
      </c>
      <c r="J74" s="483">
        <f t="shared" si="3"/>
        <v>1E-10</v>
      </c>
      <c r="K74" s="483">
        <f t="shared" si="3"/>
        <v>1E-10</v>
      </c>
      <c r="L74" s="483">
        <f t="shared" si="3"/>
        <v>1E-10</v>
      </c>
      <c r="M74" s="483">
        <f t="shared" si="3"/>
        <v>1E-10</v>
      </c>
      <c r="N74" s="483">
        <f t="shared" si="3"/>
        <v>1E-10</v>
      </c>
      <c r="O74" s="483">
        <f t="shared" si="3"/>
        <v>1E-10</v>
      </c>
      <c r="P74" s="483">
        <f t="shared" si="3"/>
        <v>1E-10</v>
      </c>
      <c r="Q74" s="483">
        <f t="shared" si="3"/>
        <v>1E-10</v>
      </c>
      <c r="R74" s="483">
        <f t="shared" si="3"/>
        <v>1E-10</v>
      </c>
      <c r="S74" s="483">
        <f t="shared" si="3"/>
        <v>1E-10</v>
      </c>
      <c r="T74" s="483">
        <f t="shared" si="3"/>
        <v>1E-10</v>
      </c>
      <c r="U74" s="483">
        <f t="shared" si="3"/>
        <v>1E-10</v>
      </c>
      <c r="V74" s="483">
        <f t="shared" si="3"/>
        <v>1E-10</v>
      </c>
      <c r="W74" s="483">
        <f t="shared" si="3"/>
        <v>1E-10</v>
      </c>
      <c r="X74" s="483">
        <f t="shared" si="3"/>
        <v>1E-10</v>
      </c>
      <c r="Y74" s="483">
        <f t="shared" si="3"/>
        <v>1E-10</v>
      </c>
      <c r="Z74" s="483">
        <f t="shared" si="3"/>
        <v>1E-10</v>
      </c>
      <c r="AA74" s="483">
        <f t="shared" si="3"/>
        <v>1E-10</v>
      </c>
      <c r="AB74" s="483">
        <f t="shared" si="3"/>
        <v>1E-10</v>
      </c>
      <c r="AC74" s="483">
        <f t="shared" si="3"/>
        <v>1E-10</v>
      </c>
      <c r="AD74" s="483">
        <f t="shared" si="3"/>
        <v>1E-10</v>
      </c>
      <c r="AE74" s="483">
        <f t="shared" si="3"/>
        <v>1E-10</v>
      </c>
      <c r="AF74" s="483">
        <f t="shared" si="3"/>
        <v>1E-10</v>
      </c>
      <c r="AG74" s="483">
        <f t="shared" si="3"/>
        <v>1E-10</v>
      </c>
      <c r="AH74" s="483">
        <f t="shared" si="3"/>
        <v>1E-10</v>
      </c>
      <c r="AI74" s="483">
        <f t="shared" si="3"/>
        <v>1E-10</v>
      </c>
      <c r="AJ74" s="483">
        <f t="shared" si="3"/>
        <v>1E-10</v>
      </c>
      <c r="AK74" s="484"/>
      <c r="AM74" s="18" t="s">
        <v>730</v>
      </c>
      <c r="AN74" s="18">
        <v>0</v>
      </c>
      <c r="AO74" s="18">
        <v>0</v>
      </c>
      <c r="AP74" s="18">
        <v>0</v>
      </c>
      <c r="AQ74" s="18">
        <v>0</v>
      </c>
      <c r="AR74" s="18">
        <v>0</v>
      </c>
    </row>
    <row r="75" spans="1:44" s="18" customFormat="1">
      <c r="A75" s="17" t="s">
        <v>51</v>
      </c>
      <c r="B75" s="490">
        <f>AN77</f>
        <v>1.4999999999999999E-2</v>
      </c>
      <c r="C75" s="490">
        <f t="shared" ref="C75:F75" si="4">AO77</f>
        <v>2.1999999999999999E-2</v>
      </c>
      <c r="D75" s="490">
        <f t="shared" si="4"/>
        <v>0.03</v>
      </c>
      <c r="E75" s="490">
        <f t="shared" si="4"/>
        <v>0.05</v>
      </c>
      <c r="F75" s="490">
        <f t="shared" si="4"/>
        <v>5.8000000000000003E-2</v>
      </c>
      <c r="G75" s="483">
        <f t="shared" ref="G75:AJ75" si="5">G62*$AM65</f>
        <v>1.1141355153869655E-2</v>
      </c>
      <c r="H75" s="483">
        <f t="shared" si="5"/>
        <v>1.0016442670497469E-2</v>
      </c>
      <c r="I75" s="483">
        <f t="shared" si="5"/>
        <v>1.0771120392727141E-2</v>
      </c>
      <c r="J75" s="483">
        <f t="shared" si="5"/>
        <v>1.146867535191407E-2</v>
      </c>
      <c r="K75" s="483">
        <f t="shared" si="5"/>
        <v>1.146867535191407E-2</v>
      </c>
      <c r="L75" s="483">
        <f t="shared" si="5"/>
        <v>1.146867535191407E-2</v>
      </c>
      <c r="M75" s="483">
        <f t="shared" si="5"/>
        <v>1.146867535191407E-2</v>
      </c>
      <c r="N75" s="483">
        <f t="shared" si="5"/>
        <v>1.146867535191407E-2</v>
      </c>
      <c r="O75" s="483">
        <f t="shared" si="5"/>
        <v>1.146867535191407E-2</v>
      </c>
      <c r="P75" s="483">
        <f t="shared" si="5"/>
        <v>1.146867535191407E-2</v>
      </c>
      <c r="Q75" s="483">
        <f t="shared" si="5"/>
        <v>1.146867535191407E-2</v>
      </c>
      <c r="R75" s="483">
        <f t="shared" si="5"/>
        <v>1.146867535191407E-2</v>
      </c>
      <c r="S75" s="483">
        <f t="shared" si="5"/>
        <v>1.146867535191407E-2</v>
      </c>
      <c r="T75" s="483">
        <f t="shared" si="5"/>
        <v>1.146867535191407E-2</v>
      </c>
      <c r="U75" s="483">
        <f t="shared" si="5"/>
        <v>1.146867535191407E-2</v>
      </c>
      <c r="V75" s="483">
        <f t="shared" si="5"/>
        <v>1.146867535191407E-2</v>
      </c>
      <c r="W75" s="483">
        <f t="shared" si="5"/>
        <v>1.146867535191407E-2</v>
      </c>
      <c r="X75" s="483">
        <f t="shared" si="5"/>
        <v>1.146867535191407E-2</v>
      </c>
      <c r="Y75" s="483">
        <f t="shared" si="5"/>
        <v>1.146867535191407E-2</v>
      </c>
      <c r="Z75" s="483">
        <f t="shared" si="5"/>
        <v>1.146867535191407E-2</v>
      </c>
      <c r="AA75" s="483">
        <f t="shared" si="5"/>
        <v>1.146867535191407E-2</v>
      </c>
      <c r="AB75" s="483">
        <f t="shared" si="5"/>
        <v>1.146867535191407E-2</v>
      </c>
      <c r="AC75" s="483">
        <f t="shared" si="5"/>
        <v>1.146867535191407E-2</v>
      </c>
      <c r="AD75" s="483">
        <f t="shared" si="5"/>
        <v>1.146867535191407E-2</v>
      </c>
      <c r="AE75" s="483">
        <f t="shared" si="5"/>
        <v>1.146867535191407E-2</v>
      </c>
      <c r="AF75" s="483">
        <f t="shared" si="5"/>
        <v>1.146867535191407E-2</v>
      </c>
      <c r="AG75" s="483">
        <f t="shared" si="5"/>
        <v>1.146867535191407E-2</v>
      </c>
      <c r="AH75" s="483">
        <f t="shared" si="5"/>
        <v>1.146867535191407E-2</v>
      </c>
      <c r="AI75" s="483">
        <f t="shared" si="5"/>
        <v>1.146867535191407E-2</v>
      </c>
      <c r="AJ75" s="483">
        <f t="shared" si="5"/>
        <v>1.146867535191407E-2</v>
      </c>
      <c r="AK75" s="484"/>
      <c r="AM75" s="18" t="s">
        <v>143</v>
      </c>
      <c r="AN75" s="18">
        <v>0</v>
      </c>
      <c r="AO75" s="18">
        <v>0</v>
      </c>
      <c r="AP75" s="18">
        <v>0.20300000000000001</v>
      </c>
      <c r="AQ75" s="18">
        <v>0.499</v>
      </c>
      <c r="AR75" s="18">
        <v>0.92500000000000004</v>
      </c>
    </row>
    <row r="76" spans="1:44" s="18" customFormat="1">
      <c r="A76" s="17" t="s">
        <v>56</v>
      </c>
      <c r="B76" s="491">
        <f>AN76</f>
        <v>0</v>
      </c>
      <c r="C76" s="491">
        <f t="shared" ref="C76:F76" si="6">AO76</f>
        <v>0</v>
      </c>
      <c r="D76" s="491">
        <f t="shared" si="6"/>
        <v>2E-3</v>
      </c>
      <c r="E76" s="491">
        <f t="shared" si="6"/>
        <v>2E-3</v>
      </c>
      <c r="F76" s="491">
        <f t="shared" si="6"/>
        <v>0</v>
      </c>
      <c r="G76" s="491">
        <f>G63*$AM64</f>
        <v>3.9865000000000007E-4</v>
      </c>
      <c r="H76" s="491">
        <f t="shared" ref="H76:AJ76" si="7">H63*$AM64</f>
        <v>4.2143000000000004E-4</v>
      </c>
      <c r="I76" s="491">
        <f t="shared" si="7"/>
        <v>3.1111449999999999E-2</v>
      </c>
      <c r="J76" s="491">
        <f t="shared" si="7"/>
        <v>3.0685330000000007E-2</v>
      </c>
      <c r="K76" s="491">
        <f t="shared" si="7"/>
        <v>2.5269050000000001E-2</v>
      </c>
      <c r="L76" s="491">
        <f t="shared" si="7"/>
        <v>1.94367E-3</v>
      </c>
      <c r="M76" s="491">
        <f t="shared" si="7"/>
        <v>4.6404870000000008E-2</v>
      </c>
      <c r="N76" s="491">
        <f t="shared" si="7"/>
        <v>4.5671220000000005E-2</v>
      </c>
      <c r="O76" s="491">
        <f t="shared" si="7"/>
        <v>0.15186086000000001</v>
      </c>
      <c r="P76" s="491">
        <f t="shared" si="7"/>
        <v>0.93860903000000007</v>
      </c>
      <c r="Q76" s="491">
        <f t="shared" si="7"/>
        <v>1.0073651000000001</v>
      </c>
      <c r="R76" s="491">
        <f t="shared" si="7"/>
        <v>0.98767782000000015</v>
      </c>
      <c r="S76" s="491">
        <f t="shared" si="7"/>
        <v>0.9923698299999999</v>
      </c>
      <c r="T76" s="491">
        <f t="shared" si="7"/>
        <v>1.2050352000000002</v>
      </c>
      <c r="U76" s="491">
        <f t="shared" si="7"/>
        <v>1.2144621</v>
      </c>
      <c r="V76" s="491">
        <f t="shared" si="7"/>
        <v>1.2191454000000002</v>
      </c>
      <c r="W76" s="491">
        <f t="shared" si="7"/>
        <v>1.2228411200000002</v>
      </c>
      <c r="X76" s="491">
        <f t="shared" si="7"/>
        <v>1.2216746500000002</v>
      </c>
      <c r="Y76" s="491">
        <f t="shared" si="7"/>
        <v>1.2435193300000003</v>
      </c>
      <c r="Z76" s="491">
        <f t="shared" si="7"/>
        <v>1.4725548099999999</v>
      </c>
      <c r="AA76" s="491">
        <f t="shared" si="7"/>
        <v>1.61959502</v>
      </c>
      <c r="AB76" s="491">
        <f t="shared" si="7"/>
        <v>1.6749959800000001</v>
      </c>
      <c r="AC76" s="491">
        <f t="shared" si="7"/>
        <v>1.6735099200000001</v>
      </c>
      <c r="AD76" s="491">
        <f t="shared" si="7"/>
        <v>1.6721793</v>
      </c>
      <c r="AE76" s="491">
        <f t="shared" si="7"/>
        <v>1.6891443700000004</v>
      </c>
      <c r="AF76" s="491">
        <f t="shared" si="7"/>
        <v>1.6886164100000001</v>
      </c>
      <c r="AG76" s="491">
        <f t="shared" si="7"/>
        <v>1.6883242899999999</v>
      </c>
      <c r="AH76" s="491">
        <f t="shared" si="7"/>
        <v>1.68298171</v>
      </c>
      <c r="AI76" s="491">
        <f t="shared" si="7"/>
        <v>1.6802045600000002</v>
      </c>
      <c r="AJ76" s="491">
        <f t="shared" si="7"/>
        <v>1.6695455299999999</v>
      </c>
      <c r="AK76" s="484"/>
      <c r="AM76" s="18" t="s">
        <v>746</v>
      </c>
      <c r="AN76" s="18">
        <v>0</v>
      </c>
      <c r="AO76" s="18">
        <v>0</v>
      </c>
      <c r="AP76" s="18">
        <v>2E-3</v>
      </c>
      <c r="AQ76" s="18">
        <v>2E-3</v>
      </c>
      <c r="AR76" s="18">
        <v>0</v>
      </c>
    </row>
    <row r="77" spans="1:44" s="18" customFormat="1">
      <c r="A77" s="17" t="s">
        <v>52</v>
      </c>
      <c r="B77" s="490">
        <f>AN74</f>
        <v>0</v>
      </c>
      <c r="C77" s="490">
        <f t="shared" ref="C77:F77" si="8">AO74</f>
        <v>0</v>
      </c>
      <c r="D77" s="490">
        <f t="shared" si="8"/>
        <v>0</v>
      </c>
      <c r="E77" s="490">
        <f t="shared" si="8"/>
        <v>0</v>
      </c>
      <c r="F77" s="490">
        <f t="shared" si="8"/>
        <v>0</v>
      </c>
      <c r="G77" s="483">
        <f t="shared" ref="G77:AJ77" si="9">G64*$AM62</f>
        <v>0</v>
      </c>
      <c r="H77" s="483">
        <f t="shared" si="9"/>
        <v>0</v>
      </c>
      <c r="I77" s="483">
        <f t="shared" si="9"/>
        <v>0</v>
      </c>
      <c r="J77" s="483">
        <f t="shared" si="9"/>
        <v>0</v>
      </c>
      <c r="K77" s="483">
        <f t="shared" si="9"/>
        <v>0</v>
      </c>
      <c r="L77" s="483">
        <f t="shared" si="9"/>
        <v>0</v>
      </c>
      <c r="M77" s="483">
        <f t="shared" si="9"/>
        <v>0</v>
      </c>
      <c r="N77" s="483">
        <f t="shared" si="9"/>
        <v>0</v>
      </c>
      <c r="O77" s="483">
        <f t="shared" si="9"/>
        <v>0</v>
      </c>
      <c r="P77" s="483">
        <f t="shared" si="9"/>
        <v>0</v>
      </c>
      <c r="Q77" s="483">
        <f t="shared" si="9"/>
        <v>0</v>
      </c>
      <c r="R77" s="483">
        <f t="shared" si="9"/>
        <v>0</v>
      </c>
      <c r="S77" s="483">
        <f t="shared" si="9"/>
        <v>0</v>
      </c>
      <c r="T77" s="483">
        <f t="shared" si="9"/>
        <v>0</v>
      </c>
      <c r="U77" s="483">
        <f t="shared" si="9"/>
        <v>0</v>
      </c>
      <c r="V77" s="483">
        <f t="shared" si="9"/>
        <v>0</v>
      </c>
      <c r="W77" s="483">
        <f t="shared" si="9"/>
        <v>0</v>
      </c>
      <c r="X77" s="483">
        <f t="shared" si="9"/>
        <v>0</v>
      </c>
      <c r="Y77" s="483">
        <f t="shared" si="9"/>
        <v>0</v>
      </c>
      <c r="Z77" s="483">
        <f t="shared" si="9"/>
        <v>0</v>
      </c>
      <c r="AA77" s="483">
        <f t="shared" si="9"/>
        <v>0</v>
      </c>
      <c r="AB77" s="483">
        <f t="shared" si="9"/>
        <v>0</v>
      </c>
      <c r="AC77" s="483">
        <f t="shared" si="9"/>
        <v>0</v>
      </c>
      <c r="AD77" s="483">
        <f t="shared" si="9"/>
        <v>0</v>
      </c>
      <c r="AE77" s="483">
        <f t="shared" si="9"/>
        <v>0</v>
      </c>
      <c r="AF77" s="483">
        <f t="shared" si="9"/>
        <v>0</v>
      </c>
      <c r="AG77" s="483">
        <f t="shared" si="9"/>
        <v>0</v>
      </c>
      <c r="AH77" s="483">
        <f t="shared" si="9"/>
        <v>0</v>
      </c>
      <c r="AI77" s="483">
        <f t="shared" si="9"/>
        <v>0</v>
      </c>
      <c r="AJ77" s="483">
        <f t="shared" si="9"/>
        <v>0</v>
      </c>
      <c r="AK77" s="484"/>
      <c r="AM77" s="18" t="s">
        <v>749</v>
      </c>
      <c r="AN77" s="18">
        <v>1.4999999999999999E-2</v>
      </c>
      <c r="AO77" s="18">
        <v>2.1999999999999999E-2</v>
      </c>
      <c r="AP77" s="18">
        <v>0.03</v>
      </c>
      <c r="AQ77" s="18">
        <v>0.05</v>
      </c>
      <c r="AR77" s="18">
        <v>5.8000000000000003E-2</v>
      </c>
    </row>
    <row r="78" spans="1:44" s="18" customFormat="1">
      <c r="A78" s="17" t="s">
        <v>53</v>
      </c>
      <c r="B78" s="490">
        <f>AN75</f>
        <v>0</v>
      </c>
      <c r="C78" s="490">
        <f t="shared" ref="C78:F78" si="10">AO75</f>
        <v>0</v>
      </c>
      <c r="D78" s="490">
        <f t="shared" si="10"/>
        <v>0.20300000000000001</v>
      </c>
      <c r="E78" s="490">
        <f t="shared" si="10"/>
        <v>0.499</v>
      </c>
      <c r="F78" s="490">
        <f t="shared" si="10"/>
        <v>0.92500000000000004</v>
      </c>
      <c r="G78" s="483">
        <f t="shared" ref="G78:AJ78" si="11">G65*$AM63</f>
        <v>0.99824640000000009</v>
      </c>
      <c r="H78" s="483">
        <f t="shared" si="11"/>
        <v>1.6004464</v>
      </c>
      <c r="I78" s="483">
        <f t="shared" si="11"/>
        <v>2.5089204000000001</v>
      </c>
      <c r="J78" s="483">
        <f t="shared" si="11"/>
        <v>2.6381886000000003</v>
      </c>
      <c r="K78" s="483">
        <f t="shared" si="11"/>
        <v>2.7649678</v>
      </c>
      <c r="L78" s="483">
        <f t="shared" si="11"/>
        <v>2.8496700000000001</v>
      </c>
      <c r="M78" s="483">
        <f t="shared" si="11"/>
        <v>2.8492972000000005</v>
      </c>
      <c r="N78" s="483">
        <f t="shared" si="11"/>
        <v>2.8494774</v>
      </c>
      <c r="O78" s="483">
        <f t="shared" si="11"/>
        <v>2.8500130000000001</v>
      </c>
      <c r="P78" s="483">
        <f t="shared" si="11"/>
        <v>2.8497268</v>
      </c>
      <c r="Q78" s="483">
        <f t="shared" si="11"/>
        <v>2.8505230000000004</v>
      </c>
      <c r="R78" s="483">
        <f t="shared" si="11"/>
        <v>2.8505790000000002</v>
      </c>
      <c r="S78" s="483">
        <f t="shared" si="11"/>
        <v>2.8505898000000003</v>
      </c>
      <c r="T78" s="483">
        <f t="shared" si="11"/>
        <v>2.8508206000000005</v>
      </c>
      <c r="U78" s="483">
        <f t="shared" si="11"/>
        <v>2.8510982000000005</v>
      </c>
      <c r="V78" s="483">
        <f t="shared" si="11"/>
        <v>2.8510222000000001</v>
      </c>
      <c r="W78" s="483">
        <f t="shared" si="11"/>
        <v>2.8545879999999997</v>
      </c>
      <c r="X78" s="483">
        <f t="shared" si="11"/>
        <v>2.8569768</v>
      </c>
      <c r="Y78" s="483">
        <f t="shared" si="11"/>
        <v>2.8568854000000004</v>
      </c>
      <c r="Z78" s="483">
        <f t="shared" si="11"/>
        <v>2.8633158000000005</v>
      </c>
      <c r="AA78" s="483">
        <f t="shared" si="11"/>
        <v>2.8770768000000002</v>
      </c>
      <c r="AB78" s="483">
        <f t="shared" si="11"/>
        <v>2.8966463999999998</v>
      </c>
      <c r="AC78" s="483">
        <f t="shared" si="11"/>
        <v>2.9059372000000003</v>
      </c>
      <c r="AD78" s="483">
        <f t="shared" si="11"/>
        <v>2.9246942000000002</v>
      </c>
      <c r="AE78" s="483">
        <f t="shared" si="11"/>
        <v>2.9378394000000001</v>
      </c>
      <c r="AF78" s="483">
        <f t="shared" si="11"/>
        <v>2.9404658000000001</v>
      </c>
      <c r="AG78" s="483">
        <f t="shared" si="11"/>
        <v>2.9585278000000002</v>
      </c>
      <c r="AH78" s="483">
        <f t="shared" si="11"/>
        <v>2.9709788000000001</v>
      </c>
      <c r="AI78" s="483">
        <f t="shared" si="11"/>
        <v>3.0622284000000004</v>
      </c>
      <c r="AJ78" s="483">
        <f t="shared" si="11"/>
        <v>3.3477160000000001</v>
      </c>
      <c r="AK78" s="484"/>
      <c r="AM78" s="18" t="s">
        <v>750</v>
      </c>
      <c r="AN78" s="18">
        <v>8.9999999999999993E-3</v>
      </c>
      <c r="AO78" s="18">
        <v>7.0000000000000001E-3</v>
      </c>
      <c r="AP78" s="18">
        <v>1.0999999999999999E-2</v>
      </c>
      <c r="AQ78" s="18">
        <v>2.4E-2</v>
      </c>
      <c r="AR78" s="18">
        <v>4.0000000000000001E-3</v>
      </c>
    </row>
    <row r="79" spans="1:44" s="18" customFormat="1">
      <c r="A79" s="17" t="s">
        <v>54</v>
      </c>
      <c r="B79" s="492">
        <f>AN79</f>
        <v>0.223</v>
      </c>
      <c r="C79" s="492">
        <f t="shared" ref="C79:F79" si="12">AO79</f>
        <v>1.234</v>
      </c>
      <c r="D79" s="492">
        <f t="shared" si="12"/>
        <v>2.2930000000000001</v>
      </c>
      <c r="E79" s="492">
        <f t="shared" si="12"/>
        <v>2.391</v>
      </c>
      <c r="F79" s="492">
        <f t="shared" si="12"/>
        <v>2.5270000000000001</v>
      </c>
      <c r="G79" s="485">
        <f>SUM(G73:G78)</f>
        <v>2.4708864052538697</v>
      </c>
      <c r="H79" s="485">
        <f t="shared" ref="H79:AJ79" si="13">SUM(H73:H78)</f>
        <v>2.7290342727704973</v>
      </c>
      <c r="I79" s="485">
        <f t="shared" si="13"/>
        <v>3.9638424704927271</v>
      </c>
      <c r="J79" s="485">
        <f t="shared" si="13"/>
        <v>4.3485274054519145</v>
      </c>
      <c r="K79" s="485">
        <f t="shared" si="13"/>
        <v>4.9628842754519145</v>
      </c>
      <c r="L79" s="485">
        <f t="shared" si="13"/>
        <v>5.0683800454519146</v>
      </c>
      <c r="M79" s="485">
        <f t="shared" si="13"/>
        <v>5.8691158954519143</v>
      </c>
      <c r="N79" s="485">
        <f t="shared" si="13"/>
        <v>5.8685633954519139</v>
      </c>
      <c r="O79" s="485">
        <f t="shared" si="13"/>
        <v>5.9752895854519146</v>
      </c>
      <c r="P79" s="485">
        <f t="shared" si="13"/>
        <v>6.7617515554519141</v>
      </c>
      <c r="Q79" s="485">
        <f t="shared" si="13"/>
        <v>6.9489423254519149</v>
      </c>
      <c r="R79" s="485">
        <f t="shared" si="13"/>
        <v>6.9293110454519145</v>
      </c>
      <c r="S79" s="485">
        <f t="shared" si="13"/>
        <v>6.934013855451914</v>
      </c>
      <c r="T79" s="485">
        <f t="shared" si="13"/>
        <v>7.1469100254519144</v>
      </c>
      <c r="U79" s="485">
        <f t="shared" si="13"/>
        <v>7.1566135754519156</v>
      </c>
      <c r="V79" s="485">
        <f t="shared" si="13"/>
        <v>7.1612218254519142</v>
      </c>
      <c r="W79" s="485">
        <f t="shared" si="13"/>
        <v>7.2348493954519144</v>
      </c>
      <c r="X79" s="485">
        <f t="shared" si="13"/>
        <v>7.2360717254519145</v>
      </c>
      <c r="Y79" s="485">
        <f t="shared" si="13"/>
        <v>7.2578250054519149</v>
      </c>
      <c r="Z79" s="485">
        <f t="shared" si="13"/>
        <v>7.4932908854519145</v>
      </c>
      <c r="AA79" s="485">
        <f t="shared" si="13"/>
        <v>7.6540920954519143</v>
      </c>
      <c r="AB79" s="485">
        <f t="shared" si="13"/>
        <v>7.729062655451914</v>
      </c>
      <c r="AC79" s="485">
        <f t="shared" si="13"/>
        <v>7.736873095451914</v>
      </c>
      <c r="AD79" s="485">
        <f t="shared" si="13"/>
        <v>7.7543004254519143</v>
      </c>
      <c r="AE79" s="485">
        <f t="shared" si="13"/>
        <v>7.7844097454519137</v>
      </c>
      <c r="AF79" s="485">
        <f t="shared" si="13"/>
        <v>7.7865024854519147</v>
      </c>
      <c r="AG79" s="485">
        <f t="shared" si="13"/>
        <v>7.8042723654519151</v>
      </c>
      <c r="AH79" s="485">
        <f t="shared" si="13"/>
        <v>7.8113855354519144</v>
      </c>
      <c r="AI79" s="485">
        <f t="shared" si="13"/>
        <v>7.8998589354519142</v>
      </c>
      <c r="AJ79" s="485">
        <f t="shared" si="13"/>
        <v>8.1746818054519146</v>
      </c>
      <c r="AK79" s="486"/>
      <c r="AM79" s="18" t="s">
        <v>58</v>
      </c>
      <c r="AN79" s="18">
        <v>0.223</v>
      </c>
      <c r="AO79" s="18">
        <v>1.234</v>
      </c>
      <c r="AP79" s="18">
        <v>2.2930000000000001</v>
      </c>
      <c r="AQ79" s="18">
        <v>2.391</v>
      </c>
      <c r="AR79" s="18">
        <v>2.5270000000000001</v>
      </c>
    </row>
    <row r="80" spans="1:44" s="254" customFormat="1">
      <c r="A80" s="253" t="s">
        <v>57</v>
      </c>
      <c r="B80" s="473">
        <f>B79*1000</f>
        <v>223</v>
      </c>
      <c r="C80" s="473">
        <f t="shared" ref="C80:AJ80" si="14">C79*1000</f>
        <v>1234</v>
      </c>
      <c r="D80" s="473">
        <f t="shared" si="14"/>
        <v>2293</v>
      </c>
      <c r="E80" s="473">
        <f t="shared" si="14"/>
        <v>2391</v>
      </c>
      <c r="F80" s="473">
        <f t="shared" si="14"/>
        <v>2527</v>
      </c>
      <c r="G80" s="275">
        <f t="shared" si="14"/>
        <v>2470.8864052538697</v>
      </c>
      <c r="H80" s="275">
        <f t="shared" si="14"/>
        <v>2729.0342727704974</v>
      </c>
      <c r="I80" s="275">
        <f t="shared" si="14"/>
        <v>3963.842470492727</v>
      </c>
      <c r="J80" s="275">
        <f t="shared" si="14"/>
        <v>4348.5274054519141</v>
      </c>
      <c r="K80" s="275">
        <f t="shared" si="14"/>
        <v>4962.8842754519146</v>
      </c>
      <c r="L80" s="275">
        <f t="shared" si="14"/>
        <v>5068.3800454519142</v>
      </c>
      <c r="M80" s="275">
        <f t="shared" si="14"/>
        <v>5869.1158954519142</v>
      </c>
      <c r="N80" s="275">
        <f t="shared" si="14"/>
        <v>5868.5633954519135</v>
      </c>
      <c r="O80" s="275">
        <f t="shared" si="14"/>
        <v>5975.2895854519147</v>
      </c>
      <c r="P80" s="275">
        <f t="shared" si="14"/>
        <v>6761.7515554519141</v>
      </c>
      <c r="Q80" s="275">
        <f t="shared" si="14"/>
        <v>6948.9423254519152</v>
      </c>
      <c r="R80" s="275">
        <f t="shared" si="14"/>
        <v>6929.3110454519147</v>
      </c>
      <c r="S80" s="275">
        <f t="shared" si="14"/>
        <v>6934.0138554519135</v>
      </c>
      <c r="T80" s="275">
        <f t="shared" si="14"/>
        <v>7146.9100254519144</v>
      </c>
      <c r="U80" s="275">
        <f t="shared" si="14"/>
        <v>7156.6135754519155</v>
      </c>
      <c r="V80" s="275">
        <f t="shared" si="14"/>
        <v>7161.2218254519139</v>
      </c>
      <c r="W80" s="275">
        <f t="shared" si="14"/>
        <v>7234.8493954519145</v>
      </c>
      <c r="X80" s="275">
        <f t="shared" si="14"/>
        <v>7236.0717254519141</v>
      </c>
      <c r="Y80" s="275">
        <f t="shared" si="14"/>
        <v>7257.8250054519149</v>
      </c>
      <c r="Z80" s="275">
        <f t="shared" si="14"/>
        <v>7493.2908854519146</v>
      </c>
      <c r="AA80" s="275">
        <f t="shared" si="14"/>
        <v>7654.0920954519142</v>
      </c>
      <c r="AB80" s="275">
        <f t="shared" si="14"/>
        <v>7729.062655451914</v>
      </c>
      <c r="AC80" s="275">
        <f t="shared" si="14"/>
        <v>7736.8730954519142</v>
      </c>
      <c r="AD80" s="275">
        <f t="shared" si="14"/>
        <v>7754.3004254519146</v>
      </c>
      <c r="AE80" s="275">
        <f t="shared" si="14"/>
        <v>7784.4097454519133</v>
      </c>
      <c r="AF80" s="275">
        <f t="shared" si="14"/>
        <v>7786.5024854519143</v>
      </c>
      <c r="AG80" s="275">
        <f t="shared" si="14"/>
        <v>7804.272365451915</v>
      </c>
      <c r="AH80" s="275">
        <f t="shared" si="14"/>
        <v>7811.3855354519146</v>
      </c>
      <c r="AI80" s="275">
        <f t="shared" si="14"/>
        <v>7899.8589354519145</v>
      </c>
      <c r="AJ80" s="275">
        <f t="shared" si="14"/>
        <v>8174.6818054519144</v>
      </c>
      <c r="AK80" s="320"/>
    </row>
    <row r="81" spans="1:37" s="255" customFormat="1">
      <c r="A81" s="256" t="s">
        <v>339</v>
      </c>
      <c r="B81" s="259">
        <f t="shared" ref="B81:Q82" si="15">B74/SUM(B$74:B$78)</f>
        <v>0</v>
      </c>
      <c r="C81" s="259">
        <f>C74/SUM(C$74:C$78)</f>
        <v>0</v>
      </c>
      <c r="D81" s="259">
        <f t="shared" si="15"/>
        <v>0</v>
      </c>
      <c r="E81" s="259">
        <f t="shared" si="15"/>
        <v>0</v>
      </c>
      <c r="F81" s="259">
        <f t="shared" si="15"/>
        <v>0</v>
      </c>
      <c r="G81" s="259">
        <f t="shared" si="15"/>
        <v>9.9030844027712052E-11</v>
      </c>
      <c r="H81" s="259">
        <f t="shared" si="15"/>
        <v>6.2077705823034622E-11</v>
      </c>
      <c r="I81" s="259">
        <f t="shared" si="15"/>
        <v>3.9203341519036829E-11</v>
      </c>
      <c r="J81" s="259">
        <f t="shared" si="15"/>
        <v>3.730866337631479E-11</v>
      </c>
      <c r="K81" s="259">
        <f t="shared" si="15"/>
        <v>3.5692544805853586E-11</v>
      </c>
      <c r="L81" s="259">
        <f t="shared" si="15"/>
        <v>3.492739220681263E-11</v>
      </c>
      <c r="M81" s="259">
        <f t="shared" si="15"/>
        <v>3.4397704419819065E-11</v>
      </c>
      <c r="N81" s="259">
        <f t="shared" si="15"/>
        <v>3.4404254098561063E-11</v>
      </c>
      <c r="O81" s="259">
        <f t="shared" si="15"/>
        <v>3.3185739365339988E-11</v>
      </c>
      <c r="P81" s="259">
        <f t="shared" si="15"/>
        <v>2.6317143383698081E-11</v>
      </c>
      <c r="Q81" s="259">
        <f t="shared" si="15"/>
        <v>2.5844088773209775E-11</v>
      </c>
      <c r="R81" s="259">
        <f t="shared" ref="R81:AJ82" si="16">R74/SUM(R$74:R$78)</f>
        <v>2.5975878051081959E-11</v>
      </c>
      <c r="S81" s="259">
        <f t="shared" si="16"/>
        <v>2.5944184733843547E-11</v>
      </c>
      <c r="T81" s="259">
        <f t="shared" si="16"/>
        <v>2.4586186964807903E-11</v>
      </c>
      <c r="U81" s="259">
        <f t="shared" si="16"/>
        <v>2.4527664777981031E-11</v>
      </c>
      <c r="V81" s="259">
        <f t="shared" si="16"/>
        <v>2.4499978256619181E-11</v>
      </c>
      <c r="W81" s="259">
        <f t="shared" si="16"/>
        <v>2.445646846718207E-11</v>
      </c>
      <c r="X81" s="259">
        <f t="shared" si="16"/>
        <v>2.4449159665928169E-11</v>
      </c>
      <c r="Y81" s="259">
        <f t="shared" si="16"/>
        <v>2.4319814872561604E-11</v>
      </c>
      <c r="Z81" s="259">
        <f t="shared" si="16"/>
        <v>2.3002575468319999E-11</v>
      </c>
      <c r="AA81" s="259">
        <f t="shared" si="16"/>
        <v>2.218209483508468E-11</v>
      </c>
      <c r="AB81" s="259">
        <f t="shared" si="16"/>
        <v>2.1819239985695607E-11</v>
      </c>
      <c r="AC81" s="259">
        <f t="shared" si="16"/>
        <v>2.1782146407273916E-11</v>
      </c>
      <c r="AD81" s="259">
        <f t="shared" si="16"/>
        <v>2.1699777532295235E-11</v>
      </c>
      <c r="AE81" s="259">
        <f t="shared" si="16"/>
        <v>2.1558914568166327E-11</v>
      </c>
      <c r="AF81" s="259">
        <f t="shared" si="16"/>
        <v>2.1549165706489531E-11</v>
      </c>
      <c r="AG81" s="259">
        <f t="shared" si="16"/>
        <v>2.1466963104310567E-11</v>
      </c>
      <c r="AH81" s="259">
        <f t="shared" si="16"/>
        <v>2.1434255247475923E-11</v>
      </c>
      <c r="AI81" s="259">
        <f t="shared" si="16"/>
        <v>2.1035353204251529E-11</v>
      </c>
      <c r="AJ81" s="259">
        <f t="shared" si="16"/>
        <v>1.988573574529504E-11</v>
      </c>
      <c r="AK81" s="321"/>
    </row>
    <row r="82" spans="1:37" s="255" customFormat="1">
      <c r="A82" s="256" t="s">
        <v>340</v>
      </c>
      <c r="B82" s="259">
        <f t="shared" si="15"/>
        <v>1</v>
      </c>
      <c r="C82" s="259">
        <f t="shared" ref="C82:AA82" si="17">C75/SUM(C$74:C$78)</f>
        <v>1</v>
      </c>
      <c r="D82" s="259">
        <f t="shared" si="17"/>
        <v>0.1276595744680851</v>
      </c>
      <c r="E82" s="259">
        <f t="shared" si="17"/>
        <v>9.0744101633393831E-2</v>
      </c>
      <c r="F82" s="259">
        <f t="shared" si="17"/>
        <v>5.9003051881993895E-2</v>
      </c>
      <c r="G82" s="259">
        <f t="shared" si="17"/>
        <v>1.1033378045002117E-2</v>
      </c>
      <c r="H82" s="259">
        <f t="shared" si="17"/>
        <v>6.2179778149243315E-3</v>
      </c>
      <c r="I82" s="259">
        <f t="shared" si="17"/>
        <v>4.2226391129874417E-3</v>
      </c>
      <c r="J82" s="259">
        <f t="shared" si="17"/>
        <v>4.2788094807680059E-3</v>
      </c>
      <c r="K82" s="259">
        <f t="shared" si="17"/>
        <v>4.0934620886198154E-3</v>
      </c>
      <c r="L82" s="259">
        <f t="shared" si="17"/>
        <v>4.0057092210890755E-3</v>
      </c>
      <c r="M82" s="259">
        <f t="shared" si="17"/>
        <v>3.9449610484200452E-3</v>
      </c>
      <c r="N82" s="259">
        <f t="shared" si="17"/>
        <v>3.9457122098115593E-3</v>
      </c>
      <c r="O82" s="259">
        <f t="shared" si="17"/>
        <v>3.8059647109431921E-3</v>
      </c>
      <c r="P82" s="260">
        <f t="shared" si="17"/>
        <v>3.0182277365740666E-3</v>
      </c>
      <c r="Q82" s="259">
        <f t="shared" si="17"/>
        <v>2.9639746390599008E-3</v>
      </c>
      <c r="R82" s="259">
        <f t="shared" si="17"/>
        <v>2.9790891234876935E-3</v>
      </c>
      <c r="S82" s="259">
        <f t="shared" si="17"/>
        <v>2.9754543198253678E-3</v>
      </c>
      <c r="T82" s="259">
        <f t="shared" si="17"/>
        <v>2.8197099644084339E-3</v>
      </c>
      <c r="U82" s="259">
        <f t="shared" si="17"/>
        <v>2.8129982447924191E-3</v>
      </c>
      <c r="V82" s="259">
        <f t="shared" si="17"/>
        <v>2.8098229675411908E-3</v>
      </c>
      <c r="W82" s="259">
        <f t="shared" si="17"/>
        <v>2.8048329710443467E-3</v>
      </c>
      <c r="X82" s="259">
        <f t="shared" si="17"/>
        <v>2.80399474835642E-3</v>
      </c>
      <c r="Y82" s="259">
        <f t="shared" si="17"/>
        <v>2.7891606139206046E-3</v>
      </c>
      <c r="Z82" s="259">
        <f t="shared" si="17"/>
        <v>2.6380907030406483E-3</v>
      </c>
      <c r="AA82" s="259">
        <f t="shared" si="17"/>
        <v>2.5439924428895607E-3</v>
      </c>
      <c r="AB82" s="259">
        <f t="shared" si="16"/>
        <v>2.5023777982144512E-3</v>
      </c>
      <c r="AC82" s="259">
        <f t="shared" si="16"/>
        <v>2.4981236561288597E-3</v>
      </c>
      <c r="AD82" s="259">
        <f t="shared" si="16"/>
        <v>2.4886770372665309E-3</v>
      </c>
      <c r="AE82" s="259">
        <f t="shared" si="16"/>
        <v>2.4725219212195031E-3</v>
      </c>
      <c r="AF82" s="259">
        <f t="shared" si="16"/>
        <v>2.4714038559232841E-3</v>
      </c>
      <c r="AG82" s="259">
        <f t="shared" si="16"/>
        <v>2.4619763063485536E-3</v>
      </c>
      <c r="AH82" s="259">
        <f t="shared" si="16"/>
        <v>2.4582251484336192E-3</v>
      </c>
      <c r="AI82" s="259">
        <f t="shared" si="16"/>
        <v>2.4124763681240614E-3</v>
      </c>
      <c r="AJ82" s="259">
        <f t="shared" si="16"/>
        <v>2.2806304739674179E-3</v>
      </c>
      <c r="AK82" s="321"/>
    </row>
    <row r="83" spans="1:37" s="255" customFormat="1">
      <c r="A83" s="256" t="s">
        <v>336</v>
      </c>
      <c r="B83" s="259">
        <f>B76/SUM(B$74:B$78)</f>
        <v>0</v>
      </c>
      <c r="C83" s="259">
        <f t="shared" ref="C83:AJ83" si="18">C76/SUM(C$74:C$78)</f>
        <v>0</v>
      </c>
      <c r="D83" s="259">
        <f t="shared" si="18"/>
        <v>8.5106382978723406E-3</v>
      </c>
      <c r="E83" s="259">
        <f t="shared" si="18"/>
        <v>3.629764065335753E-3</v>
      </c>
      <c r="F83" s="259">
        <f t="shared" si="18"/>
        <v>0</v>
      </c>
      <c r="G83" s="259">
        <f t="shared" si="18"/>
        <v>3.9478645971647414E-4</v>
      </c>
      <c r="H83" s="259">
        <f t="shared" si="18"/>
        <v>2.6161407565001481E-4</v>
      </c>
      <c r="I83" s="259">
        <f t="shared" si="18"/>
        <v>1.2196727995024383E-2</v>
      </c>
      <c r="J83" s="259">
        <f t="shared" si="18"/>
        <v>1.1448286475611337E-2</v>
      </c>
      <c r="K83" s="259">
        <f t="shared" si="18"/>
        <v>9.0191669932635447E-3</v>
      </c>
      <c r="L83" s="259">
        <f t="shared" si="18"/>
        <v>6.7887324410615497E-4</v>
      </c>
      <c r="M83" s="259">
        <f t="shared" si="18"/>
        <v>1.5962210019001291E-2</v>
      </c>
      <c r="N83" s="259">
        <f t="shared" si="18"/>
        <v>1.5712842578712843E-2</v>
      </c>
      <c r="O83" s="259">
        <f t="shared" si="18"/>
        <v>5.0396149197563855E-2</v>
      </c>
      <c r="P83" s="260">
        <f t="shared" si="18"/>
        <v>0.24701508423743776</v>
      </c>
      <c r="Q83" s="259">
        <f t="shared" si="18"/>
        <v>0.26034433071433344</v>
      </c>
      <c r="R83" s="259">
        <f t="shared" si="18"/>
        <v>0.25655798606078478</v>
      </c>
      <c r="S83" s="259">
        <f t="shared" si="18"/>
        <v>0.25746226193812916</v>
      </c>
      <c r="T83" s="259">
        <f t="shared" si="18"/>
        <v>0.29627220726374687</v>
      </c>
      <c r="U83" s="259">
        <f t="shared" si="18"/>
        <v>0.29787919274362873</v>
      </c>
      <c r="V83" s="259">
        <f t="shared" si="18"/>
        <v>0.298690357916573</v>
      </c>
      <c r="W83" s="259">
        <f t="shared" si="18"/>
        <v>0.29906375291653609</v>
      </c>
      <c r="X83" s="259">
        <f t="shared" si="18"/>
        <v>0.29868918577666914</v>
      </c>
      <c r="Y83" s="259">
        <f t="shared" si="18"/>
        <v>0.30242159896051846</v>
      </c>
      <c r="Z83" s="259">
        <f t="shared" si="18"/>
        <v>0.33872553148262613</v>
      </c>
      <c r="AA83" s="259">
        <f t="shared" si="18"/>
        <v>0.35926010328070868</v>
      </c>
      <c r="AB83" s="259">
        <f t="shared" si="18"/>
        <v>0.36547139262695399</v>
      </c>
      <c r="AC83" s="259">
        <f t="shared" si="18"/>
        <v>0.36452638091465261</v>
      </c>
      <c r="AD83" s="259">
        <f t="shared" si="18"/>
        <v>0.36285918804109174</v>
      </c>
      <c r="AE83" s="259">
        <f t="shared" si="18"/>
        <v>0.36416119166129141</v>
      </c>
      <c r="AF83" s="259">
        <f t="shared" si="18"/>
        <v>0.36388274833787465</v>
      </c>
      <c r="AG83" s="259">
        <f t="shared" si="18"/>
        <v>0.36243195241541332</v>
      </c>
      <c r="AH83" s="259">
        <f t="shared" si="18"/>
        <v>0.36073459548973497</v>
      </c>
      <c r="AI83" s="259">
        <f t="shared" si="18"/>
        <v>0.35343696374994032</v>
      </c>
      <c r="AJ83" s="259">
        <f t="shared" si="18"/>
        <v>0.33200141224318547</v>
      </c>
      <c r="AK83" s="321"/>
    </row>
    <row r="84" spans="1:37" s="255" customFormat="1">
      <c r="A84" s="256" t="s">
        <v>338</v>
      </c>
      <c r="B84" s="259">
        <f>B77/SUM(B$74:B$78)</f>
        <v>0</v>
      </c>
      <c r="C84" s="259">
        <f t="shared" ref="C84:AJ84" si="19">C77/SUM(C$74:C$78)</f>
        <v>0</v>
      </c>
      <c r="D84" s="259">
        <f t="shared" si="19"/>
        <v>0</v>
      </c>
      <c r="E84" s="259">
        <f t="shared" si="19"/>
        <v>0</v>
      </c>
      <c r="F84" s="259">
        <f t="shared" si="19"/>
        <v>0</v>
      </c>
      <c r="G84" s="259">
        <f t="shared" si="19"/>
        <v>0</v>
      </c>
      <c r="H84" s="259">
        <f t="shared" si="19"/>
        <v>0</v>
      </c>
      <c r="I84" s="259">
        <f t="shared" si="19"/>
        <v>0</v>
      </c>
      <c r="J84" s="259">
        <f t="shared" si="19"/>
        <v>0</v>
      </c>
      <c r="K84" s="259">
        <f t="shared" si="19"/>
        <v>0</v>
      </c>
      <c r="L84" s="259">
        <f t="shared" si="19"/>
        <v>0</v>
      </c>
      <c r="M84" s="259">
        <f t="shared" si="19"/>
        <v>0</v>
      </c>
      <c r="N84" s="259">
        <f t="shared" si="19"/>
        <v>0</v>
      </c>
      <c r="O84" s="259">
        <f t="shared" si="19"/>
        <v>0</v>
      </c>
      <c r="P84" s="260">
        <f t="shared" si="19"/>
        <v>0</v>
      </c>
      <c r="Q84" s="259">
        <f t="shared" si="19"/>
        <v>0</v>
      </c>
      <c r="R84" s="259">
        <f t="shared" si="19"/>
        <v>0</v>
      </c>
      <c r="S84" s="259">
        <f t="shared" si="19"/>
        <v>0</v>
      </c>
      <c r="T84" s="259">
        <f t="shared" si="19"/>
        <v>0</v>
      </c>
      <c r="U84" s="259">
        <f t="shared" si="19"/>
        <v>0</v>
      </c>
      <c r="V84" s="259">
        <f t="shared" si="19"/>
        <v>0</v>
      </c>
      <c r="W84" s="259">
        <f t="shared" si="19"/>
        <v>0</v>
      </c>
      <c r="X84" s="259">
        <f t="shared" si="19"/>
        <v>0</v>
      </c>
      <c r="Y84" s="259">
        <f t="shared" si="19"/>
        <v>0</v>
      </c>
      <c r="Z84" s="259">
        <f t="shared" si="19"/>
        <v>0</v>
      </c>
      <c r="AA84" s="259">
        <f t="shared" si="19"/>
        <v>0</v>
      </c>
      <c r="AB84" s="259">
        <f t="shared" si="19"/>
        <v>0</v>
      </c>
      <c r="AC84" s="259">
        <f t="shared" si="19"/>
        <v>0</v>
      </c>
      <c r="AD84" s="259">
        <f t="shared" si="19"/>
        <v>0</v>
      </c>
      <c r="AE84" s="259">
        <f t="shared" si="19"/>
        <v>0</v>
      </c>
      <c r="AF84" s="259">
        <f t="shared" si="19"/>
        <v>0</v>
      </c>
      <c r="AG84" s="259">
        <f t="shared" si="19"/>
        <v>0</v>
      </c>
      <c r="AH84" s="259">
        <f t="shared" si="19"/>
        <v>0</v>
      </c>
      <c r="AI84" s="259">
        <f t="shared" si="19"/>
        <v>0</v>
      </c>
      <c r="AJ84" s="259">
        <f t="shared" si="19"/>
        <v>0</v>
      </c>
      <c r="AK84" s="321"/>
    </row>
    <row r="85" spans="1:37" s="255" customFormat="1">
      <c r="A85" s="256" t="s">
        <v>337</v>
      </c>
      <c r="B85" s="259">
        <f>B78/SUM(B$74:B$78)</f>
        <v>0</v>
      </c>
      <c r="C85" s="259">
        <f t="shared" ref="C85:AJ85" si="20">C78/SUM(C$74:C$78)</f>
        <v>0</v>
      </c>
      <c r="D85" s="259">
        <f t="shared" si="20"/>
        <v>0.86382978723404258</v>
      </c>
      <c r="E85" s="259">
        <f t="shared" si="20"/>
        <v>0.90562613430127037</v>
      </c>
      <c r="F85" s="259">
        <f t="shared" si="20"/>
        <v>0.94099694811800605</v>
      </c>
      <c r="G85" s="259">
        <f t="shared" si="20"/>
        <v>0.98857183539625071</v>
      </c>
      <c r="H85" s="259">
        <f t="shared" si="20"/>
        <v>0.99352040804734798</v>
      </c>
      <c r="I85" s="259">
        <f t="shared" si="20"/>
        <v>0.98358063285278485</v>
      </c>
      <c r="J85" s="259">
        <f t="shared" si="20"/>
        <v>0.98427290400631195</v>
      </c>
      <c r="K85" s="259">
        <f t="shared" si="20"/>
        <v>0.98688737088242406</v>
      </c>
      <c r="L85" s="259">
        <f t="shared" si="20"/>
        <v>0.9953154174998774</v>
      </c>
      <c r="M85" s="259">
        <f t="shared" si="20"/>
        <v>0.98009282889818095</v>
      </c>
      <c r="N85" s="259">
        <f t="shared" si="20"/>
        <v>0.98034144517707134</v>
      </c>
      <c r="O85" s="259">
        <f t="shared" si="20"/>
        <v>0.94579788605830728</v>
      </c>
      <c r="P85" s="260">
        <f t="shared" si="20"/>
        <v>0.74996668799967103</v>
      </c>
      <c r="Q85" s="259">
        <f t="shared" si="20"/>
        <v>0.73669169462076256</v>
      </c>
      <c r="R85" s="259">
        <f t="shared" si="20"/>
        <v>0.74046292478975162</v>
      </c>
      <c r="S85" s="259">
        <f t="shared" si="20"/>
        <v>0.73956228371610144</v>
      </c>
      <c r="T85" s="259">
        <f t="shared" si="20"/>
        <v>0.70090808274725858</v>
      </c>
      <c r="U85" s="259">
        <f t="shared" si="20"/>
        <v>0.69930780898705125</v>
      </c>
      <c r="V85" s="259">
        <f t="shared" si="20"/>
        <v>0.69849981909138581</v>
      </c>
      <c r="W85" s="259">
        <f t="shared" si="20"/>
        <v>0.6981314140879632</v>
      </c>
      <c r="X85" s="259">
        <f t="shared" si="20"/>
        <v>0.69850681945052528</v>
      </c>
      <c r="Y85" s="259">
        <f t="shared" si="20"/>
        <v>0.69478924040124113</v>
      </c>
      <c r="Z85" s="259">
        <f t="shared" si="20"/>
        <v>0.65863637779133066</v>
      </c>
      <c r="AA85" s="259">
        <f t="shared" si="20"/>
        <v>0.63819590425421968</v>
      </c>
      <c r="AB85" s="259">
        <f t="shared" si="20"/>
        <v>0.63202622955301235</v>
      </c>
      <c r="AC85" s="259">
        <f t="shared" si="20"/>
        <v>0.63297549540743636</v>
      </c>
      <c r="AD85" s="259">
        <f t="shared" si="20"/>
        <v>0.63465213489994188</v>
      </c>
      <c r="AE85" s="259">
        <f t="shared" si="20"/>
        <v>0.63336628639593018</v>
      </c>
      <c r="AF85" s="259">
        <f t="shared" si="20"/>
        <v>0.63364584778465305</v>
      </c>
      <c r="AG85" s="259">
        <f t="shared" si="20"/>
        <v>0.63510607125677121</v>
      </c>
      <c r="AH85" s="259">
        <f t="shared" si="20"/>
        <v>0.63680717934039721</v>
      </c>
      <c r="AI85" s="259">
        <f t="shared" si="20"/>
        <v>0.64415055986090042</v>
      </c>
      <c r="AJ85" s="259">
        <f t="shared" si="20"/>
        <v>0.66571795726296124</v>
      </c>
      <c r="AK85" s="321"/>
    </row>
    <row r="86" spans="1:37" s="255" customFormat="1">
      <c r="A86" s="255" t="s">
        <v>341</v>
      </c>
      <c r="B86" s="259">
        <f>SUM(B81:B85)</f>
        <v>1</v>
      </c>
      <c r="C86" s="259">
        <f t="shared" ref="C86:AJ86" si="21">SUM(C81:C85)</f>
        <v>1</v>
      </c>
      <c r="D86" s="259">
        <f t="shared" si="21"/>
        <v>1</v>
      </c>
      <c r="E86" s="259">
        <f t="shared" si="21"/>
        <v>1</v>
      </c>
      <c r="F86" s="259">
        <f t="shared" si="21"/>
        <v>1</v>
      </c>
      <c r="G86" s="259">
        <f t="shared" si="21"/>
        <v>1.0000000000000002</v>
      </c>
      <c r="H86" s="259">
        <f t="shared" si="21"/>
        <v>1</v>
      </c>
      <c r="I86" s="259">
        <f t="shared" si="21"/>
        <v>1</v>
      </c>
      <c r="J86" s="259">
        <f t="shared" si="21"/>
        <v>1</v>
      </c>
      <c r="K86" s="259">
        <f t="shared" si="21"/>
        <v>1</v>
      </c>
      <c r="L86" s="259">
        <f t="shared" si="21"/>
        <v>1</v>
      </c>
      <c r="M86" s="259">
        <f t="shared" si="21"/>
        <v>1</v>
      </c>
      <c r="N86" s="259">
        <f t="shared" si="21"/>
        <v>1</v>
      </c>
      <c r="O86" s="259">
        <f t="shared" si="21"/>
        <v>1</v>
      </c>
      <c r="P86" s="259">
        <f t="shared" si="21"/>
        <v>1</v>
      </c>
      <c r="Q86" s="259">
        <f t="shared" si="21"/>
        <v>1</v>
      </c>
      <c r="R86" s="259">
        <f t="shared" si="21"/>
        <v>1</v>
      </c>
      <c r="S86" s="259">
        <f t="shared" si="21"/>
        <v>1.0000000000000002</v>
      </c>
      <c r="T86" s="259">
        <f t="shared" si="21"/>
        <v>1</v>
      </c>
      <c r="U86" s="259">
        <f t="shared" si="21"/>
        <v>1</v>
      </c>
      <c r="V86" s="259">
        <f t="shared" si="21"/>
        <v>1</v>
      </c>
      <c r="W86" s="259">
        <f t="shared" si="21"/>
        <v>1</v>
      </c>
      <c r="X86" s="259">
        <f t="shared" si="21"/>
        <v>1</v>
      </c>
      <c r="Y86" s="259">
        <f t="shared" si="21"/>
        <v>1</v>
      </c>
      <c r="Z86" s="259">
        <f t="shared" si="21"/>
        <v>1</v>
      </c>
      <c r="AA86" s="259">
        <f t="shared" si="21"/>
        <v>1</v>
      </c>
      <c r="AB86" s="259">
        <f t="shared" si="21"/>
        <v>1</v>
      </c>
      <c r="AC86" s="259">
        <f t="shared" si="21"/>
        <v>1</v>
      </c>
      <c r="AD86" s="259">
        <f t="shared" si="21"/>
        <v>1</v>
      </c>
      <c r="AE86" s="259">
        <f t="shared" si="21"/>
        <v>1</v>
      </c>
      <c r="AF86" s="259">
        <f t="shared" si="21"/>
        <v>1.0000000000000002</v>
      </c>
      <c r="AG86" s="259">
        <f t="shared" si="21"/>
        <v>1</v>
      </c>
      <c r="AH86" s="259">
        <f t="shared" si="21"/>
        <v>1</v>
      </c>
      <c r="AI86" s="259">
        <f t="shared" si="21"/>
        <v>1.0000000000000002</v>
      </c>
      <c r="AJ86" s="259">
        <f t="shared" si="21"/>
        <v>0.99999999999999978</v>
      </c>
      <c r="AK86" s="321"/>
    </row>
    <row r="87" spans="1:37">
      <c r="A87" s="559" t="s">
        <v>632</v>
      </c>
      <c r="B87" s="559"/>
      <c r="C87" s="559"/>
      <c r="D87" s="559"/>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c r="AC87" s="559"/>
      <c r="AD87" s="559"/>
      <c r="AE87" s="559"/>
      <c r="AF87" s="559"/>
    </row>
    <row r="88" spans="1:37">
      <c r="A88" s="560" t="s">
        <v>665</v>
      </c>
      <c r="B88" s="560"/>
      <c r="C88" s="560"/>
      <c r="D88" s="560"/>
      <c r="E88" s="560"/>
      <c r="F88" s="560"/>
      <c r="G88" s="560"/>
      <c r="H88" s="560"/>
      <c r="I88" s="560"/>
      <c r="J88" s="560"/>
      <c r="K88" s="560"/>
      <c r="L88" s="560"/>
      <c r="M88" s="560"/>
      <c r="N88" s="560"/>
      <c r="O88" s="560"/>
      <c r="P88" s="560"/>
      <c r="Q88" s="560"/>
      <c r="R88" s="560"/>
      <c r="S88" s="560"/>
      <c r="T88" s="560"/>
      <c r="U88" s="560"/>
      <c r="V88" s="560"/>
      <c r="W88" s="560"/>
      <c r="X88" s="560"/>
      <c r="Y88" s="560"/>
      <c r="Z88" s="560"/>
      <c r="AA88" s="560"/>
      <c r="AB88" s="560"/>
      <c r="AC88" s="560"/>
      <c r="AD88" s="560"/>
      <c r="AE88" s="560"/>
      <c r="AF88" s="560"/>
    </row>
    <row r="89" spans="1:37">
      <c r="A89" s="560" t="s">
        <v>666</v>
      </c>
      <c r="B89" s="560"/>
      <c r="C89" s="560"/>
      <c r="D89" s="560"/>
      <c r="E89" s="560"/>
      <c r="F89" s="560"/>
      <c r="G89" s="560"/>
      <c r="H89" s="560"/>
      <c r="I89" s="560"/>
      <c r="J89" s="560"/>
      <c r="K89" s="560"/>
      <c r="L89" s="560"/>
      <c r="M89" s="560"/>
      <c r="N89" s="560"/>
      <c r="O89" s="560"/>
      <c r="P89" s="560"/>
      <c r="Q89" s="560"/>
      <c r="R89" s="560"/>
      <c r="S89" s="560"/>
      <c r="T89" s="560"/>
      <c r="U89" s="560"/>
      <c r="V89" s="560"/>
      <c r="W89" s="560"/>
      <c r="X89" s="560"/>
      <c r="Y89" s="560"/>
      <c r="Z89" s="560"/>
      <c r="AA89" s="560"/>
      <c r="AB89" s="560"/>
      <c r="AC89" s="560"/>
      <c r="AD89" s="560"/>
      <c r="AE89" s="560"/>
      <c r="AF89" s="560"/>
    </row>
    <row r="90" spans="1:37">
      <c r="A90" s="560" t="s">
        <v>667</v>
      </c>
      <c r="B90" s="560"/>
      <c r="C90" s="560"/>
      <c r="D90" s="560"/>
      <c r="E90" s="560"/>
      <c r="F90" s="560"/>
      <c r="G90" s="560"/>
      <c r="H90" s="560"/>
      <c r="I90" s="560"/>
      <c r="J90" s="560"/>
      <c r="K90" s="560"/>
      <c r="L90" s="560"/>
      <c r="M90" s="560"/>
      <c r="N90" s="560"/>
      <c r="O90" s="560"/>
      <c r="P90" s="560"/>
      <c r="Q90" s="560"/>
      <c r="R90" s="560"/>
      <c r="S90" s="560"/>
      <c r="T90" s="560"/>
      <c r="U90" s="560"/>
      <c r="V90" s="560"/>
      <c r="W90" s="560"/>
      <c r="X90" s="560"/>
      <c r="Y90" s="560"/>
      <c r="Z90" s="560"/>
      <c r="AA90" s="560"/>
      <c r="AB90" s="560"/>
      <c r="AC90" s="560"/>
      <c r="AD90" s="560"/>
      <c r="AE90" s="560"/>
      <c r="AF90" s="560"/>
    </row>
    <row r="91" spans="1:37">
      <c r="A91" s="560" t="s">
        <v>668</v>
      </c>
      <c r="B91" s="560"/>
      <c r="C91" s="560"/>
      <c r="D91" s="560"/>
      <c r="E91" s="560"/>
      <c r="F91" s="560"/>
      <c r="G91" s="560"/>
      <c r="H91" s="560"/>
      <c r="I91" s="560"/>
      <c r="J91" s="560"/>
      <c r="K91" s="560"/>
      <c r="L91" s="560"/>
      <c r="M91" s="560"/>
      <c r="N91" s="560"/>
      <c r="O91" s="560"/>
      <c r="P91" s="560"/>
      <c r="Q91" s="560"/>
      <c r="R91" s="560"/>
      <c r="S91" s="560"/>
      <c r="T91" s="560"/>
      <c r="U91" s="560"/>
      <c r="V91" s="560"/>
      <c r="W91" s="560"/>
      <c r="X91" s="560"/>
      <c r="Y91" s="560"/>
      <c r="Z91" s="560"/>
      <c r="AA91" s="560"/>
      <c r="AB91" s="560"/>
      <c r="AC91" s="560"/>
      <c r="AD91" s="560"/>
      <c r="AE91" s="560"/>
      <c r="AF91" s="560"/>
    </row>
    <row r="92" spans="1:37">
      <c r="A92" s="560" t="s">
        <v>669</v>
      </c>
      <c r="B92" s="560"/>
      <c r="C92" s="560"/>
      <c r="D92" s="560"/>
      <c r="E92" s="560"/>
      <c r="F92" s="560"/>
      <c r="G92" s="560"/>
      <c r="H92" s="560"/>
      <c r="I92" s="560"/>
      <c r="J92" s="560"/>
      <c r="K92" s="560"/>
      <c r="L92" s="560"/>
      <c r="M92" s="560"/>
      <c r="N92" s="560"/>
      <c r="O92" s="560"/>
      <c r="P92" s="560"/>
      <c r="Q92" s="560"/>
      <c r="R92" s="560"/>
      <c r="S92" s="560"/>
      <c r="T92" s="560"/>
      <c r="U92" s="560"/>
      <c r="V92" s="560"/>
      <c r="W92" s="560"/>
      <c r="X92" s="560"/>
      <c r="Y92" s="560"/>
      <c r="Z92" s="560"/>
      <c r="AA92" s="560"/>
      <c r="AB92" s="560"/>
      <c r="AC92" s="560"/>
      <c r="AD92" s="560"/>
      <c r="AE92" s="560"/>
      <c r="AF92" s="560"/>
    </row>
    <row r="93" spans="1:37">
      <c r="A93" s="560" t="s">
        <v>670</v>
      </c>
      <c r="B93" s="560"/>
      <c r="C93" s="560"/>
      <c r="D93" s="560"/>
      <c r="E93" s="560"/>
      <c r="F93" s="560"/>
      <c r="G93" s="560"/>
      <c r="H93" s="560"/>
      <c r="I93" s="560"/>
      <c r="J93" s="560"/>
      <c r="K93" s="560"/>
      <c r="L93" s="560"/>
      <c r="M93" s="560"/>
      <c r="N93" s="560"/>
      <c r="O93" s="560"/>
      <c r="P93" s="560"/>
      <c r="Q93" s="560"/>
      <c r="R93" s="560"/>
      <c r="S93" s="560"/>
      <c r="T93" s="560"/>
      <c r="U93" s="560"/>
      <c r="V93" s="560"/>
      <c r="W93" s="560"/>
      <c r="X93" s="560"/>
      <c r="Y93" s="560"/>
      <c r="Z93" s="560"/>
      <c r="AA93" s="560"/>
      <c r="AB93" s="560"/>
      <c r="AC93" s="560"/>
      <c r="AD93" s="560"/>
      <c r="AE93" s="560"/>
      <c r="AF93" s="560"/>
    </row>
    <row r="94" spans="1:37">
      <c r="A94" s="560" t="s">
        <v>671</v>
      </c>
      <c r="B94" s="560"/>
      <c r="C94" s="560"/>
      <c r="D94" s="560"/>
      <c r="E94" s="560"/>
      <c r="F94" s="560"/>
      <c r="G94" s="560"/>
      <c r="H94" s="560"/>
      <c r="I94" s="560"/>
      <c r="J94" s="560"/>
      <c r="K94" s="560"/>
      <c r="L94" s="560"/>
      <c r="M94" s="560"/>
      <c r="N94" s="560"/>
      <c r="O94" s="560"/>
      <c r="P94" s="560"/>
      <c r="Q94" s="560"/>
      <c r="R94" s="560"/>
      <c r="S94" s="560"/>
      <c r="T94" s="560"/>
      <c r="U94" s="560"/>
      <c r="V94" s="560"/>
      <c r="W94" s="560"/>
      <c r="X94" s="560"/>
      <c r="Y94" s="560"/>
      <c r="Z94" s="560"/>
      <c r="AA94" s="560"/>
      <c r="AB94" s="560"/>
      <c r="AC94" s="560"/>
      <c r="AD94" s="560"/>
      <c r="AE94" s="560"/>
      <c r="AF94" s="560"/>
    </row>
    <row r="95" spans="1:37">
      <c r="A95" s="560" t="s">
        <v>672</v>
      </c>
      <c r="B95" s="560"/>
      <c r="C95" s="560"/>
      <c r="D95" s="560"/>
      <c r="E95" s="560"/>
      <c r="F95" s="560"/>
      <c r="G95" s="560"/>
      <c r="H95" s="560"/>
      <c r="I95" s="560"/>
      <c r="J95" s="560"/>
      <c r="K95" s="560"/>
      <c r="L95" s="560"/>
      <c r="M95" s="560"/>
      <c r="N95" s="560"/>
      <c r="O95" s="560"/>
      <c r="P95" s="560"/>
      <c r="Q95" s="560"/>
      <c r="R95" s="560"/>
      <c r="S95" s="560"/>
      <c r="T95" s="560"/>
      <c r="U95" s="560"/>
      <c r="V95" s="560"/>
      <c r="W95" s="560"/>
      <c r="X95" s="560"/>
      <c r="Y95" s="560"/>
      <c r="Z95" s="560"/>
      <c r="AA95" s="560"/>
      <c r="AB95" s="560"/>
      <c r="AC95" s="560"/>
      <c r="AD95" s="560"/>
      <c r="AE95" s="560"/>
      <c r="AF95" s="560"/>
    </row>
    <row r="96" spans="1:37">
      <c r="A96" s="560" t="s">
        <v>673</v>
      </c>
      <c r="B96" s="560"/>
      <c r="C96" s="560"/>
      <c r="D96" s="560"/>
      <c r="E96" s="560"/>
      <c r="F96" s="560"/>
      <c r="G96" s="560"/>
      <c r="H96" s="560"/>
      <c r="I96" s="560"/>
      <c r="J96" s="560"/>
      <c r="K96" s="560"/>
      <c r="L96" s="560"/>
      <c r="M96" s="560"/>
      <c r="N96" s="560"/>
      <c r="O96" s="560"/>
      <c r="P96" s="560"/>
      <c r="Q96" s="560"/>
      <c r="R96" s="560"/>
      <c r="S96" s="560"/>
      <c r="T96" s="560"/>
      <c r="U96" s="560"/>
      <c r="V96" s="560"/>
      <c r="W96" s="560"/>
      <c r="X96" s="560"/>
      <c r="Y96" s="560"/>
      <c r="Z96" s="560"/>
      <c r="AA96" s="560"/>
      <c r="AB96" s="560"/>
      <c r="AC96" s="560"/>
      <c r="AD96" s="560"/>
      <c r="AE96" s="560"/>
      <c r="AF96" s="560"/>
    </row>
    <row r="97" spans="1:32">
      <c r="A97" s="560" t="s">
        <v>674</v>
      </c>
      <c r="B97" s="560"/>
      <c r="C97" s="560"/>
      <c r="D97" s="560"/>
      <c r="E97" s="560"/>
      <c r="F97" s="560"/>
      <c r="G97" s="560"/>
      <c r="H97" s="560"/>
      <c r="I97" s="560"/>
      <c r="J97" s="560"/>
      <c r="K97" s="560"/>
      <c r="L97" s="560"/>
      <c r="M97" s="560"/>
      <c r="N97" s="560"/>
      <c r="O97" s="560"/>
      <c r="P97" s="560"/>
      <c r="Q97" s="560"/>
      <c r="R97" s="560"/>
      <c r="S97" s="560"/>
      <c r="T97" s="560"/>
      <c r="U97" s="560"/>
      <c r="V97" s="560"/>
      <c r="W97" s="560"/>
      <c r="X97" s="560"/>
      <c r="Y97" s="560"/>
      <c r="Z97" s="560"/>
      <c r="AA97" s="560"/>
      <c r="AB97" s="560"/>
      <c r="AC97" s="560"/>
      <c r="AD97" s="560"/>
      <c r="AE97" s="560"/>
      <c r="AF97" s="560"/>
    </row>
    <row r="98" spans="1:32">
      <c r="A98" s="560" t="s">
        <v>675</v>
      </c>
      <c r="B98" s="560"/>
      <c r="C98" s="560"/>
      <c r="D98" s="560"/>
      <c r="E98" s="560"/>
      <c r="F98" s="560"/>
      <c r="G98" s="560"/>
      <c r="H98" s="560"/>
      <c r="I98" s="560"/>
      <c r="J98" s="560"/>
      <c r="K98" s="560"/>
      <c r="L98" s="560"/>
      <c r="M98" s="560"/>
      <c r="N98" s="560"/>
      <c r="O98" s="560"/>
      <c r="P98" s="560"/>
      <c r="Q98" s="560"/>
      <c r="R98" s="560"/>
      <c r="S98" s="560"/>
      <c r="T98" s="560"/>
      <c r="U98" s="560"/>
      <c r="V98" s="560"/>
      <c r="W98" s="560"/>
      <c r="X98" s="560"/>
      <c r="Y98" s="560"/>
      <c r="Z98" s="560"/>
      <c r="AA98" s="560"/>
      <c r="AB98" s="560"/>
      <c r="AC98" s="560"/>
      <c r="AD98" s="560"/>
      <c r="AE98" s="560"/>
      <c r="AF98" s="560"/>
    </row>
    <row r="99" spans="1:32">
      <c r="A99" s="560" t="s">
        <v>676</v>
      </c>
      <c r="B99" s="560"/>
      <c r="C99" s="560"/>
      <c r="D99" s="560"/>
      <c r="E99" s="560"/>
      <c r="F99" s="560"/>
      <c r="G99" s="560"/>
      <c r="H99" s="560"/>
      <c r="I99" s="560"/>
      <c r="J99" s="560"/>
      <c r="K99" s="560"/>
      <c r="L99" s="560"/>
      <c r="M99" s="560"/>
      <c r="N99" s="560"/>
      <c r="O99" s="560"/>
      <c r="P99" s="560"/>
      <c r="Q99" s="560"/>
      <c r="R99" s="560"/>
      <c r="S99" s="560"/>
      <c r="T99" s="560"/>
      <c r="U99" s="560"/>
      <c r="V99" s="560"/>
      <c r="W99" s="560"/>
      <c r="X99" s="560"/>
      <c r="Y99" s="560"/>
      <c r="Z99" s="560"/>
      <c r="AA99" s="560"/>
      <c r="AB99" s="560"/>
      <c r="AC99" s="560"/>
      <c r="AD99" s="560"/>
      <c r="AE99" s="560"/>
      <c r="AF99" s="560"/>
    </row>
    <row r="100" spans="1:32">
      <c r="A100" s="560" t="s">
        <v>677</v>
      </c>
      <c r="B100" s="560"/>
      <c r="C100" s="560"/>
      <c r="D100" s="560"/>
      <c r="E100" s="560"/>
      <c r="F100" s="560"/>
      <c r="G100" s="560"/>
      <c r="H100" s="560"/>
      <c r="I100" s="560"/>
      <c r="J100" s="560"/>
      <c r="K100" s="560"/>
      <c r="L100" s="560"/>
      <c r="M100" s="560"/>
      <c r="N100" s="560"/>
      <c r="O100" s="560"/>
      <c r="P100" s="560"/>
      <c r="Q100" s="560"/>
      <c r="R100" s="560"/>
      <c r="S100" s="560"/>
      <c r="T100" s="560"/>
      <c r="U100" s="560"/>
      <c r="V100" s="560"/>
      <c r="W100" s="560"/>
      <c r="X100" s="560"/>
      <c r="Y100" s="560"/>
      <c r="Z100" s="560"/>
      <c r="AA100" s="560"/>
      <c r="AB100" s="560"/>
      <c r="AC100" s="560"/>
      <c r="AD100" s="560"/>
      <c r="AE100" s="560"/>
      <c r="AF100" s="560"/>
    </row>
    <row r="101" spans="1:32">
      <c r="A101" s="560" t="s">
        <v>678</v>
      </c>
      <c r="B101" s="560"/>
      <c r="C101" s="560"/>
      <c r="D101" s="560"/>
      <c r="E101" s="560"/>
      <c r="F101" s="560"/>
      <c r="G101" s="560"/>
      <c r="H101" s="560"/>
      <c r="I101" s="560"/>
      <c r="J101" s="560"/>
      <c r="K101" s="560"/>
      <c r="L101" s="560"/>
      <c r="M101" s="560"/>
      <c r="N101" s="560"/>
      <c r="O101" s="560"/>
      <c r="P101" s="560"/>
      <c r="Q101" s="560"/>
      <c r="R101" s="560"/>
      <c r="S101" s="560"/>
      <c r="T101" s="560"/>
      <c r="U101" s="560"/>
      <c r="V101" s="560"/>
      <c r="W101" s="560"/>
      <c r="X101" s="560"/>
      <c r="Y101" s="560"/>
      <c r="Z101" s="560"/>
      <c r="AA101" s="560"/>
      <c r="AB101" s="560"/>
      <c r="AC101" s="560"/>
      <c r="AD101" s="560"/>
      <c r="AE101" s="560"/>
      <c r="AF101" s="560"/>
    </row>
    <row r="102" spans="1:32">
      <c r="A102" s="560" t="s">
        <v>679</v>
      </c>
      <c r="B102" s="560"/>
      <c r="C102" s="560"/>
      <c r="D102" s="560"/>
      <c r="E102" s="560"/>
      <c r="F102" s="560"/>
      <c r="G102" s="560"/>
      <c r="H102" s="560"/>
      <c r="I102" s="560"/>
      <c r="J102" s="560"/>
      <c r="K102" s="560"/>
      <c r="L102" s="560"/>
      <c r="M102" s="560"/>
      <c r="N102" s="560"/>
      <c r="O102" s="560"/>
      <c r="P102" s="560"/>
      <c r="Q102" s="560"/>
      <c r="R102" s="560"/>
      <c r="S102" s="560"/>
      <c r="T102" s="560"/>
      <c r="U102" s="560"/>
      <c r="V102" s="560"/>
      <c r="W102" s="560"/>
      <c r="X102" s="560"/>
      <c r="Y102" s="560"/>
      <c r="Z102" s="560"/>
      <c r="AA102" s="560"/>
      <c r="AB102" s="560"/>
      <c r="AC102" s="560"/>
      <c r="AD102" s="560"/>
      <c r="AE102" s="560"/>
      <c r="AF102" s="560"/>
    </row>
    <row r="103" spans="1:32">
      <c r="A103" s="560" t="s">
        <v>680</v>
      </c>
      <c r="B103" s="560"/>
      <c r="C103" s="560"/>
      <c r="D103" s="560"/>
      <c r="E103" s="560"/>
      <c r="F103" s="560"/>
      <c r="G103" s="560"/>
      <c r="H103" s="560"/>
      <c r="I103" s="560"/>
      <c r="J103" s="560"/>
      <c r="K103" s="560"/>
      <c r="L103" s="560"/>
      <c r="M103" s="560"/>
      <c r="N103" s="560"/>
      <c r="O103" s="560"/>
      <c r="P103" s="560"/>
      <c r="Q103" s="560"/>
      <c r="R103" s="560"/>
      <c r="S103" s="560"/>
      <c r="T103" s="560"/>
      <c r="U103" s="560"/>
      <c r="V103" s="560"/>
      <c r="W103" s="560"/>
      <c r="X103" s="560"/>
      <c r="Y103" s="560"/>
      <c r="Z103" s="560"/>
      <c r="AA103" s="560"/>
      <c r="AB103" s="560"/>
      <c r="AC103" s="560"/>
      <c r="AD103" s="560"/>
      <c r="AE103" s="560"/>
      <c r="AF103" s="560"/>
    </row>
    <row r="104" spans="1:32">
      <c r="A104" s="560" t="s">
        <v>681</v>
      </c>
      <c r="B104" s="560"/>
      <c r="C104" s="560"/>
      <c r="D104" s="560"/>
      <c r="E104" s="560"/>
      <c r="F104" s="560"/>
      <c r="G104" s="560"/>
      <c r="H104" s="560"/>
      <c r="I104" s="560"/>
      <c r="J104" s="560"/>
      <c r="K104" s="560"/>
      <c r="L104" s="560"/>
      <c r="M104" s="560"/>
      <c r="N104" s="560"/>
      <c r="O104" s="560"/>
      <c r="P104" s="560"/>
      <c r="Q104" s="560"/>
      <c r="R104" s="560"/>
      <c r="S104" s="560"/>
      <c r="T104" s="560"/>
      <c r="U104" s="560"/>
      <c r="V104" s="560"/>
      <c r="W104" s="560"/>
      <c r="X104" s="560"/>
      <c r="Y104" s="560"/>
      <c r="Z104" s="560"/>
      <c r="AA104" s="560"/>
      <c r="AB104" s="560"/>
      <c r="AC104" s="560"/>
      <c r="AD104" s="560"/>
      <c r="AE104" s="560"/>
      <c r="AF104" s="560"/>
    </row>
    <row r="105" spans="1:32">
      <c r="A105" s="560" t="s">
        <v>682</v>
      </c>
      <c r="B105" s="560"/>
      <c r="C105" s="560"/>
      <c r="D105" s="560"/>
      <c r="E105" s="560"/>
      <c r="F105" s="560"/>
      <c r="G105" s="560"/>
      <c r="H105" s="560"/>
      <c r="I105" s="560"/>
      <c r="J105" s="560"/>
      <c r="K105" s="560"/>
      <c r="L105" s="560"/>
      <c r="M105" s="560"/>
      <c r="N105" s="560"/>
      <c r="O105" s="560"/>
      <c r="P105" s="560"/>
      <c r="Q105" s="560"/>
      <c r="R105" s="560"/>
      <c r="S105" s="560"/>
      <c r="T105" s="560"/>
      <c r="U105" s="560"/>
      <c r="V105" s="560"/>
      <c r="W105" s="560"/>
      <c r="X105" s="560"/>
      <c r="Y105" s="560"/>
      <c r="Z105" s="560"/>
      <c r="AA105" s="560"/>
      <c r="AB105" s="560"/>
      <c r="AC105" s="560"/>
      <c r="AD105" s="560"/>
      <c r="AE105" s="560"/>
      <c r="AF105" s="560"/>
    </row>
    <row r="106" spans="1:32">
      <c r="A106" s="560" t="s">
        <v>683</v>
      </c>
      <c r="B106" s="560"/>
      <c r="C106" s="560"/>
      <c r="D106" s="560"/>
      <c r="E106" s="560"/>
      <c r="F106" s="560"/>
      <c r="G106" s="560"/>
      <c r="H106" s="560"/>
      <c r="I106" s="560"/>
      <c r="J106" s="560"/>
      <c r="K106" s="560"/>
      <c r="L106" s="560"/>
      <c r="M106" s="560"/>
      <c r="N106" s="560"/>
      <c r="O106" s="560"/>
      <c r="P106" s="560"/>
      <c r="Q106" s="560"/>
      <c r="R106" s="560"/>
      <c r="S106" s="560"/>
      <c r="T106" s="560"/>
      <c r="U106" s="560"/>
      <c r="V106" s="560"/>
      <c r="W106" s="560"/>
      <c r="X106" s="560"/>
      <c r="Y106" s="560"/>
      <c r="Z106" s="560"/>
      <c r="AA106" s="560"/>
      <c r="AB106" s="560"/>
      <c r="AC106" s="560"/>
      <c r="AD106" s="560"/>
      <c r="AE106" s="560"/>
      <c r="AF106" s="560"/>
    </row>
    <row r="107" spans="1:32">
      <c r="A107" s="560" t="s">
        <v>684</v>
      </c>
      <c r="B107" s="560"/>
      <c r="C107" s="560"/>
      <c r="D107" s="560"/>
      <c r="E107" s="560"/>
      <c r="F107" s="560"/>
      <c r="G107" s="560"/>
      <c r="H107" s="560"/>
      <c r="I107" s="560"/>
      <c r="J107" s="560"/>
      <c r="K107" s="560"/>
      <c r="L107" s="560"/>
      <c r="M107" s="560"/>
      <c r="N107" s="560"/>
      <c r="O107" s="560"/>
      <c r="P107" s="560"/>
      <c r="Q107" s="560"/>
      <c r="R107" s="560"/>
      <c r="S107" s="560"/>
      <c r="T107" s="560"/>
      <c r="U107" s="560"/>
      <c r="V107" s="560"/>
      <c r="W107" s="560"/>
      <c r="X107" s="560"/>
      <c r="Y107" s="560"/>
      <c r="Z107" s="560"/>
      <c r="AA107" s="560"/>
      <c r="AB107" s="560"/>
      <c r="AC107" s="560"/>
      <c r="AD107" s="560"/>
      <c r="AE107" s="560"/>
      <c r="AF107" s="560"/>
    </row>
    <row r="108" spans="1:32">
      <c r="A108" s="560" t="s">
        <v>636</v>
      </c>
      <c r="B108" s="560"/>
      <c r="C108" s="560"/>
      <c r="D108" s="560"/>
      <c r="E108" s="560"/>
      <c r="F108" s="560"/>
      <c r="G108" s="560"/>
      <c r="H108" s="560"/>
      <c r="I108" s="560"/>
      <c r="J108" s="560"/>
      <c r="K108" s="560"/>
      <c r="L108" s="560"/>
      <c r="M108" s="560"/>
      <c r="N108" s="560"/>
      <c r="O108" s="560"/>
      <c r="P108" s="560"/>
      <c r="Q108" s="560"/>
      <c r="R108" s="560"/>
      <c r="S108" s="560"/>
      <c r="T108" s="560"/>
      <c r="U108" s="560"/>
      <c r="V108" s="560"/>
      <c r="W108" s="560"/>
      <c r="X108" s="560"/>
      <c r="Y108" s="560"/>
      <c r="Z108" s="560"/>
      <c r="AA108" s="560"/>
      <c r="AB108" s="560"/>
      <c r="AC108" s="560"/>
      <c r="AD108" s="560"/>
      <c r="AE108" s="560"/>
      <c r="AF108" s="560"/>
    </row>
    <row r="109" spans="1:32">
      <c r="A109" s="560" t="s">
        <v>685</v>
      </c>
      <c r="B109" s="560"/>
      <c r="C109" s="560"/>
      <c r="D109" s="560"/>
      <c r="E109" s="560"/>
      <c r="F109" s="560"/>
      <c r="G109" s="560"/>
      <c r="H109" s="560"/>
      <c r="I109" s="560"/>
      <c r="J109" s="560"/>
      <c r="K109" s="560"/>
      <c r="L109" s="560"/>
      <c r="M109" s="560"/>
      <c r="N109" s="560"/>
      <c r="O109" s="560"/>
      <c r="P109" s="560"/>
      <c r="Q109" s="560"/>
      <c r="R109" s="560"/>
      <c r="S109" s="560"/>
      <c r="T109" s="560"/>
      <c r="U109" s="560"/>
      <c r="V109" s="560"/>
      <c r="W109" s="560"/>
      <c r="X109" s="560"/>
      <c r="Y109" s="560"/>
      <c r="Z109" s="560"/>
      <c r="AA109" s="560"/>
      <c r="AB109" s="560"/>
      <c r="AC109" s="560"/>
      <c r="AD109" s="560"/>
      <c r="AE109" s="560"/>
      <c r="AF109" s="560"/>
    </row>
    <row r="110" spans="1:32">
      <c r="A110" s="560" t="s">
        <v>686</v>
      </c>
      <c r="B110" s="560"/>
      <c r="C110" s="560"/>
      <c r="D110" s="560"/>
      <c r="E110" s="560"/>
      <c r="F110" s="560"/>
      <c r="G110" s="560"/>
      <c r="H110" s="560"/>
      <c r="I110" s="560"/>
      <c r="J110" s="560"/>
      <c r="K110" s="560"/>
      <c r="L110" s="560"/>
      <c r="M110" s="560"/>
      <c r="N110" s="560"/>
      <c r="O110" s="560"/>
      <c r="P110" s="560"/>
      <c r="Q110" s="560"/>
      <c r="R110" s="560"/>
      <c r="S110" s="560"/>
      <c r="T110" s="560"/>
      <c r="U110" s="560"/>
      <c r="V110" s="560"/>
      <c r="W110" s="560"/>
      <c r="X110" s="560"/>
      <c r="Y110" s="560"/>
      <c r="Z110" s="560"/>
      <c r="AA110" s="560"/>
      <c r="AB110" s="560"/>
      <c r="AC110" s="560"/>
      <c r="AD110" s="560"/>
      <c r="AE110" s="560"/>
      <c r="AF110" s="560"/>
    </row>
    <row r="111" spans="1:32">
      <c r="A111" s="560" t="s">
        <v>643</v>
      </c>
      <c r="B111" s="560"/>
      <c r="C111" s="560"/>
      <c r="D111" s="560"/>
      <c r="E111" s="560"/>
      <c r="F111" s="560"/>
      <c r="G111" s="560"/>
      <c r="H111" s="560"/>
      <c r="I111" s="560"/>
      <c r="J111" s="560"/>
      <c r="K111" s="560"/>
      <c r="L111" s="560"/>
      <c r="M111" s="560"/>
      <c r="N111" s="560"/>
      <c r="O111" s="560"/>
      <c r="P111" s="560"/>
      <c r="Q111" s="560"/>
      <c r="R111" s="560"/>
      <c r="S111" s="560"/>
      <c r="T111" s="560"/>
      <c r="U111" s="560"/>
      <c r="V111" s="560"/>
      <c r="W111" s="560"/>
      <c r="X111" s="560"/>
      <c r="Y111" s="560"/>
      <c r="Z111" s="560"/>
      <c r="AA111" s="560"/>
      <c r="AB111" s="560"/>
      <c r="AC111" s="560"/>
      <c r="AD111" s="560"/>
      <c r="AE111" s="560"/>
      <c r="AF111" s="560"/>
    </row>
    <row r="112" spans="1:32">
      <c r="A112" s="560" t="s">
        <v>644</v>
      </c>
      <c r="B112" s="560"/>
      <c r="C112" s="560"/>
      <c r="D112" s="560"/>
      <c r="E112" s="560"/>
      <c r="F112" s="560"/>
      <c r="G112" s="560"/>
      <c r="H112" s="560"/>
      <c r="I112" s="560"/>
      <c r="J112" s="560"/>
      <c r="K112" s="560"/>
      <c r="L112" s="560"/>
      <c r="M112" s="560"/>
      <c r="N112" s="560"/>
      <c r="O112" s="560"/>
      <c r="P112" s="560"/>
      <c r="Q112" s="560"/>
      <c r="R112" s="560"/>
      <c r="S112" s="560"/>
      <c r="T112" s="560"/>
      <c r="U112" s="560"/>
      <c r="V112" s="560"/>
      <c r="W112" s="560"/>
      <c r="X112" s="560"/>
      <c r="Y112" s="560"/>
      <c r="Z112" s="560"/>
      <c r="AA112" s="560"/>
      <c r="AB112" s="560"/>
      <c r="AC112" s="560"/>
      <c r="AD112" s="560"/>
      <c r="AE112" s="560"/>
      <c r="AF112" s="560"/>
    </row>
    <row r="113" spans="1:32">
      <c r="A113" s="560" t="s">
        <v>645</v>
      </c>
      <c r="B113" s="560"/>
      <c r="C113" s="560"/>
      <c r="D113" s="560"/>
      <c r="E113" s="560"/>
      <c r="F113" s="560"/>
      <c r="G113" s="560"/>
      <c r="H113" s="560"/>
      <c r="I113" s="560"/>
      <c r="J113" s="560"/>
      <c r="K113" s="560"/>
      <c r="L113" s="560"/>
      <c r="M113" s="560"/>
      <c r="N113" s="560"/>
      <c r="O113" s="560"/>
      <c r="P113" s="560"/>
      <c r="Q113" s="560"/>
      <c r="R113" s="560"/>
      <c r="S113" s="560"/>
      <c r="T113" s="560"/>
      <c r="U113" s="560"/>
      <c r="V113" s="560"/>
      <c r="W113" s="560"/>
      <c r="X113" s="560"/>
      <c r="Y113" s="560"/>
      <c r="Z113" s="560"/>
      <c r="AA113" s="560"/>
      <c r="AB113" s="560"/>
      <c r="AC113" s="560"/>
      <c r="AD113" s="560"/>
      <c r="AE113" s="560"/>
      <c r="AF113" s="560"/>
    </row>
    <row r="114" spans="1:32">
      <c r="A114" s="560" t="s">
        <v>687</v>
      </c>
      <c r="B114" s="560"/>
      <c r="C114" s="560"/>
      <c r="D114" s="560"/>
      <c r="E114" s="560"/>
      <c r="F114" s="560"/>
      <c r="G114" s="560"/>
      <c r="H114" s="560"/>
      <c r="I114" s="560"/>
      <c r="J114" s="560"/>
      <c r="K114" s="560"/>
      <c r="L114" s="560"/>
      <c r="M114" s="560"/>
      <c r="N114" s="560"/>
      <c r="O114" s="560"/>
      <c r="P114" s="560"/>
      <c r="Q114" s="560"/>
      <c r="R114" s="560"/>
      <c r="S114" s="560"/>
      <c r="T114" s="560"/>
      <c r="U114" s="560"/>
      <c r="V114" s="560"/>
      <c r="W114" s="560"/>
      <c r="X114" s="560"/>
      <c r="Y114" s="560"/>
      <c r="Z114" s="560"/>
      <c r="AA114" s="560"/>
      <c r="AB114" s="560"/>
      <c r="AC114" s="560"/>
      <c r="AD114" s="560"/>
      <c r="AE114" s="560"/>
      <c r="AF114" s="560"/>
    </row>
    <row r="115" spans="1:32">
      <c r="A115" s="560" t="s">
        <v>688</v>
      </c>
      <c r="B115" s="560"/>
      <c r="C115" s="560"/>
      <c r="D115" s="560"/>
      <c r="E115" s="560"/>
      <c r="F115" s="560"/>
      <c r="G115" s="560"/>
      <c r="H115" s="560"/>
      <c r="I115" s="560"/>
      <c r="J115" s="560"/>
      <c r="K115" s="560"/>
      <c r="L115" s="560"/>
      <c r="M115" s="560"/>
      <c r="N115" s="560"/>
      <c r="O115" s="560"/>
      <c r="P115" s="560"/>
      <c r="Q115" s="560"/>
      <c r="R115" s="560"/>
      <c r="S115" s="560"/>
      <c r="T115" s="560"/>
      <c r="U115" s="560"/>
      <c r="V115" s="560"/>
      <c r="W115" s="560"/>
      <c r="X115" s="560"/>
      <c r="Y115" s="560"/>
      <c r="Z115" s="560"/>
      <c r="AA115" s="560"/>
      <c r="AB115" s="560"/>
      <c r="AC115" s="560"/>
      <c r="AD115" s="560"/>
      <c r="AE115" s="560"/>
      <c r="AF115" s="560"/>
    </row>
    <row r="116" spans="1:32">
      <c r="A116" s="560" t="s">
        <v>620</v>
      </c>
      <c r="B116" s="560"/>
      <c r="C116" s="560"/>
      <c r="D116" s="560"/>
      <c r="E116" s="560"/>
      <c r="F116" s="560"/>
      <c r="G116" s="560"/>
      <c r="H116" s="560"/>
      <c r="I116" s="560"/>
      <c r="J116" s="560"/>
      <c r="K116" s="560"/>
      <c r="L116" s="560"/>
      <c r="M116" s="560"/>
      <c r="N116" s="560"/>
      <c r="O116" s="560"/>
      <c r="P116" s="560"/>
      <c r="Q116" s="560"/>
      <c r="R116" s="560"/>
      <c r="S116" s="560"/>
      <c r="T116" s="560"/>
      <c r="U116" s="560"/>
      <c r="V116" s="560"/>
      <c r="W116" s="560"/>
      <c r="X116" s="560"/>
      <c r="Y116" s="560"/>
      <c r="Z116" s="560"/>
      <c r="AA116" s="560"/>
      <c r="AB116" s="560"/>
      <c r="AC116" s="560"/>
      <c r="AD116" s="560"/>
      <c r="AE116" s="560"/>
      <c r="AF116" s="560"/>
    </row>
    <row r="117" spans="1:32">
      <c r="A117" s="560" t="s">
        <v>621</v>
      </c>
      <c r="B117" s="560"/>
      <c r="C117" s="560"/>
      <c r="D117" s="560"/>
      <c r="E117" s="560"/>
      <c r="F117" s="560"/>
      <c r="G117" s="560"/>
      <c r="H117" s="560"/>
      <c r="I117" s="560"/>
      <c r="J117" s="560"/>
      <c r="K117" s="560"/>
      <c r="L117" s="560"/>
      <c r="M117" s="560"/>
      <c r="N117" s="560"/>
      <c r="O117" s="560"/>
      <c r="P117" s="560"/>
      <c r="Q117" s="560"/>
      <c r="R117" s="560"/>
      <c r="S117" s="560"/>
      <c r="T117" s="560"/>
      <c r="U117" s="560"/>
      <c r="V117" s="560"/>
      <c r="W117" s="560"/>
      <c r="X117" s="560"/>
      <c r="Y117" s="560"/>
      <c r="Z117" s="560"/>
      <c r="AA117" s="560"/>
      <c r="AB117" s="560"/>
      <c r="AC117" s="560"/>
      <c r="AD117" s="560"/>
      <c r="AE117" s="560"/>
      <c r="AF117" s="560"/>
    </row>
    <row r="118" spans="1:32">
      <c r="A118" s="560" t="s">
        <v>622</v>
      </c>
      <c r="B118" s="560"/>
      <c r="C118" s="560"/>
      <c r="D118" s="560"/>
      <c r="E118" s="560"/>
      <c r="F118" s="560"/>
      <c r="G118" s="560"/>
      <c r="H118" s="560"/>
      <c r="I118" s="560"/>
      <c r="J118" s="560"/>
      <c r="K118" s="560"/>
      <c r="L118" s="560"/>
      <c r="M118" s="560"/>
      <c r="N118" s="560"/>
      <c r="O118" s="560"/>
      <c r="P118" s="560"/>
      <c r="Q118" s="560"/>
      <c r="R118" s="560"/>
      <c r="S118" s="560"/>
      <c r="T118" s="560"/>
      <c r="U118" s="560"/>
      <c r="V118" s="560"/>
      <c r="W118" s="560"/>
      <c r="X118" s="560"/>
      <c r="Y118" s="560"/>
      <c r="Z118" s="560"/>
      <c r="AA118" s="560"/>
      <c r="AB118" s="560"/>
      <c r="AC118" s="560"/>
      <c r="AD118" s="560"/>
      <c r="AE118" s="560"/>
      <c r="AF118" s="560"/>
    </row>
    <row r="119" spans="1:32">
      <c r="A119" s="560" t="s">
        <v>689</v>
      </c>
      <c r="B119" s="560"/>
      <c r="C119" s="560"/>
      <c r="D119" s="560"/>
      <c r="E119" s="560"/>
      <c r="F119" s="560"/>
      <c r="G119" s="560"/>
      <c r="H119" s="560"/>
      <c r="I119" s="560"/>
      <c r="J119" s="560"/>
      <c r="K119" s="560"/>
      <c r="L119" s="560"/>
      <c r="M119" s="560"/>
      <c r="N119" s="560"/>
      <c r="O119" s="560"/>
      <c r="P119" s="560"/>
      <c r="Q119" s="560"/>
      <c r="R119" s="560"/>
      <c r="S119" s="560"/>
      <c r="T119" s="560"/>
      <c r="U119" s="560"/>
      <c r="V119" s="560"/>
      <c r="W119" s="560"/>
      <c r="X119" s="560"/>
      <c r="Y119" s="560"/>
      <c r="Z119" s="560"/>
      <c r="AA119" s="560"/>
      <c r="AB119" s="560"/>
      <c r="AC119" s="560"/>
      <c r="AD119" s="560"/>
      <c r="AE119" s="560"/>
      <c r="AF119" s="560"/>
    </row>
    <row r="120" spans="1:32">
      <c r="A120" s="560" t="s">
        <v>690</v>
      </c>
      <c r="B120" s="560"/>
      <c r="C120" s="560"/>
      <c r="D120" s="560"/>
      <c r="E120" s="560"/>
      <c r="F120" s="560"/>
      <c r="G120" s="560"/>
      <c r="H120" s="560"/>
      <c r="I120" s="560"/>
      <c r="J120" s="560"/>
      <c r="K120" s="560"/>
      <c r="L120" s="560"/>
      <c r="M120" s="560"/>
      <c r="N120" s="560"/>
      <c r="O120" s="560"/>
      <c r="P120" s="560"/>
      <c r="Q120" s="560"/>
      <c r="R120" s="560"/>
      <c r="S120" s="560"/>
      <c r="T120" s="560"/>
      <c r="U120" s="560"/>
      <c r="V120" s="560"/>
      <c r="W120" s="560"/>
      <c r="X120" s="560"/>
      <c r="Y120" s="560"/>
      <c r="Z120" s="560"/>
      <c r="AA120" s="560"/>
      <c r="AB120" s="560"/>
      <c r="AC120" s="560"/>
      <c r="AD120" s="560"/>
      <c r="AE120" s="560"/>
      <c r="AF120" s="560"/>
    </row>
    <row r="121" spans="1:32">
      <c r="A121" s="560" t="s">
        <v>624</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60"/>
    </row>
    <row r="122" spans="1:32">
      <c r="A122" s="560" t="s">
        <v>627</v>
      </c>
      <c r="B122" s="560"/>
      <c r="C122" s="560"/>
      <c r="D122" s="560"/>
      <c r="E122" s="560"/>
      <c r="F122" s="560"/>
      <c r="G122" s="560"/>
      <c r="H122" s="560"/>
      <c r="I122" s="560"/>
      <c r="J122" s="560"/>
      <c r="K122" s="560"/>
      <c r="L122" s="560"/>
      <c r="M122" s="560"/>
      <c r="N122" s="560"/>
      <c r="O122" s="560"/>
      <c r="P122" s="560"/>
      <c r="Q122" s="560"/>
      <c r="R122" s="560"/>
      <c r="S122" s="560"/>
      <c r="T122" s="560"/>
      <c r="U122" s="560"/>
      <c r="V122" s="560"/>
      <c r="W122" s="560"/>
      <c r="X122" s="560"/>
      <c r="Y122" s="560"/>
      <c r="Z122" s="560"/>
      <c r="AA122" s="560"/>
      <c r="AB122" s="560"/>
      <c r="AC122" s="560"/>
      <c r="AD122" s="560"/>
      <c r="AE122" s="560"/>
      <c r="AF122" s="560"/>
    </row>
  </sheetData>
  <mergeCells count="36">
    <mergeCell ref="A122:AF122"/>
    <mergeCell ref="A117:AF117"/>
    <mergeCell ref="A118:AF118"/>
    <mergeCell ref="A119:AF119"/>
    <mergeCell ref="A120:AF120"/>
    <mergeCell ref="A121:AF121"/>
    <mergeCell ref="A112:AF112"/>
    <mergeCell ref="A113:AF113"/>
    <mergeCell ref="A114:AF114"/>
    <mergeCell ref="A115:AF115"/>
    <mergeCell ref="A116:AF116"/>
    <mergeCell ref="A107:AF107"/>
    <mergeCell ref="A108:AF108"/>
    <mergeCell ref="A109:AF109"/>
    <mergeCell ref="A110:AF110"/>
    <mergeCell ref="A111:AF111"/>
    <mergeCell ref="A102:AF102"/>
    <mergeCell ref="A103:AF103"/>
    <mergeCell ref="A104:AF104"/>
    <mergeCell ref="A105:AF105"/>
    <mergeCell ref="A106:AF106"/>
    <mergeCell ref="A97:AF97"/>
    <mergeCell ref="A98:AF98"/>
    <mergeCell ref="A99:AF99"/>
    <mergeCell ref="A100:AF100"/>
    <mergeCell ref="A101:AF101"/>
    <mergeCell ref="A92:AF92"/>
    <mergeCell ref="A93:AF93"/>
    <mergeCell ref="A94:AF94"/>
    <mergeCell ref="A95:AF95"/>
    <mergeCell ref="A96:AF96"/>
    <mergeCell ref="A87:AF87"/>
    <mergeCell ref="A88:AF88"/>
    <mergeCell ref="A89:AF89"/>
    <mergeCell ref="A90:AF90"/>
    <mergeCell ref="A91:AF9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2015-02-19T00:30:15Z</dcterms:modified>
</cp:coreProperties>
</file>