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49" i="11"/>
  <c r="H51" i="11"/>
  <c r="H58" i="11"/>
  <c r="H56" i="11"/>
  <c r="I49" i="11"/>
  <c r="I51" i="11"/>
  <c r="I58" i="11"/>
  <c r="I56" i="11"/>
  <c r="J49" i="11"/>
  <c r="J51" i="11"/>
  <c r="J58" i="11"/>
  <c r="J56" i="11"/>
  <c r="K49" i="11"/>
  <c r="K51" i="11"/>
  <c r="K58" i="11"/>
  <c r="K56" i="11"/>
  <c r="L49" i="11"/>
  <c r="L51" i="11"/>
  <c r="L58" i="11"/>
  <c r="L56" i="11"/>
  <c r="M49" i="11"/>
  <c r="M51" i="11"/>
  <c r="M58" i="11"/>
  <c r="M56" i="11"/>
  <c r="N49" i="11"/>
  <c r="N51" i="11"/>
  <c r="N58" i="11"/>
  <c r="N56" i="11"/>
  <c r="O49" i="11"/>
  <c r="O51" i="11"/>
  <c r="O58" i="11"/>
  <c r="O56" i="11"/>
  <c r="P49" i="11"/>
  <c r="P51" i="11"/>
  <c r="P58" i="11"/>
  <c r="P56" i="11"/>
  <c r="Q49" i="11"/>
  <c r="Q51" i="11"/>
  <c r="Q58" i="11"/>
  <c r="Q56" i="11"/>
  <c r="R49" i="11"/>
  <c r="R51" i="11"/>
  <c r="R58" i="11"/>
  <c r="R56" i="11"/>
  <c r="S49" i="11"/>
  <c r="S51" i="11"/>
  <c r="S58" i="11"/>
  <c r="S56" i="11"/>
  <c r="T49" i="11"/>
  <c r="T51" i="11"/>
  <c r="T58" i="11"/>
  <c r="T56" i="11"/>
  <c r="U49" i="11"/>
  <c r="U51" i="11"/>
  <c r="U58" i="11"/>
  <c r="U56" i="11"/>
  <c r="V49" i="11"/>
  <c r="V51" i="11"/>
  <c r="V58" i="11"/>
  <c r="V56" i="11"/>
  <c r="W49" i="11"/>
  <c r="W51" i="11"/>
  <c r="W58" i="11"/>
  <c r="W56" i="11"/>
  <c r="X49" i="11"/>
  <c r="X51" i="11"/>
  <c r="X58" i="11"/>
  <c r="X56" i="11"/>
  <c r="Y49" i="11"/>
  <c r="Y51" i="11"/>
  <c r="Y58" i="11"/>
  <c r="Y56" i="11"/>
  <c r="Z49" i="11"/>
  <c r="Z51" i="11"/>
  <c r="Z58" i="11"/>
  <c r="Z56" i="11"/>
  <c r="AA49" i="11"/>
  <c r="AA51" i="11"/>
  <c r="AA58" i="11"/>
  <c r="AA56" i="11"/>
  <c r="AB49" i="11"/>
  <c r="AB51" i="11"/>
  <c r="AB58" i="11"/>
  <c r="AB56" i="11"/>
  <c r="AC49" i="11"/>
  <c r="AC51" i="11"/>
  <c r="AC58" i="11"/>
  <c r="AC56" i="11"/>
  <c r="AD49" i="11"/>
  <c r="AD51" i="11"/>
  <c r="AD58" i="11"/>
  <c r="AD56" i="11"/>
  <c r="AE49" i="11"/>
  <c r="AE51" i="11"/>
  <c r="AE58" i="11"/>
  <c r="AE56" i="11"/>
  <c r="AF49" i="11"/>
  <c r="AF51" i="11"/>
  <c r="AF58" i="11"/>
  <c r="AF56" i="11"/>
  <c r="AG49" i="11"/>
  <c r="AG51" i="11"/>
  <c r="AG58" i="11"/>
  <c r="AG56" i="11"/>
  <c r="AH49" i="11"/>
  <c r="AH51" i="11"/>
  <c r="AH58" i="11"/>
  <c r="AH56" i="11"/>
  <c r="AI49" i="11"/>
  <c r="AI51" i="11"/>
  <c r="AI58" i="11"/>
  <c r="AI56" i="11"/>
  <c r="AJ49" i="11"/>
  <c r="AJ51" i="11"/>
  <c r="AJ58" i="11"/>
  <c r="AJ56" i="11"/>
  <c r="G49" i="11"/>
  <c r="G51" i="11"/>
  <c r="G58" i="11"/>
  <c r="G56" i="11"/>
  <c r="C54" i="8"/>
  <c r="D54" i="8"/>
  <c r="E54" i="8"/>
  <c r="F54" i="8"/>
  <c r="G54" i="8"/>
  <c r="H54" i="8"/>
  <c r="I54" i="8"/>
  <c r="J54" i="8"/>
  <c r="K54" i="8"/>
  <c r="L54" i="8"/>
  <c r="M54" i="8"/>
  <c r="N54" i="8"/>
  <c r="O54" i="8"/>
  <c r="P54" i="8"/>
  <c r="Q54" i="8"/>
  <c r="R54" i="8"/>
  <c r="S54" i="8"/>
  <c r="T54" i="8"/>
  <c r="U54" i="8"/>
  <c r="V54" i="8"/>
  <c r="W54" i="8"/>
  <c r="X54" i="8"/>
  <c r="Y54" i="8"/>
  <c r="Z54" i="8"/>
  <c r="AA54" i="8"/>
  <c r="AB54" i="8"/>
  <c r="AC54" i="8"/>
  <c r="AD54" i="8"/>
  <c r="AE54" i="8"/>
  <c r="AF54" i="8"/>
  <c r="AG54" i="8"/>
  <c r="AH54" i="8"/>
  <c r="AI54" i="8"/>
  <c r="AJ54" i="8"/>
  <c r="B54" i="8"/>
  <c r="AH13" i="15"/>
  <c r="AH14" i="15"/>
  <c r="D30" i="5"/>
  <c r="C30" i="5"/>
  <c r="P78" i="8"/>
  <c r="P73" i="8"/>
  <c r="P74" i="8"/>
  <c r="P75" i="8"/>
  <c r="P76" i="8"/>
  <c r="P77" i="8"/>
  <c r="P79" i="8"/>
  <c r="P54" i="11"/>
  <c r="N13" i="15"/>
  <c r="N14" i="15"/>
  <c r="N7" i="9"/>
  <c r="D35" i="5"/>
  <c r="C35" i="5"/>
  <c r="Z78" i="8"/>
  <c r="Z73" i="8"/>
  <c r="Z74" i="8"/>
  <c r="Z75" i="8"/>
  <c r="Z76" i="8"/>
  <c r="Z77" i="8"/>
  <c r="Z79" i="8"/>
  <c r="Z54" i="11"/>
  <c r="X13" i="15"/>
  <c r="X14" i="15"/>
  <c r="X7" i="9"/>
  <c r="D29" i="5"/>
  <c r="C29" i="5"/>
  <c r="D28" i="5"/>
  <c r="C28" i="5"/>
  <c r="F35" i="5"/>
  <c r="H35" i="5"/>
  <c r="AH26" i="15"/>
  <c r="AJ78" i="8"/>
  <c r="AJ73" i="8"/>
  <c r="AJ74" i="8"/>
  <c r="AJ75" i="8"/>
  <c r="AJ76" i="8"/>
  <c r="AJ77" i="8"/>
  <c r="AJ79" i="8"/>
  <c r="AJ54" i="11"/>
  <c r="AH31" i="15"/>
  <c r="D36" i="5"/>
  <c r="C36" i="5"/>
  <c r="F36" i="5"/>
  <c r="H36" i="5"/>
  <c r="AH18" i="15"/>
  <c r="AH32" i="15"/>
  <c r="N10" i="9"/>
  <c r="D17" i="5"/>
  <c r="N16" i="9"/>
  <c r="N11" i="9"/>
  <c r="N12" i="9"/>
  <c r="N13"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J60" i="11"/>
  <c r="AH46" i="15"/>
  <c r="AH47" i="15"/>
  <c r="AH48" i="15"/>
  <c r="AH49" i="15"/>
  <c r="AH93" i="15"/>
  <c r="X26" i="15"/>
  <c r="X31" i="15"/>
  <c r="X18" i="15"/>
  <c r="X32" i="15"/>
  <c r="X34" i="15"/>
  <c r="X35" i="15"/>
  <c r="X37" i="15"/>
  <c r="X38" i="15"/>
  <c r="X39" i="15"/>
  <c r="X40" i="15"/>
  <c r="X42" i="15"/>
  <c r="X43" i="15"/>
  <c r="X24" i="15"/>
  <c r="X30" i="15"/>
  <c r="Z60" i="11"/>
  <c r="X46" i="15"/>
  <c r="X47" i="15"/>
  <c r="X48" i="15"/>
  <c r="X49" i="15"/>
  <c r="X93" i="15"/>
  <c r="AH78" i="15"/>
  <c r="AH94" i="15"/>
  <c r="X94" i="15"/>
  <c r="AH79" i="15"/>
  <c r="AH87" i="15"/>
  <c r="X87" i="15"/>
  <c r="AH72" i="15"/>
  <c r="N26" i="15"/>
  <c r="N31" i="15"/>
  <c r="N18" i="15"/>
  <c r="N32" i="15"/>
  <c r="C24" i="5"/>
  <c r="E17" i="5"/>
  <c r="N16" i="15"/>
  <c r="N19" i="15"/>
  <c r="N20" i="15"/>
  <c r="N21" i="15"/>
  <c r="N34" i="15"/>
  <c r="E19" i="5"/>
  <c r="N35" i="15"/>
  <c r="E20" i="5"/>
  <c r="N37" i="15"/>
  <c r="E21" i="5"/>
  <c r="N38" i="15"/>
  <c r="E22" i="5"/>
  <c r="N39" i="15"/>
  <c r="E18" i="5"/>
  <c r="N40" i="15"/>
  <c r="E23" i="5"/>
  <c r="N42" i="15"/>
  <c r="N43" i="15"/>
  <c r="N30" i="15"/>
  <c r="P60" i="11"/>
  <c r="N46" i="15"/>
  <c r="N47" i="15"/>
  <c r="N48" i="15"/>
  <c r="N49" i="15"/>
  <c r="N93" i="15"/>
  <c r="X78" i="15"/>
  <c r="N94" i="15"/>
  <c r="X79" i="15"/>
  <c r="N87" i="15"/>
  <c r="X72" i="15"/>
  <c r="J78" i="8"/>
  <c r="H16" i="9"/>
  <c r="H42" i="15"/>
  <c r="J73" i="8"/>
  <c r="H7" i="9"/>
  <c r="H31" i="15"/>
  <c r="J76" i="8"/>
  <c r="H10" i="9"/>
  <c r="H34" i="15"/>
  <c r="J74" i="8"/>
  <c r="H11" i="9"/>
  <c r="H35" i="15"/>
  <c r="J75" i="8"/>
  <c r="H12" i="9"/>
  <c r="H37" i="15"/>
  <c r="H13" i="9"/>
  <c r="H38" i="15"/>
  <c r="H43" i="15"/>
  <c r="J77" i="8"/>
  <c r="J79" i="8"/>
  <c r="J54" i="11"/>
  <c r="H14" i="15"/>
  <c r="H30" i="15"/>
  <c r="J60" i="11"/>
  <c r="H46" i="15"/>
  <c r="H47" i="15"/>
  <c r="H48" i="15"/>
  <c r="H49" i="15"/>
  <c r="H93" i="15"/>
  <c r="N78" i="15"/>
  <c r="H94" i="15"/>
  <c r="N79" i="15"/>
  <c r="H87" i="15"/>
  <c r="N72" i="15"/>
  <c r="AH13" i="9"/>
  <c r="H78" i="8"/>
  <c r="H73" i="8"/>
  <c r="H74" i="8"/>
  <c r="H75" i="8"/>
  <c r="H76" i="8"/>
  <c r="H77" i="8"/>
  <c r="H79" i="8"/>
  <c r="I78" i="8"/>
  <c r="I73" i="8"/>
  <c r="I74" i="8"/>
  <c r="I75" i="8"/>
  <c r="I76" i="8"/>
  <c r="I77" i="8"/>
  <c r="I79" i="8"/>
  <c r="K78" i="8"/>
  <c r="K73" i="8"/>
  <c r="K74" i="8"/>
  <c r="K75" i="8"/>
  <c r="K76" i="8"/>
  <c r="K77" i="8"/>
  <c r="K79" i="8"/>
  <c r="L78" i="8"/>
  <c r="L73" i="8"/>
  <c r="L74" i="8"/>
  <c r="L75" i="8"/>
  <c r="L76" i="8"/>
  <c r="L77" i="8"/>
  <c r="L79" i="8"/>
  <c r="M78" i="8"/>
  <c r="M73" i="8"/>
  <c r="M74" i="8"/>
  <c r="M75" i="8"/>
  <c r="M76" i="8"/>
  <c r="M77" i="8"/>
  <c r="M79" i="8"/>
  <c r="N78" i="8"/>
  <c r="N73" i="8"/>
  <c r="N74" i="8"/>
  <c r="N75" i="8"/>
  <c r="N76" i="8"/>
  <c r="N77" i="8"/>
  <c r="N79" i="8"/>
  <c r="O78" i="8"/>
  <c r="O73" i="8"/>
  <c r="O74" i="8"/>
  <c r="O75" i="8"/>
  <c r="O76" i="8"/>
  <c r="O77" i="8"/>
  <c r="O79" i="8"/>
  <c r="Q78" i="8"/>
  <c r="Q73" i="8"/>
  <c r="Q74" i="8"/>
  <c r="Q75" i="8"/>
  <c r="Q76" i="8"/>
  <c r="Q77" i="8"/>
  <c r="Q79" i="8"/>
  <c r="R78" i="8"/>
  <c r="R73" i="8"/>
  <c r="R74" i="8"/>
  <c r="R75" i="8"/>
  <c r="R76" i="8"/>
  <c r="R77" i="8"/>
  <c r="R79" i="8"/>
  <c r="S78" i="8"/>
  <c r="S73" i="8"/>
  <c r="S74" i="8"/>
  <c r="S75" i="8"/>
  <c r="S76" i="8"/>
  <c r="S77" i="8"/>
  <c r="S79" i="8"/>
  <c r="T78" i="8"/>
  <c r="T73" i="8"/>
  <c r="T74" i="8"/>
  <c r="T75" i="8"/>
  <c r="T76" i="8"/>
  <c r="T77" i="8"/>
  <c r="T79" i="8"/>
  <c r="U78" i="8"/>
  <c r="U73" i="8"/>
  <c r="U74" i="8"/>
  <c r="U75" i="8"/>
  <c r="U76" i="8"/>
  <c r="U77" i="8"/>
  <c r="U79" i="8"/>
  <c r="V78" i="8"/>
  <c r="V73" i="8"/>
  <c r="V74" i="8"/>
  <c r="V75" i="8"/>
  <c r="V76" i="8"/>
  <c r="V77" i="8"/>
  <c r="V79" i="8"/>
  <c r="W78" i="8"/>
  <c r="W73" i="8"/>
  <c r="W74" i="8"/>
  <c r="W75" i="8"/>
  <c r="W76" i="8"/>
  <c r="W77" i="8"/>
  <c r="W79" i="8"/>
  <c r="X78" i="8"/>
  <c r="X73" i="8"/>
  <c r="X74" i="8"/>
  <c r="X75" i="8"/>
  <c r="X76" i="8"/>
  <c r="X77" i="8"/>
  <c r="X79" i="8"/>
  <c r="Y78" i="8"/>
  <c r="Y73" i="8"/>
  <c r="Y74" i="8"/>
  <c r="Y75" i="8"/>
  <c r="Y76" i="8"/>
  <c r="Y77" i="8"/>
  <c r="Y79" i="8"/>
  <c r="AA78" i="8"/>
  <c r="AA73" i="8"/>
  <c r="AA74" i="8"/>
  <c r="AA75" i="8"/>
  <c r="AA76" i="8"/>
  <c r="AA77" i="8"/>
  <c r="AA79" i="8"/>
  <c r="AB78" i="8"/>
  <c r="AB73" i="8"/>
  <c r="AB74" i="8"/>
  <c r="AB75" i="8"/>
  <c r="AB76" i="8"/>
  <c r="AB77" i="8"/>
  <c r="AB79" i="8"/>
  <c r="AC78" i="8"/>
  <c r="AC73" i="8"/>
  <c r="AC74" i="8"/>
  <c r="AC75" i="8"/>
  <c r="AC76" i="8"/>
  <c r="AC77" i="8"/>
  <c r="AC79" i="8"/>
  <c r="AD78" i="8"/>
  <c r="AD73" i="8"/>
  <c r="AD74" i="8"/>
  <c r="AD75" i="8"/>
  <c r="AD76" i="8"/>
  <c r="AD77" i="8"/>
  <c r="AD79" i="8"/>
  <c r="AE78" i="8"/>
  <c r="AE73" i="8"/>
  <c r="AE74" i="8"/>
  <c r="AE75" i="8"/>
  <c r="AE76" i="8"/>
  <c r="AE77" i="8"/>
  <c r="AE79" i="8"/>
  <c r="AF78" i="8"/>
  <c r="AF73" i="8"/>
  <c r="AF74" i="8"/>
  <c r="AF75" i="8"/>
  <c r="AF76" i="8"/>
  <c r="AF77" i="8"/>
  <c r="AF79" i="8"/>
  <c r="AG78" i="8"/>
  <c r="AG73" i="8"/>
  <c r="AG74" i="8"/>
  <c r="AG75" i="8"/>
  <c r="AG76" i="8"/>
  <c r="AG77" i="8"/>
  <c r="AG79" i="8"/>
  <c r="AH78" i="8"/>
  <c r="AH73" i="8"/>
  <c r="AH74" i="8"/>
  <c r="AH75" i="8"/>
  <c r="AH76" i="8"/>
  <c r="AH77" i="8"/>
  <c r="AH79" i="8"/>
  <c r="AI78" i="8"/>
  <c r="AI73" i="8"/>
  <c r="AI74" i="8"/>
  <c r="AI75" i="8"/>
  <c r="AI76" i="8"/>
  <c r="AI77" i="8"/>
  <c r="AI79" i="8"/>
  <c r="G78" i="8"/>
  <c r="G73" i="8"/>
  <c r="G74" i="8"/>
  <c r="G75" i="8"/>
  <c r="G76" i="8"/>
  <c r="G77"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H16" i="15"/>
  <c r="Z13" i="15"/>
  <c r="Z14" i="15"/>
  <c r="N8" i="9"/>
  <c r="N14" i="9"/>
  <c r="X8"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<sst xmlns="http://schemas.openxmlformats.org/spreadsheetml/2006/main" count="1326" uniqueCount="760">
  <si>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</si>
  <si>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</si>
  <si>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</si>
  <si>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</si>
  <si>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</si>
  <si>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</si>
  <si>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</si>
  <si>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</si>
  <si>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</si>
  <si>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</si>
  <si>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</si>
  <si>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</si>
  <si>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</si>
  <si>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</si>
  <si>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</si>
  <si>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</si>
  <si>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</si>
  <si>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</si>
  <si>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</si>
  <si>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</si>
  <si>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</si>
  <si>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</si>
  <si>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</si>
  <si>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</si>
  <si>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</si>
  <si>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</si>
  <si>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</si>
  <si>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</si>
  <si>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</si>
  <si>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</si>
  <si>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</si>
  <si>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</si>
  <si>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</si>
  <si>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</si>
  <si>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</si>
  <si>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</si>
  <si>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</si>
  <si>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</si>
  <si>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</si>
  <si>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</si>
  <si>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</si>
  <si>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</si>
  <si>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</si>
  <si>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</si>
  <si>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</si>
  <si>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</si>
  <si>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</si>
  <si>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</si>
  <si>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</si>
  <si>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</si>
  <si>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</si>
  <si>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</si>
  <si>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</si>
  <si>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</si>
  <si>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</si>
  <si>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</si>
  <si>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</si>
  <si>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</si>
  <si>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</si>
  <si>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</si>
  <si>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</si>
  <si>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</si>
  <si>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</si>
  <si>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</si>
  <si>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</si>
  <si>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</si>
  <si>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</si>
  <si>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</si>
  <si>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</si>
  <si>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</si>
  <si>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</si>
  <si>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</si>
  <si>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</si>
  <si>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</si>
  <si>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</si>
  <si>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</si>
  <si>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</si>
  <si>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</si>
  <si>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</si>
  <si>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</si>
  <si>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</si>
  <si>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</si>
  <si>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</si>
  <si>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</si>
  <si>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</si>
  <si>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</si>
  <si>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</si>
  <si>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</si>
  <si>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</si>
  <si>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</si>
  <si>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</si>
  <si>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</si>
  <si>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</si>
  <si>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</si>
  <si>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</si>
  <si>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</si>
  <si>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</si>
  <si>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</si>
  <si>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</si>
  <si>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</si>
  <si>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</si>
  <si>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</si>
  <si>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</si>
  <si>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</si>
  <si>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</si>
  <si>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</si>
  <si>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</si>
  <si>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</si>
  <si>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</si>
  <si>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</si>
  <si>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</si>
  <si>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</si>
  <si>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</si>
  <si>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</si>
  <si>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</si>
  <si>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</si>
  <si>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</si>
  <si>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</si>
  <si>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</si>
  <si>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</si>
  <si>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</si>
  <si>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</si>
  <si>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</si>
  <si>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</si>
  <si>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</si>
  <si>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</si>
  <si>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</si>
  <si>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</si>
  <si>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</si>
  <si>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</si>
  <si>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</si>
  <si>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</si>
  <si>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</si>
  <si>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</si>
  <si>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</si>
  <si>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</si>
  <si>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</si>
  <si>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</si>
  <si>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</si>
  <si>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</si>
  <si>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</si>
  <si>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</si>
  <si>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</si>
  <si>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</si>
  <si>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</si>
  <si>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</si>
  <si>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</si>
  <si>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</si>
  <si>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</si>
  <si>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</si>
  <si>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</si>
  <si>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</si>
  <si>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</si>
  <si>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</si>
  <si>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</si>
  <si>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</si>
  <si>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</si>
  <si>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</si>
  <si>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</si>
  <si>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</si>
  <si>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</si>
  <si>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</si>
  <si>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</si>
  <si>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</si>
  <si>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</si>
  <si>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</si>
  <si>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</si>
  <si>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</si>
  <si>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</si>
  <si>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</si>
  <si>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</si>
  <si>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</si>
  <si>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</si>
  <si>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</si>
  <si>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</si>
  <si>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</si>
  <si>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</si>
  <si>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</si>
  <si>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</si>
  <si>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</si>
  <si>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</si>
  <si>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</si>
  <si>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</si>
  <si>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</si>
  <si>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</si>
  <si>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</si>
  <si>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</si>
  <si>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</si>
  <si>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</si>
  <si>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</si>
  <si>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</si>
  <si>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</si>
  <si>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</si>
  <si>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</si>
  <si>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</si>
  <si>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</si>
  <si>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</si>
  <si>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</si>
  <si>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</si>
  <si>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</si>
  <si>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</si>
  <si>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</si>
  <si>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</si>
  <si>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</si>
  <si>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</si>
  <si>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</si>
  <si>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</si>
  <si>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</si>
  <si>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</si>
  <si>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</si>
  <si>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</si>
  <si>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</si>
  <si>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</si>
  <si>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</si>
  <si>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</si>
  <si>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</si>
  <si>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</si>
  <si>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</si>
  <si>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</si>
  <si>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</si>
  <si>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</si>
  <si>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</si>
  <si>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</si>
  <si>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</si>
  <si>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</si>
  <si>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</si>
  <si>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</si>
  <si>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</si>
  <si>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</si>
  <si>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</si>
  <si>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</si>
  <si>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</si>
  <si>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</si>
  <si>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</si>
  <si>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</si>
  <si>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</si>
  <si>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</si>
  <si>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</si>
  <si>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</si>
  <si>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</si>
  <si>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</si>
  <si>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</si>
  <si>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</si>
  <si>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</si>
  <si>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</si>
  <si>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</si>
  <si>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</si>
  <si>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</si>
  <si>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</si>
  <si>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</si>
  <si>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</si>
  <si>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</si>
  <si>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</si>
  <si>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</si>
  <si>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</si>
  <si>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</si>
  <si>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</si>
  <si>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</si>
  <si>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</si>
  <si>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</si>
  <si>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</si>
  <si>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</si>
  <si>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</si>
  <si>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</si>
  <si>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</si>
  <si>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</si>
  <si>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</si>
  <si>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</si>
  <si>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</si>
  <si>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</si>
  <si>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</si>
  <si>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</si>
  <si>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</si>
  <si>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</si>
  <si>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</si>
  <si>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</si>
  <si>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</si>
  <si>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</si>
  <si>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</si>
  <si>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</si>
  <si>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</si>
  <si>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</si>
  <si>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</si>
  <si>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</si>
  <si>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</si>
  <si>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</si>
  <si>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</si>
  <si>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</si>
  <si>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</si>
  <si>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</si>
  <si>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</si>
  <si>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</si>
  <si>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</si>
  <si>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</si>
  <si>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</si>
  <si>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</si>
  <si>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</si>
  <si>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</si>
  <si>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</si>
  <si>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</si>
  <si>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</si>
  <si>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</si>
  <si>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</si>
  <si>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</si>
  <si>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</si>
  <si>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</si>
  <si>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</si>
  <si>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</si>
  <si>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</si>
  <si>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</si>
  <si>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</si>
  <si>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</si>
  <si>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</si>
  <si>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</si>
  <si>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</si>
  <si>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</si>
  <si>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</si>
  <si>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</si>
  <si>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</si>
  <si>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</si>
  <si>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</si>
  <si>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</si>
  <si>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</si>
  <si>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</si>
  <si>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</si>
  <si>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</si>
  <si>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</si>
  <si>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</si>
  <si>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</si>
  <si>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</si>
  <si>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</si>
  <si>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</si>
  <si>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</si>
  <si>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</si>
  <si>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</si>
  <si>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</si>
  <si>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</si>
  <si>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</si>
  <si>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</si>
  <si>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</si>
  <si>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</si>
  <si>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</si>
  <si>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</si>
  <si>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</si>
  <si>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</si>
  <si>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</si>
  <si>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</si>
  <si>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</si>
  <si>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</si>
  <si>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</si>
  <si>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</si>
  <si>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</si>
  <si>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</si>
  <si>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</si>
  <si>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</si>
  <si>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</si>
  <si>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</si>
  <si>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</si>
  <si>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</si>
  <si>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</si>
  <si>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</si>
  <si>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</si>
  <si>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</si>
  <si>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</si>
  <si>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</si>
  <si>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</si>
  <si>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</si>
  <si>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</si>
  <si>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</si>
  <si>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</si>
  <si>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</si>
  <si>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</si>
  <si>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</si>
  <si>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</si>
  <si>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</si>
  <si>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</si>
  <si>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</si>
  <si>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</si>
  <si>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</si>
  <si>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</si>
  <si>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</si>
  <si>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</si>
  <si>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</si>
  <si>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</si>
  <si>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</si>
  <si>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</si>
  <si>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</si>
  <si>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</si>
  <si>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</si>
  <si>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</si>
  <si>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</si>
  <si>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</si>
  <si>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</si>
  <si>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</si>
  <si>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</si>
  <si>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</si>
  <si>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</si>
  <si>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</si>
  <si>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</si>
  <si>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</si>
  <si>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</si>
  <si>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</si>
  <si>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</si>
  <si>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</si>
  <si>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</si>
  <si>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</si>
  <si>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</si>
  <si>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</si>
  <si>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</si>
  <si>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</si>
  <si>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</si>
  <si>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</si>
  <si>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</si>
  <si>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</si>
  <si>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</si>
  <si>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</si>
  <si>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</si>
  <si>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</si>
  <si>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</si>
  <si>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</si>
  <si>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</si>
  <si>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</si>
  <si>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</si>
  <si>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</si>
  <si>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</si>
  <si>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</si>
  <si>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</si>
  <si>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</si>
  <si>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</si>
  <si>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</si>
  <si>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</si>
  <si>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</si>
  <si>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</si>
  <si>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</si>
  <si>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</si>
  <si>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</si>
  <si>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</si>
  <si>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</si>
  <si>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</si>
  <si>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</si>
  <si>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</si>
  <si>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</si>
  <si>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</si>
  <si>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</si>
  <si>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</si>
  <si>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</si>
  <si>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</si>
  <si>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</si>
  <si>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</si>
  <si>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</si>
  <si>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</si>
  <si>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</si>
  <si>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</si>
  <si>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</si>
  <si>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</si>
  <si>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</si>
  <si>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</si>
  <si>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</si>
  <si>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</si>
  <si>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</si>
  <si>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</si>
  <si>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</si>
  <si>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</si>
  <si>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</si>
  <si>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</si>
  <si>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</si>
  <si>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</si>
  <si>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</si>
  <si>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</si>
  <si>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</si>
  <si>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</si>
  <si>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</si>
  <si>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</si>
  <si>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</si>
  <si>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</si>
  <si>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</si>
  <si>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</si>
  <si>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</si>
  <si>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</si>
  <si>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</si>
  <si>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</si>
  <si>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</si>
  <si>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</si>
  <si>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</si>
  <si>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</si>
  <si>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</si>
  <si>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</si>
  <si>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</si>
  <si>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</si>
  <si>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</si>
  <si>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</si>
  <si>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</si>
  <si>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</si>
  <si>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</si>
  <si>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</si>
  <si>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</si>
  <si>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</si>
  <si>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</si>
  <si>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</si>
  <si>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</si>
  <si>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</si>
  <si>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</si>
  <si>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</si>
  <si>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</si>
  <si>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</si>
  <si>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</si>
  <si>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</si>
  <si>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</si>
  <si>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</si>
  <si>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</si>
  <si>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</si>
  <si>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</si>
  <si>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</si>
  <si>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</si>
  <si>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</si>
  <si>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</si>
  <si>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</si>
  <si>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</si>
  <si>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</si>
  <si>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</si>
  <si>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</si>
  <si>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</si>
  <si>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</si>
  <si>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</si>
  <si>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</si>
  <si>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</si>
  <si>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</si>
  <si>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</si>
  <si>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</si>
  <si>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</si>
  <si>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</si>
  <si>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</si>
  <si>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</si>
  <si>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</si>
  <si>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</si>
  <si>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</si>
  <si>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</si>
  <si>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</si>
  <si>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</si>
  <si>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</si>
  <si>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</si>
  <si>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</si>
  <si>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</si>
  <si>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</si>
  <si>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</si>
  <si>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</si>
  <si>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</si>
  <si>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</si>
  <si>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</si>
  <si>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</si>
  <si>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</si>
  <si>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</si>
  <si>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</si>
  <si>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</si>
  <si>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</si>
  <si>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</si>
  <si>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</si>
  <si>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</si>
  <si>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</si>
  <si>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</si>
  <si>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</si>
  <si>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</si>
  <si>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</si>
  <si>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</si>
  <si>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</si>
  <si>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</si>
  <si>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</si>
  <si>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</si>
  <si>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</si>
  <si>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</si>
  <si>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</si>
  <si>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</si>
  <si>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</si>
  <si>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</si>
  <si>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</si>
  <si>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</si>
  <si>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</si>
  <si>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</si>
  <si>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</si>
  <si>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</si>
  <si>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</si>
  <si>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</si>
  <si>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</si>
  <si>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</si>
  <si>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</si>
  <si>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</si>
  <si>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</si>
  <si>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</si>
  <si>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</si>
  <si>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</si>
  <si>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</si>
  <si>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</si>
  <si>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</si>
  <si>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</si>
  <si>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</si>
  <si>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</si>
  <si>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</si>
  <si>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</si>
  <si>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</si>
  <si>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</si>
  <si>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</si>
  <si>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</si>
  <si>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</si>
  <si>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</si>
  <si>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</si>
  <si>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</si>
  <si>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</si>
  <si>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</si>
  <si>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</si>
  <si>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</si>
  <si>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</si>
  <si>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</si>
  <si>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</si>
  <si>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</si>
  <si>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</si>
  <si>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</si>
  <si>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</si>
  <si>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</si>
  <si>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</si>
  <si>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</si>
  <si>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</si>
  <si>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</si>
  <si>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</si>
  <si>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</si>
  <si>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</si>
  <si>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</si>
  <si>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</si>
  <si>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</si>
  <si>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</si>
  <si>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</si>
  <si>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</si>
  <si>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</si>
  <si>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</si>
  <si>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</si>
  <si>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</si>
  <si>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</si>
  <si>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</si>
  <si>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</si>
  <si>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</si>
  <si>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</si>
  <si>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</si>
  <si>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</si>
  <si>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</si>
  <si>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</si>
  <si>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</si>
  <si>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</si>
  <si>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</si>
  <si>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</si>
  <si>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</si>
  <si>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</si>
  <si>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</si>
  <si>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</si>
  <si>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</si>
  <si>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</si>
  <si>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</si>
  <si>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</si>
  <si>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</si>
  <si>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</si>
  <si>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</si>
  <si>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</si>
  <si>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</si>
  <si>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</si>
  <si>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</si>
  <si>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</si>
  <si>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</si>
  <si>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</si>
  <si>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</si>
  <si>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</si>
  <si>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</si>
  <si>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</si>
  <si>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</si>
  <si>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</si>
  <si>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</si>
  <si>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</si>
  <si>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</si>
  <si>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</si>
  <si>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</si>
  <si>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</si>
  <si>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</si>
  <si>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</si>
  <si>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</si>
  <si>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</si>
  <si>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</si>
  <si>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</si>
  <si>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</si>
  <si>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</si>
  <si>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</si>
  <si>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</si>
  <si>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</si>
  <si>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</si>
  <si>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</si>
  <si>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</si>
  <si>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</si>
  <si>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</si>
  <si>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</si>
  <si>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</si>
  <si>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</si>
  <si>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</si>
  <si>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</si>
  <si>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</si>
  <si>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</si>
  <si>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</si>
  <si>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</si>
  <si>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</si>
  <si>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</si>
  <si>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</si>
  <si>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</si>
  <si>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</si>
  <si>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</si>
  <si>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</si>
  <si>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</si>
  <si>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</si>
  <si>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</si>
  <si>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</si>
  <si>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</si>
  <si>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</si>
  <si>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</si>
  <si>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</si>
  <si>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</si>
  <si>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</si>
  <si>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</si>
  <si>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</si>
  <si>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</si>
  <si>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</si>
  <si>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</si>
  <si>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</si>
  <si>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</si>
  <si>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</si>
  <si>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</si>
  <si>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</si>
  <si>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</si>
  <si>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</si>
  <si>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</si>
  <si>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</si>
  <si>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</si>
  <si>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</si>
  <si>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</si>
  <si>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</si>
  <si>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</si>
  <si>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</si>
  <si>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</si>
  <si>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</si>
  <si>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</si>
  <si>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</si>
  <si>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</si>
  <si>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</si>
  <si>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</si>
  <si>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</si>
  <si>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</si>
  <si>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</si>
  <si>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</si>
  <si>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</si>
  <si>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</si>
  <si>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</si>
  <si>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Total Electricity Generation by Fuel by computation for Nevada</t>
  </si>
  <si>
    <t>Contribution of Nevada</t>
  </si>
  <si>
    <t>Proportion for Nevada</t>
  </si>
  <si>
    <t>Proportion for solar</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</si>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</sst>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sz val="10"/>
      <name val="Verdana"/>
    </font>
  </fonts>
  <fills count="11">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C0C0"/>
        <bgColor rgb="FF000000"/>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30">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2">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10" borderId="26" xfId="0" applyFont="1" applyFill="1" applyBorder="1"/>
    <xf numFmtId="0" fontId="0" fillId="2" borderId="0" xfId="0" applyFill="1"/>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30">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2349192"/>
        <c:axId val="2112352296"/>
      </c:lineChart>
      <c:catAx>
        <c:axId val="21123491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2352296"/>
        <c:crosses val="autoZero"/>
        <c:auto val="1"/>
        <c:lblAlgn val="ctr"/>
        <c:lblOffset val="100"/>
        <c:noMultiLvlLbl val="0"/>
      </c:catAx>
      <c:valAx>
        <c:axId val="211235229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234919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07689400"/>
        <c:axId val="2107692456"/>
      </c:lineChart>
      <c:catAx>
        <c:axId val="21076894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7692456"/>
        <c:crosses val="autoZero"/>
        <c:auto val="1"/>
        <c:lblAlgn val="ctr"/>
        <c:lblOffset val="100"/>
        <c:noMultiLvlLbl val="0"/>
      </c:catAx>
      <c:valAx>
        <c:axId val="2107692456"/>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76894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2"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6"/>
      <c r="B1" s="536"/>
      <c r="C1" s="536"/>
      <c r="D1" s="536"/>
      <c r="E1" s="536"/>
      <c r="F1" s="536"/>
      <c r="G1" s="536"/>
      <c r="H1" s="536"/>
      <c r="I1" s="536"/>
      <c r="J1" s="536"/>
      <c r="K1" s="536"/>
      <c r="L1" s="536"/>
      <c r="M1" s="536"/>
      <c r="N1" s="536"/>
      <c r="O1" s="536"/>
      <c r="P1" s="536"/>
      <c r="Q1" s="536"/>
      <c r="R1" s="536"/>
      <c r="S1" s="536"/>
      <c r="T1" s="536"/>
    </row>
    <row r="2" spans="1:20" ht="113.25" customHeight="1">
      <c r="A2" s="536"/>
      <c r="B2" s="536"/>
      <c r="C2" s="536"/>
      <c r="D2" s="536"/>
      <c r="E2" s="536"/>
      <c r="F2" s="536"/>
      <c r="G2" s="536"/>
      <c r="H2" s="536"/>
      <c r="I2" s="536"/>
      <c r="J2" s="536"/>
      <c r="K2" s="536"/>
      <c r="L2" s="536"/>
      <c r="M2" s="536"/>
      <c r="N2" s="536"/>
      <c r="O2" s="536"/>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0.84736494414905605</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524">
        <v>0.2</v>
      </c>
      <c r="D11" s="125">
        <f>'Output - Jobs vs Yr (BAU)'!N18/'Output -Jobs vs Yr'!N14</f>
        <v>0.12547653130079298</v>
      </c>
      <c r="E11" s="497">
        <f>(7.7/3)^(1/6)</f>
        <v>1.1701141873017888</v>
      </c>
      <c r="F11" s="109"/>
      <c r="G11" s="494">
        <f>(12.5/3)^(1/6)</f>
        <v>1.2685223586294079</v>
      </c>
      <c r="H11"/>
      <c r="I11"/>
      <c r="J11"/>
      <c r="K11"/>
      <c r="L11"/>
      <c r="M11" t="s">
        <v>0</v>
      </c>
      <c r="N11" t="s">
        <v>0</v>
      </c>
      <c r="O11" s="111" t="s">
        <v>0</v>
      </c>
      <c r="P11" s="31" t="s">
        <v>0</v>
      </c>
    </row>
    <row r="12" spans="1:20" ht="15" thickBot="1">
      <c r="B12" t="s">
        <v>380</v>
      </c>
      <c r="C12" s="209">
        <v>0.3</v>
      </c>
      <c r="D12" s="125">
        <f>'Output - Jobs vs Yr (BAU)'!X18/'Output -Jobs vs Yr'!X14</f>
        <v>0.16162763494583263</v>
      </c>
      <c r="E12" s="497">
        <f>(D12/D11)^(1/10)</f>
        <v>1.0256408533799588</v>
      </c>
      <c r="F12" s="109"/>
      <c r="G12" s="495">
        <f>(C12/C11)^(1/10)</f>
        <v>1.0413797439924106</v>
      </c>
      <c r="H12"/>
      <c r="I12"/>
      <c r="J12"/>
      <c r="K12"/>
      <c r="L12"/>
      <c r="M12" t="s">
        <v>0</v>
      </c>
      <c r="N12" t="s">
        <v>0</v>
      </c>
      <c r="O12" s="111" t="s">
        <v>0</v>
      </c>
      <c r="P12" s="31" t="s">
        <v>0</v>
      </c>
    </row>
    <row r="13" spans="1:20" ht="15" thickBot="1">
      <c r="B13" t="s">
        <v>577</v>
      </c>
      <c r="C13" s="524">
        <v>0.4</v>
      </c>
      <c r="D13" s="172">
        <f>'Output - Jobs vs Yr (BAU)'!AH18/'Output -Jobs vs Yr'!AH14</f>
        <v>0.21808199959015917</v>
      </c>
      <c r="E13" s="497">
        <f>(D13/D12)^(1/10)</f>
        <v>1.0304108433167789</v>
      </c>
      <c r="F13" s="109"/>
      <c r="G13" s="496">
        <f>(C13/C12)^(1/10)</f>
        <v>1.0291860089647606</v>
      </c>
      <c r="H13"/>
      <c r="I13"/>
      <c r="J13"/>
      <c r="K13"/>
      <c r="L13"/>
      <c r="M13"/>
      <c r="O13" s="111"/>
      <c r="P13" s="31"/>
    </row>
    <row r="14" spans="1:20">
      <c r="B14" t="s">
        <v>578</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1.2841352047698703E-5</v>
      </c>
      <c r="D17" s="126">
        <f>'Output - Jobs vs Yr (BAU)'!N10/'Output -Jobs vs Yr'!$N$14</f>
        <v>8.0564415607878411E-6</v>
      </c>
      <c r="E17" s="105">
        <f t="shared" ref="E17:E23" si="0">IF($C$24&lt;&gt;0,C17/$C$24,0)</f>
        <v>6.4206760238493524E-5</v>
      </c>
      <c r="F17" s="172">
        <f>C17*$C$12/$C$11</f>
        <v>1.9262028071548053E-5</v>
      </c>
      <c r="G17" s="105">
        <f>'Output - Jobs vs Yr (BAU)'!X10/'Output - Jobs vs Yr (BAU)'!X24</f>
        <v>6.2795315497766748E-6</v>
      </c>
      <c r="H17" s="105">
        <f t="shared" ref="H17:H23" si="1">G17/$G$24</f>
        <v>3.8511764429890892E-5</v>
      </c>
      <c r="I17" s="172">
        <f>F17*$C$13/$C$12</f>
        <v>2.5682704095397406E-5</v>
      </c>
      <c r="J17" s="105">
        <f>'Output - Jobs vs Yr (BAU)'!AH10/'Output - Jobs vs Yr (BAU)'!AH24</f>
        <v>6.7403818408159884E-6</v>
      </c>
      <c r="K17" s="105">
        <f>J17/$J$24</f>
        <v>3.0584158162603935E-5</v>
      </c>
      <c r="L17" s="105"/>
      <c r="M17" s="45" t="s">
        <v>259</v>
      </c>
      <c r="N17" s="86">
        <f>HLOOKUP(N16,'Output -Jobs vs Yr'!$H$175:$AH$184,9)</f>
        <v>707.97312153830626</v>
      </c>
      <c r="O17" s="86">
        <f>HLOOKUP(O16,'Output -Jobs vs Yr'!$H$175:$AH$184,9)</f>
        <v>1906.5461208730449</v>
      </c>
      <c r="P17" s="86">
        <f>HLOOKUP(P16,'Output -Jobs vs Yr'!$H$175:$AH$184,9)</f>
        <v>3087.993478588518</v>
      </c>
      <c r="Q17" s="86">
        <f>HLOOKUP(Q16,'Output -Jobs vs Yr'!$H$175:$AH$184,9)</f>
        <v>1915.7557671738214</v>
      </c>
    </row>
    <row r="18" spans="2:17" ht="15" thickBot="1">
      <c r="B18" s="4" t="s">
        <v>353</v>
      </c>
      <c r="C18" s="195">
        <f>D18*$C$11/$D$11</f>
        <v>3.7952160345902552E-7</v>
      </c>
      <c r="D18" s="126">
        <f>'Output - Jobs vs Yr (BAU)'!N15/'Output -Jobs vs Yr'!$N$14</f>
        <v>2.3810527177876776E-7</v>
      </c>
      <c r="E18" s="105">
        <f t="shared" si="0"/>
        <v>1.8976080172951277E-6</v>
      </c>
      <c r="F18" s="172">
        <f t="shared" ref="F18:F23" si="2">C18*$C$12/$C$11</f>
        <v>5.6928240518853822E-7</v>
      </c>
      <c r="G18" s="105">
        <f>'Output - Jobs vs Yr (BAU)'!X15/'Output - Jobs vs Yr (BAU)'!X24</f>
        <v>1.4484036349829637E-7</v>
      </c>
      <c r="H18" s="105">
        <f t="shared" si="1"/>
        <v>8.88292050891047E-7</v>
      </c>
      <c r="I18" s="172">
        <f t="shared" ref="I18:I24" si="3">F18*$C$13/$C$12</f>
        <v>7.5904320691805103E-7</v>
      </c>
      <c r="J18" s="105">
        <f>'Output - Jobs vs Yr (BAU)'!AH15/'Output - Jobs vs Yr (BAU)'!AH24</f>
        <v>1.1810769861301362E-7</v>
      </c>
      <c r="K18" s="105">
        <f t="shared" ref="K18:K24" si="4">J18/$J$24</f>
        <v>5.359079974858325E-7</v>
      </c>
      <c r="L18" s="105"/>
      <c r="M18" s="46" t="s">
        <v>260</v>
      </c>
      <c r="N18" s="87">
        <f>HLOOKUP(N16,'Output -Jobs vs Yr'!$H$175:$AH$184,10)</f>
        <v>637.17537902511322</v>
      </c>
      <c r="O18" s="87">
        <f>HLOOKUP(O16,'Output -Jobs vs Yr'!$H$175:$AH$184,10)</f>
        <v>1715.8904382032615</v>
      </c>
      <c r="P18" s="87">
        <f>HLOOKUP(P16,'Output -Jobs vs Yr'!$H$175:$AH$184,10)</f>
        <v>2779.1923771713937</v>
      </c>
      <c r="Q18" s="87">
        <f>HLOOKUP(Q16,'Output -Jobs vs Yr'!$H$175:$AH$184,10)</f>
        <v>1724.1790738667696</v>
      </c>
    </row>
    <row r="19" spans="2:17" ht="15" thickBot="1">
      <c r="B19" s="4" t="s">
        <v>354</v>
      </c>
      <c r="C19" s="195">
        <f>D19*$C$11/$D$11</f>
        <v>0.17894449625249428</v>
      </c>
      <c r="D19" s="126">
        <f>'Output - Jobs vs Yr (BAU)'!N11/'Output -Jobs vs Yr'!$N$14</f>
        <v>0.11226667342565365</v>
      </c>
      <c r="E19" s="105">
        <f t="shared" si="0"/>
        <v>0.89472248126247145</v>
      </c>
      <c r="F19" s="172">
        <f t="shared" si="2"/>
        <v>0.26841674437874141</v>
      </c>
      <c r="G19" s="105">
        <f>'Output - Jobs vs Yr (BAU)'!X11/'Output - Jobs vs Yr (BAU)'!X24</f>
        <v>0.14440819653551487</v>
      </c>
      <c r="H19" s="105">
        <f t="shared" si="1"/>
        <v>0.88564161237774519</v>
      </c>
      <c r="I19" s="172">
        <f t="shared" si="3"/>
        <v>0.35788899250498857</v>
      </c>
      <c r="J19" s="105">
        <f>'Output - Jobs vs Yr (BAU)'!AH11/'Output - Jobs vs Yr (BAU)'!AH24</f>
        <v>0.19564529004999601</v>
      </c>
      <c r="K19" s="105">
        <f t="shared" si="4"/>
        <v>0.88773108645328935</v>
      </c>
      <c r="L19" s="105"/>
      <c r="M19" s="46" t="s">
        <v>261</v>
      </c>
      <c r="N19" s="87">
        <f>HLOOKUP(N16,'Output -Jobs vs Yr'!$H$175:$AH$184,8)</f>
        <v>1345.1485005634204</v>
      </c>
      <c r="O19" s="87">
        <f>HLOOKUP(O16,'Output -Jobs vs Yr'!$H$175:$AH$184,8)</f>
        <v>3622.4365590763082</v>
      </c>
      <c r="P19" s="87">
        <f>HLOOKUP(P16,'Output -Jobs vs Yr'!$H$175:$AH$184,8)</f>
        <v>5867.1858557599116</v>
      </c>
      <c r="Q19" s="87">
        <f>HLOOKUP(Q16,'Output -Jobs vs Yr'!$H$175:$AH$184,8)</f>
        <v>3639.9348410405946</v>
      </c>
    </row>
    <row r="20" spans="2:17" ht="15" thickBot="1">
      <c r="B20" s="4" t="s">
        <v>51</v>
      </c>
      <c r="C20" s="195">
        <f>D20*$C$11/$D$11</f>
        <v>3.705660321822029E-7</v>
      </c>
      <c r="D20" s="126">
        <f>'Output - Jobs vs Yr (BAU)'!N12/'Output -Jobs vs Yr'!$N$14</f>
        <v>2.3248670168060416E-7</v>
      </c>
      <c r="E20" s="105">
        <f t="shared" si="0"/>
        <v>1.8528301609110146E-6</v>
      </c>
      <c r="F20" s="172">
        <f t="shared" si="2"/>
        <v>5.5584904827330426E-7</v>
      </c>
      <c r="G20" s="105">
        <f>'Output - Jobs vs Yr (BAU)'!X12/'Output - Jobs vs Yr (BAU)'!X24</f>
        <v>1.1247071486187959E-7</v>
      </c>
      <c r="H20" s="105">
        <f t="shared" si="1"/>
        <v>6.8977210189766134E-7</v>
      </c>
      <c r="I20" s="172">
        <f t="shared" si="3"/>
        <v>7.4113206436440579E-7</v>
      </c>
      <c r="J20" s="105">
        <f>'Output - Jobs vs Yr (BAU)'!AH12/'Output - Jobs vs Yr (BAU)'!AH24</f>
        <v>9.2725999857981155E-8</v>
      </c>
      <c r="K20" s="105">
        <f t="shared" si="4"/>
        <v>4.2073976110213468E-7</v>
      </c>
      <c r="L20" s="105"/>
      <c r="M20" s="47" t="s">
        <v>458</v>
      </c>
      <c r="N20" s="88">
        <f>HLOOKUP(N16,'Output -Jobs vs Yr'!$H$175:$AH$188,11)-HLOOKUP(N16,'Output -Jobs vs Yr'!$H$175:$AH$188,14)</f>
        <v>3285.0308694218184</v>
      </c>
      <c r="O20" s="88">
        <f>HLOOKUP(O16,'Output -Jobs vs Yr'!$H$175:$AH$188,11)-HLOOKUP(O16,'Output -Jobs vs Yr'!$H$175:$AH$188,14)</f>
        <v>28249.859061042334</v>
      </c>
      <c r="P20" s="88">
        <f>HLOOKUP(P16,'Output -Jobs vs Yr'!$H$175:$AH$188,11)-HLOOKUP(P16,'Output -Jobs vs Yr'!$H$175:$AH$188,14)</f>
        <v>72765.075290926121</v>
      </c>
      <c r="Q20" s="88">
        <f>HLOOKUP(Q16,'Output -Jobs vs Yr'!$H$175:$AH$188,11)-HLOOKUP(Q16,'Output -Jobs vs Yr'!$H$175:$AH$188,14)</f>
        <v>31889.793902082929</v>
      </c>
    </row>
    <row r="21" spans="2:17" ht="15" thickBot="1">
      <c r="B21" t="s">
        <v>355</v>
      </c>
      <c r="C21" s="195">
        <f t="shared" ref="C21:C23" si="5">D21*$C$11/$D$11</f>
        <v>2.1040170569631221E-2</v>
      </c>
      <c r="D21" s="126">
        <f>'Output - Jobs vs Yr (BAU)'!N13/'Output -Jobs vs Yr'!$N$14</f>
        <v>1.3200238105271775E-2</v>
      </c>
      <c r="E21" s="105">
        <f t="shared" si="0"/>
        <v>0.10520085284815611</v>
      </c>
      <c r="F21" s="172">
        <f t="shared" si="2"/>
        <v>3.1560255854446828E-2</v>
      </c>
      <c r="G21" s="105">
        <f>'Output - Jobs vs Yr (BAU)'!X13/'Output - Jobs vs Yr (BAU)'!X24</f>
        <v>1.8639489680453612E-2</v>
      </c>
      <c r="H21" s="105">
        <f t="shared" si="1"/>
        <v>0.11431420162106536</v>
      </c>
      <c r="I21" s="172">
        <f t="shared" si="3"/>
        <v>4.2080341139262442E-2</v>
      </c>
      <c r="J21" s="105">
        <f>'Output - Jobs vs Yr (BAU)'!AH13/'Output - Jobs vs Yr (BAU)'!AH24</f>
        <v>2.4735121410394099E-2</v>
      </c>
      <c r="K21" s="105">
        <f t="shared" si="4"/>
        <v>0.11223442280461696</v>
      </c>
      <c r="L21" s="105"/>
      <c r="N21" s="160"/>
    </row>
    <row r="22" spans="2:17" ht="15" thickBot="1">
      <c r="B22" s="4" t="s">
        <v>356</v>
      </c>
      <c r="C22" s="195">
        <f t="shared" si="5"/>
        <v>3.7952160345902552E-7</v>
      </c>
      <c r="D22" s="126">
        <f>'Output - Jobs vs Yr (BAU)'!N14/'Output -Jobs vs Yr'!$N$14</f>
        <v>2.3810527177876776E-7</v>
      </c>
      <c r="E22" s="105">
        <f t="shared" si="0"/>
        <v>1.8976080172951277E-6</v>
      </c>
      <c r="F22" s="172">
        <f t="shared" si="2"/>
        <v>5.6928240518853822E-7</v>
      </c>
      <c r="G22" s="105">
        <f>'Output - Jobs vs Yr (BAU)'!X14/'Output - Jobs vs Yr (BAU)'!X24</f>
        <v>1.4484036349829637E-7</v>
      </c>
      <c r="H22" s="105">
        <f t="shared" si="1"/>
        <v>8.88292050891047E-7</v>
      </c>
      <c r="I22" s="172">
        <f t="shared" si="3"/>
        <v>7.5904320691805103E-7</v>
      </c>
      <c r="J22" s="105">
        <f>'Output - Jobs vs Yr (BAU)'!AH14/'Output - Jobs vs Yr (BAU)'!AH24</f>
        <v>1.1810769861301362E-7</v>
      </c>
      <c r="K22" s="105">
        <f t="shared" si="4"/>
        <v>5.359079974858325E-7</v>
      </c>
      <c r="L22" s="105"/>
      <c r="O22" t="s">
        <v>0</v>
      </c>
    </row>
    <row r="23" spans="2:17" ht="15" thickBot="1">
      <c r="B23" t="s">
        <v>357</v>
      </c>
      <c r="C23" s="195">
        <f t="shared" si="5"/>
        <v>1.3622165876781972E-6</v>
      </c>
      <c r="D23" s="126">
        <f>'Output - Jobs vs Yr (BAU)'!N16/'Output -Jobs vs Yr'!$N$14</f>
        <v>8.5463106151131351E-7</v>
      </c>
      <c r="E23" s="105">
        <f t="shared" si="0"/>
        <v>6.8110829383909866E-6</v>
      </c>
      <c r="F23" s="172">
        <f t="shared" si="2"/>
        <v>2.0433248815172957E-6</v>
      </c>
      <c r="G23" s="105">
        <f>'Output - Jobs vs Yr (BAU)'!X16/'Output - Jobs vs Yr (BAU)'!X24</f>
        <v>5.2306061423390802E-7</v>
      </c>
      <c r="H23" s="105">
        <f t="shared" si="1"/>
        <v>3.2078805557791493E-6</v>
      </c>
      <c r="I23" s="172">
        <f t="shared" si="3"/>
        <v>2.7244331753563945E-6</v>
      </c>
      <c r="J23" s="105">
        <f>'Output - Jobs vs Yr (BAU)'!AH16/'Output - Jobs vs Yr (BAU)'!AH24</f>
        <v>5.3202287235191054E-7</v>
      </c>
      <c r="K23" s="105">
        <f t="shared" si="4"/>
        <v>2.4140281750215887E-6</v>
      </c>
      <c r="L23" s="105"/>
      <c r="M23" s="44"/>
      <c r="N23" s="197"/>
      <c r="O23" t="s">
        <v>0</v>
      </c>
    </row>
    <row r="24" spans="2:17">
      <c r="B24" s="108" t="s">
        <v>369</v>
      </c>
      <c r="C24" s="137">
        <f t="shared" ref="C24:H24" si="6">SUM(C17:C23)</f>
        <v>0.19999999999999998</v>
      </c>
      <c r="D24" s="205">
        <f t="shared" si="6"/>
        <v>0.12547653130079295</v>
      </c>
      <c r="E24" s="200">
        <f t="shared" si="6"/>
        <v>1</v>
      </c>
      <c r="F24" s="200">
        <f t="shared" si="6"/>
        <v>0.3</v>
      </c>
      <c r="G24" s="200">
        <f t="shared" si="6"/>
        <v>0.16305489095957437</v>
      </c>
      <c r="H24" s="105">
        <f t="shared" si="6"/>
        <v>0.99999999999999978</v>
      </c>
      <c r="I24" s="172">
        <f t="shared" si="3"/>
        <v>0.4</v>
      </c>
      <c r="J24" s="105">
        <f>SUM(J17:J23)</f>
        <v>0.22038801280650036</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4.9494401784555137E-2</v>
      </c>
      <c r="D28" s="105">
        <f>('Output - Jobs vs Yr (BAU)'!N8+'Output - Jobs vs Yr (BAU)'!N7)/'Output -Jobs vs Yr'!N14</f>
        <v>4.9494401784555137E-2</v>
      </c>
      <c r="E28" s="136" t="s">
        <v>0</v>
      </c>
      <c r="F28" s="98"/>
      <c r="G28" s="98" t="s">
        <v>0</v>
      </c>
      <c r="H28" s="135" t="s">
        <v>0</v>
      </c>
      <c r="I28" s="135"/>
      <c r="J28" s="135"/>
      <c r="K28" s="135"/>
      <c r="L28" s="135"/>
      <c r="M28"/>
    </row>
    <row r="29" spans="2:17" ht="15" thickBot="1">
      <c r="B29" t="s">
        <v>371</v>
      </c>
      <c r="C29" s="278">
        <f>D29</f>
        <v>3.0179621667646286E-2</v>
      </c>
      <c r="D29" s="105">
        <f>('Output - Jobs vs Yr (BAU)'!X8+'Output - Jobs vs Yr (BAU)'!X7)/'Output -Jobs vs Yr'!X14</f>
        <v>3.0179621667646286E-2</v>
      </c>
      <c r="E29" s="107"/>
      <c r="F29" s="98"/>
      <c r="G29" s="96"/>
      <c r="H29"/>
      <c r="I29"/>
      <c r="J29"/>
      <c r="K29"/>
      <c r="L29"/>
    </row>
    <row r="30" spans="2:17" ht="15" thickBot="1">
      <c r="B30" t="s">
        <v>579</v>
      </c>
      <c r="C30" s="210">
        <f>D30</f>
        <v>2.4759839614469571E-2</v>
      </c>
      <c r="D30" s="105">
        <f>('Output - Jobs vs Yr (BAU)'!AH8+'Output - Jobs vs Yr (BAU)'!AH7)/'Output -Jobs vs Yr'!AH14</f>
        <v>2.4759839614469571E-2</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4.9494401784555137E-2</v>
      </c>
      <c r="D35" s="105">
        <f>'Output - Jobs vs Yr (BAU)'!N7/'Output -Jobs vs Yr'!N14</f>
        <v>4.9494401784555137E-2</v>
      </c>
      <c r="E35" s="203">
        <f>C35</f>
        <v>4.9494401784555137E-2</v>
      </c>
      <c r="F35" s="200">
        <f>C35*$C$29/$C$28</f>
        <v>3.0179621667646286E-2</v>
      </c>
      <c r="G35" s="204">
        <f>'Output - Jobs vs Yr (BAU)'!X7/'Output - Jobs vs Yr (BAU)'!X24</f>
        <v>3.0446123411188058E-2</v>
      </c>
      <c r="H35" s="200">
        <f>F35*$C$30/$C$29</f>
        <v>2.4759839614469571E-2</v>
      </c>
      <c r="I35" s="204">
        <f>'Output - Jobs vs Yr (BAU)'!AH7/'Output - Jobs vs Yr (BAU)'!AH24</f>
        <v>2.5021651765370405E-2</v>
      </c>
      <c r="J35"/>
      <c r="K35"/>
      <c r="L35"/>
    </row>
    <row r="36" spans="1:18" ht="15" thickBot="1">
      <c r="B36" s="4" t="s">
        <v>364</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368</v>
      </c>
      <c r="C37" s="138">
        <f>SUM(C35:C36)+'Output -Jobs vs Yr'!N30/'Output -Jobs vs Yr'!N49</f>
        <v>4.9494401784555137E-2</v>
      </c>
      <c r="D37" s="105">
        <f>SUM(D34:D36)</f>
        <v>4.9494401784555137E-2</v>
      </c>
      <c r="E37" s="203">
        <f>SUM(E34:E36)</f>
        <v>4.9494401784555137E-2</v>
      </c>
      <c r="F37" s="203">
        <f>SUM(F34:F36)</f>
        <v>3.0179621667646286E-2</v>
      </c>
      <c r="G37" s="203">
        <f>SUM(G34:G36)</f>
        <v>3.0446123411188058E-2</v>
      </c>
      <c r="H37" s="200">
        <f>C37*$C$30/$C$28</f>
        <v>2.4759839614469571E-2</v>
      </c>
      <c r="I37" s="203">
        <f>SUM(I34:I36)</f>
        <v>2.5021651765370405E-2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4,9%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0.19999999999999998</v>
      </c>
      <c r="D40" s="105" t="s">
        <v>0</v>
      </c>
      <c r="E40" s="105" t="s">
        <v>0</v>
      </c>
      <c r="F40" s="105" t="s">
        <v>0</v>
      </c>
      <c r="G40" s="103" t="s">
        <v>0</v>
      </c>
      <c r="H40"/>
      <c r="I40"/>
      <c r="J40"/>
      <c r="K40"/>
      <c r="L40"/>
    </row>
    <row r="41" spans="1:18">
      <c r="B41" s="4" t="s">
        <v>374</v>
      </c>
      <c r="C41" s="105">
        <f>C24+C37</f>
        <v>0.24949440178455512</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1">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1">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6" t="s">
        <v>595</v>
      </c>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298"/>
      <c r="AH78" s="298"/>
      <c r="AI78" s="298"/>
      <c r="AJ78" s="298"/>
      <c r="AK78" s="298"/>
    </row>
    <row r="79" spans="1:37" customFormat="1" ht="15" customHeight="1">
      <c r="A79" s="565" t="s">
        <v>596</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297"/>
      <c r="AH79" s="297"/>
      <c r="AI79" s="297"/>
      <c r="AJ79" s="297"/>
      <c r="AK79" s="297"/>
    </row>
    <row r="80" spans="1:37" customFormat="1" ht="15" customHeight="1">
      <c r="A80" s="565" t="s">
        <v>597</v>
      </c>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297"/>
      <c r="AH80" s="297"/>
      <c r="AI80" s="297"/>
      <c r="AJ80" s="297"/>
      <c r="AK80" s="297"/>
    </row>
    <row r="81" spans="1:37" customFormat="1" ht="15" customHeight="1">
      <c r="A81" s="565" t="s">
        <v>598</v>
      </c>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297"/>
      <c r="AH81" s="297"/>
      <c r="AI81" s="297"/>
      <c r="AJ81" s="297"/>
      <c r="AK81" s="297"/>
    </row>
    <row r="82" spans="1:37" customFormat="1" ht="15" customHeight="1">
      <c r="A82" s="565" t="s">
        <v>599</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297"/>
      <c r="AH82" s="297"/>
      <c r="AI82" s="297"/>
      <c r="AJ82" s="297"/>
      <c r="AK82" s="297"/>
    </row>
    <row r="83" spans="1:37" customFormat="1" ht="15" customHeight="1">
      <c r="A83" s="565" t="s">
        <v>600</v>
      </c>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297"/>
      <c r="AH83" s="297"/>
      <c r="AI83" s="297"/>
      <c r="AJ83" s="297"/>
      <c r="AK83" s="297"/>
    </row>
    <row r="84" spans="1:37" customFormat="1" ht="15" customHeight="1">
      <c r="A84" s="565" t="s">
        <v>601</v>
      </c>
      <c r="B84" s="565"/>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297"/>
      <c r="AH84" s="297"/>
      <c r="AI84" s="297"/>
      <c r="AJ84" s="297"/>
      <c r="AK84" s="297"/>
    </row>
    <row r="85" spans="1:37" customFormat="1" ht="15" customHeight="1">
      <c r="A85" s="565" t="s">
        <v>602</v>
      </c>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297"/>
      <c r="AH85" s="297"/>
      <c r="AI85" s="297"/>
      <c r="AJ85" s="297"/>
      <c r="AK85" s="297"/>
    </row>
    <row r="86" spans="1:37" customFormat="1" ht="15" customHeight="1">
      <c r="A86" s="565" t="s">
        <v>603</v>
      </c>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297"/>
      <c r="AH86" s="297"/>
      <c r="AI86" s="297"/>
      <c r="AJ86" s="297"/>
      <c r="AK86" s="297"/>
    </row>
    <row r="87" spans="1:37" customFormat="1" ht="15" customHeight="1">
      <c r="A87" s="565" t="s">
        <v>604</v>
      </c>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297"/>
      <c r="AH87" s="297"/>
      <c r="AI87" s="297"/>
      <c r="AJ87" s="297"/>
      <c r="AK87" s="297"/>
    </row>
    <row r="88" spans="1:37" customFormat="1" ht="15" customHeight="1">
      <c r="A88" s="565" t="s">
        <v>605</v>
      </c>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297"/>
      <c r="AH88" s="297"/>
      <c r="AI88" s="297"/>
      <c r="AJ88" s="297"/>
      <c r="AK88" s="297"/>
    </row>
    <row r="89" spans="1:37" customFormat="1" ht="15" customHeight="1">
      <c r="A89" s="565" t="s">
        <v>606</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297"/>
      <c r="AH89" s="297"/>
      <c r="AI89" s="297"/>
      <c r="AJ89" s="297"/>
      <c r="AK89" s="297"/>
    </row>
    <row r="90" spans="1:37" customFormat="1" ht="15" customHeight="1">
      <c r="A90" s="565" t="s">
        <v>607</v>
      </c>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297"/>
      <c r="AH90" s="297"/>
      <c r="AI90" s="297"/>
      <c r="AJ90" s="297"/>
      <c r="AK90" s="297"/>
    </row>
    <row r="91" spans="1:37" customFormat="1" ht="15" customHeight="1">
      <c r="A91" s="565" t="s">
        <v>608</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297"/>
      <c r="AH91" s="297"/>
      <c r="AI91" s="297"/>
      <c r="AJ91" s="297"/>
      <c r="AK91" s="297"/>
    </row>
    <row r="92" spans="1:37" customFormat="1" ht="15" customHeight="1">
      <c r="A92" s="565" t="s">
        <v>609</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297"/>
      <c r="AH92" s="297"/>
      <c r="AI92" s="297"/>
      <c r="AJ92" s="297"/>
      <c r="AK92" s="297"/>
    </row>
    <row r="93" spans="1:37" customFormat="1" ht="15" customHeight="1">
      <c r="A93" s="565" t="s">
        <v>610</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297"/>
      <c r="AH93" s="297"/>
      <c r="AI93" s="297"/>
      <c r="AJ93" s="297"/>
      <c r="AK93" s="297"/>
    </row>
    <row r="94" spans="1:37" customFormat="1" ht="15" customHeight="1">
      <c r="A94" s="565" t="s">
        <v>611</v>
      </c>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297"/>
      <c r="AH94" s="297"/>
      <c r="AI94" s="297"/>
      <c r="AJ94" s="297"/>
      <c r="AK94" s="297"/>
    </row>
    <row r="95" spans="1:37" customFormat="1" ht="15" customHeight="1">
      <c r="A95" s="565" t="s">
        <v>612</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297"/>
      <c r="AH95" s="297"/>
      <c r="AI95" s="297"/>
      <c r="AJ95" s="297"/>
      <c r="AK95" s="297"/>
    </row>
    <row r="96" spans="1:37" customFormat="1" ht="15" customHeight="1">
      <c r="A96" s="565" t="s">
        <v>613</v>
      </c>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297"/>
      <c r="AH96" s="297"/>
      <c r="AI96" s="297"/>
      <c r="AJ96" s="297"/>
      <c r="AK96" s="297"/>
    </row>
    <row r="97" spans="1:37" customFormat="1" ht="15" customHeight="1">
      <c r="A97" s="565" t="s">
        <v>614</v>
      </c>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297"/>
      <c r="AH97" s="297"/>
      <c r="AI97" s="297"/>
      <c r="AJ97" s="297"/>
      <c r="AK97" s="297"/>
    </row>
    <row r="98" spans="1:37" customFormat="1" ht="15" customHeight="1">
      <c r="A98" s="565" t="s">
        <v>615</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297"/>
      <c r="AH98" s="297"/>
      <c r="AI98" s="297"/>
      <c r="AJ98" s="297"/>
      <c r="AK98" s="297"/>
    </row>
    <row r="99" spans="1:37" customFormat="1" ht="15" customHeight="1">
      <c r="A99" s="565" t="s">
        <v>616</v>
      </c>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297"/>
      <c r="AH99" s="297"/>
      <c r="AI99" s="297"/>
      <c r="AJ99" s="297"/>
      <c r="AK99" s="297"/>
    </row>
    <row r="100" spans="1:37" customFormat="1" ht="15" customHeight="1">
      <c r="A100" s="565" t="s">
        <v>617</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297"/>
      <c r="AH100" s="297"/>
      <c r="AI100" s="297"/>
      <c r="AJ100" s="297"/>
      <c r="AK100" s="297"/>
    </row>
    <row r="101" spans="1:37" customFormat="1" ht="15" customHeight="1">
      <c r="A101" s="565" t="s">
        <v>618</v>
      </c>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297"/>
      <c r="AH101" s="297"/>
      <c r="AI101" s="297"/>
      <c r="AJ101" s="297"/>
      <c r="AK101" s="297"/>
    </row>
    <row r="102" spans="1:37" customFormat="1" ht="15" customHeight="1">
      <c r="A102" s="565" t="s">
        <v>619</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297"/>
      <c r="AH102" s="297"/>
      <c r="AI102" s="297"/>
      <c r="AJ102" s="297"/>
      <c r="AK102" s="297"/>
    </row>
    <row r="103" spans="1:37" customFormat="1" ht="15" customHeight="1">
      <c r="A103" s="565" t="s">
        <v>620</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297"/>
      <c r="AH103" s="297"/>
      <c r="AI103" s="297"/>
      <c r="AJ103" s="297"/>
      <c r="AK103" s="297"/>
    </row>
    <row r="104" spans="1:37" customFormat="1" ht="15" customHeight="1">
      <c r="A104" s="565" t="s">
        <v>621</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297"/>
      <c r="AH104" s="297"/>
      <c r="AI104" s="297"/>
      <c r="AJ104" s="297"/>
      <c r="AK104" s="297"/>
    </row>
    <row r="105" spans="1:37" customFormat="1" ht="15" customHeight="1">
      <c r="A105" s="565" t="s">
        <v>622</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297"/>
      <c r="AH105" s="297"/>
      <c r="AI105" s="297"/>
      <c r="AJ105" s="297"/>
      <c r="AK105" s="297"/>
    </row>
    <row r="106" spans="1:37" customFormat="1" ht="15" customHeight="1">
      <c r="A106" s="565" t="s">
        <v>623</v>
      </c>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297"/>
      <c r="AH106" s="297"/>
      <c r="AI106" s="297"/>
      <c r="AJ106" s="297"/>
      <c r="AK106" s="297"/>
    </row>
    <row r="107" spans="1:37" customFormat="1" ht="15" customHeight="1">
      <c r="A107" s="565" t="s">
        <v>624</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297"/>
      <c r="AH107" s="297"/>
      <c r="AI107" s="297"/>
      <c r="AJ107" s="297"/>
      <c r="AK107" s="297"/>
    </row>
    <row r="108" spans="1:37" customFormat="1" ht="15" customHeight="1">
      <c r="A108" s="565" t="s">
        <v>625</v>
      </c>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297"/>
      <c r="AH108" s="297"/>
      <c r="AI108" s="297"/>
      <c r="AJ108" s="297"/>
      <c r="AK108" s="297"/>
    </row>
    <row r="109" spans="1:37" customFormat="1" ht="15" customHeight="1">
      <c r="A109" s="565" t="s">
        <v>626</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3"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6"/>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row>
    <row r="2" spans="1:38" hidden="1">
      <c r="A2" s="536"/>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row>
    <row r="3" spans="1:38" hidden="1">
      <c r="A3" s="536"/>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row>
    <row r="4" spans="1:38" hidden="1">
      <c r="A4" s="536"/>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row>
    <row r="5" spans="1:38" hidden="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row>
    <row r="6" spans="1:38" hidden="1">
      <c r="A6" s="536"/>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row>
    <row r="7" spans="1:38" ht="23.25" hidden="1" customHeight="1">
      <c r="A7" s="536"/>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row>
    <row r="8" spans="1:38" s="159" customFormat="1" ht="15.75" hidden="1" customHeight="1">
      <c r="A8" s="536"/>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row>
    <row r="9" spans="1:38" ht="21" hidden="1" customHeight="1">
      <c r="A9" s="536"/>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37702.999999999993</v>
      </c>
      <c r="D13" s="330">
        <f>EIA_electricity_aeo2014!F58*1000</f>
        <v>35140</v>
      </c>
      <c r="E13" s="330">
        <f>EIA_electricity_aeo2014!G58*1000</f>
        <v>33421.48833554492</v>
      </c>
      <c r="F13" s="330">
        <f>EIA_electricity_aeo2014!H58*1000</f>
        <v>37887.574401178783</v>
      </c>
      <c r="G13" s="330">
        <f>EIA_electricity_aeo2014!I58*1000</f>
        <v>43558.693110281347</v>
      </c>
      <c r="H13" s="286">
        <f>EIA_electricity_aeo2014!J58*1000</f>
        <v>43539.369113240951</v>
      </c>
      <c r="I13" s="83">
        <f>EIA_electricity_aeo2014!K58*1000</f>
        <v>33250.640407516876</v>
      </c>
      <c r="J13" s="83">
        <f>EIA_electricity_aeo2014!L58*1000</f>
        <v>35695.955281980059</v>
      </c>
      <c r="K13" s="83">
        <f>EIA_electricity_aeo2014!M58*1000</f>
        <v>36807.032010473777</v>
      </c>
      <c r="L13" s="83">
        <f>EIA_electricity_aeo2014!N58*1000</f>
        <v>39766.920057244446</v>
      </c>
      <c r="M13" s="83">
        <f>EIA_electricity_aeo2014!O58*1000</f>
        <v>40883.753779889063</v>
      </c>
      <c r="N13" s="177">
        <f>EIA_electricity_aeo2014!P58*1000</f>
        <v>41998.230132810175</v>
      </c>
      <c r="O13" s="83">
        <f>EIA_electricity_aeo2014!Q58*1000</f>
        <v>46031.974875340311</v>
      </c>
      <c r="P13" s="83">
        <f>EIA_electricity_aeo2014!R58*1000</f>
        <v>50160.737754816808</v>
      </c>
      <c r="Q13" s="83">
        <f>EIA_electricity_aeo2014!S58*1000</f>
        <v>53293.013007169837</v>
      </c>
      <c r="R13" s="83">
        <f>EIA_electricity_aeo2014!T58*1000</f>
        <v>55008.069688983604</v>
      </c>
      <c r="S13" s="83">
        <f>EIA_electricity_aeo2014!U58*1000</f>
        <v>57589.539199542858</v>
      </c>
      <c r="T13" s="83">
        <f>EIA_electricity_aeo2014!V58*1000</f>
        <v>61014.724210848661</v>
      </c>
      <c r="U13" s="83">
        <f>EIA_electricity_aeo2014!W58*1000</f>
        <v>63273.962800085472</v>
      </c>
      <c r="V13" s="83">
        <f>EIA_electricity_aeo2014!X58*1000</f>
        <v>64750.091776403737</v>
      </c>
      <c r="W13" s="83">
        <f>EIA_electricity_aeo2014!Y58*1000</f>
        <v>67199.337167752325</v>
      </c>
      <c r="X13" s="184">
        <f>EIA_electricity_aeo2014!Z58*1000</f>
        <v>69651.200489251845</v>
      </c>
      <c r="Y13" s="174">
        <f>EIA_electricity_aeo2014!AA58*1000</f>
        <v>70584.315398186314</v>
      </c>
      <c r="Z13" s="174">
        <f>EIA_electricity_aeo2014!AB58*1000</f>
        <v>74044.365350048276</v>
      </c>
      <c r="AA13" s="174">
        <f>EIA_electricity_aeo2014!AC58*1000</f>
        <v>76285.170677676258</v>
      </c>
      <c r="AB13" s="174">
        <f>EIA_electricity_aeo2014!AD58*1000</f>
        <v>78174.715596550508</v>
      </c>
      <c r="AC13" s="174">
        <f>EIA_electricity_aeo2014!AE58*1000</f>
        <v>79390.400308144177</v>
      </c>
      <c r="AD13" s="174">
        <f>EIA_electricity_aeo2014!AF58*1000</f>
        <v>79507.739856692322</v>
      </c>
      <c r="AE13" s="174">
        <f>EIA_electricity_aeo2014!AG58*1000</f>
        <v>79961.873195549531</v>
      </c>
      <c r="AF13" s="174">
        <f>EIA_electricity_aeo2014!AH58*1000</f>
        <v>81228.531864920122</v>
      </c>
      <c r="AG13" s="174">
        <f>EIA_electricity_aeo2014!AI58*1000</f>
        <v>83688.380011562869</v>
      </c>
      <c r="AH13" s="184">
        <f>EIA_electricity_aeo2014!AJ58*1000</f>
        <v>85563.775838806061</v>
      </c>
      <c r="AI13" s="115">
        <f>X13/C13-1</f>
        <v>0.84736494414905605</v>
      </c>
      <c r="AJ13" s="165">
        <f>(1+AJ11)^21-1</f>
        <v>0.24007814276920247</v>
      </c>
      <c r="AK13" s="168">
        <f>(1+AK11)^21-1</f>
        <v>0.11389489977934208</v>
      </c>
      <c r="AL13" s="121"/>
    </row>
    <row r="14" spans="1:38" s="20" customFormat="1">
      <c r="A14" s="20" t="s">
        <v>131</v>
      </c>
      <c r="B14" s="33"/>
      <c r="C14" s="330">
        <f>EIA_electricity_aeo2014!E58 * 1000</f>
        <v>37702.999999999993</v>
      </c>
      <c r="D14" s="330">
        <f>IF(Inputs!$C$7="BAU",'Output -Jobs vs Yr'!D13,C14+($X$14-$C$14)/($X$11-$C$11) )</f>
        <v>35140</v>
      </c>
      <c r="E14" s="330">
        <f>IF(Inputs!$C$7="BAU",'Output -Jobs vs Yr'!E13,D14+($X$14-$C$14)/($X$11-$C$11) )</f>
        <v>33421.48833554492</v>
      </c>
      <c r="F14" s="330">
        <f>IF(Inputs!$C$7="BAU",'Output -Jobs vs Yr'!F13,E14+($X$14-$C$14)/($X$11-$C$11) )</f>
        <v>37887.574401178783</v>
      </c>
      <c r="G14" s="330">
        <f>IF(Inputs!$C$7="BAU",'Output -Jobs vs Yr'!G13,F14+($X$14-$C$14)/($X$11-$C$11) )</f>
        <v>43558.693110281347</v>
      </c>
      <c r="H14" s="286">
        <f>EIA_electricity_aeo2014!J58*1000</f>
        <v>43539.369113240951</v>
      </c>
      <c r="I14" s="83">
        <f>IF(Inputs!$C$7="BAU",'Output -Jobs vs Yr'!I13,H14+($X$14-$C$14)/($X$11-$C$11) )</f>
        <v>33250.640407516876</v>
      </c>
      <c r="J14" s="83">
        <f>IF(Inputs!$C$7="BAU",'Output -Jobs vs Yr'!J13,I14+($X$14-$C$14)/($X$11-$C$11) )</f>
        <v>35695.955281980059</v>
      </c>
      <c r="K14" s="83">
        <f>IF(Inputs!$C$7="BAU",'Output -Jobs vs Yr'!K13,J14+($X$14-$C$14)/($X$11-$C$11) )</f>
        <v>36807.032010473777</v>
      </c>
      <c r="L14" s="83">
        <f>IF(Inputs!$C$7="BAU",'Output -Jobs vs Yr'!L13,K14+($X$14-$C$14)/($X$11-$C$11) )</f>
        <v>39766.920057244446</v>
      </c>
      <c r="M14" s="83">
        <f>IF(Inputs!$C$7="BAU",'Output -Jobs vs Yr'!M13,L14+($X$14-$C$14)/($X$11-$C$11) )</f>
        <v>40883.753779889063</v>
      </c>
      <c r="N14" s="177">
        <f>IF(Inputs!$C$7="BAU",'Output -Jobs vs Yr'!N13,M14+($X$14-$C$14)/($X$11-$C$11) )</f>
        <v>41998.230132810175</v>
      </c>
      <c r="O14" s="83">
        <f>IF(Inputs!$C$7="BAU",'Output -Jobs vs Yr'!O13,N14+($X$14-$C$14)/($X$11-$C$11) )</f>
        <v>46031.974875340311</v>
      </c>
      <c r="P14" s="83">
        <f>IF(Inputs!$C$7="BAU",'Output -Jobs vs Yr'!P13,O14+($X$14-$C$14)/($X$11-$C$11) )</f>
        <v>50160.737754816808</v>
      </c>
      <c r="Q14" s="83">
        <f>IF(Inputs!$C$7="BAU",'Output -Jobs vs Yr'!Q13,P14+($X$14-$C$14)/($X$11-$C$11) )</f>
        <v>53293.013007169837</v>
      </c>
      <c r="R14" s="83">
        <f>IF(Inputs!$C$7="BAU",'Output -Jobs vs Yr'!R13,Q14+($X$14-$C$14)/($X$11-$C$11) )</f>
        <v>55008.069688983604</v>
      </c>
      <c r="S14" s="83">
        <f>IF(Inputs!$C$7="BAU",'Output -Jobs vs Yr'!S13,R14+($X$14-$C$14)/($X$11-$C$11) )</f>
        <v>57589.539199542858</v>
      </c>
      <c r="T14" s="83">
        <f>IF(Inputs!$C$7="BAU",'Output -Jobs vs Yr'!T13,S14+($X$14-$C$14)/($X$11-$C$11) )</f>
        <v>61014.724210848661</v>
      </c>
      <c r="U14" s="83">
        <f>IF(Inputs!$C$7="BAU",'Output -Jobs vs Yr'!U13,T14+($X$14-$C$14)/($X$11-$C$11) )</f>
        <v>63273.962800085472</v>
      </c>
      <c r="V14" s="83">
        <f>IF(Inputs!$C$7="BAU",'Output -Jobs vs Yr'!V13,U14+($X$14-$C$14)/($X$11-$C$11) )</f>
        <v>64750.091776403737</v>
      </c>
      <c r="W14" s="83">
        <f>IF(Inputs!$C$7="BAU",'Output -Jobs vs Yr'!W13,V14+($X$14-$C$14)/($X$11-$C$11) )</f>
        <v>67199.337167752325</v>
      </c>
      <c r="X14" s="184">
        <f>IF(Inputs!$C$7="BAU",'Output -Jobs vs Yr'!X13,C14*(1+Inputs!C7) )</f>
        <v>69651.200489251845</v>
      </c>
      <c r="Y14" s="174">
        <f>IF(Inputs!$C$7="BAU",'Output -Jobs vs Yr'!Y13,D14*(1+Inputs!D7) )</f>
        <v>70584.315398186314</v>
      </c>
      <c r="Z14" s="174">
        <f>IF(Inputs!$C$7="BAU",'Output -Jobs vs Yr'!Z13,E14*(1+Inputs!E7) )</f>
        <v>74044.365350048276</v>
      </c>
      <c r="AA14" s="174">
        <f>IF(Inputs!$C$7="BAU",'Output -Jobs vs Yr'!AA13,F14*(1+Inputs!F7) )</f>
        <v>76285.170677676258</v>
      </c>
      <c r="AB14" s="174">
        <f>IF(Inputs!$C$7="BAU",'Output -Jobs vs Yr'!AB13,G14*(1+Inputs!G7) )</f>
        <v>78174.715596550508</v>
      </c>
      <c r="AC14" s="174">
        <f>IF(Inputs!$C$7="BAU",'Output -Jobs vs Yr'!AC13,H14*(1+Inputs!H7) )</f>
        <v>79390.400308144177</v>
      </c>
      <c r="AD14" s="174">
        <f>IF(Inputs!$C$7="BAU",'Output -Jobs vs Yr'!AD13,I14*(1+Inputs!L7) )</f>
        <v>79507.739856692322</v>
      </c>
      <c r="AE14" s="174">
        <f>IF(Inputs!$C$7="BAU",'Output -Jobs vs Yr'!AE13,J14*(1+Inputs!M7) )</f>
        <v>79961.873195549531</v>
      </c>
      <c r="AF14" s="174">
        <f>IF(Inputs!$C$7="BAU",'Output -Jobs vs Yr'!AF13,K14*(1+Inputs!N7) )</f>
        <v>81228.531864920122</v>
      </c>
      <c r="AG14" s="174">
        <f>IF(Inputs!$C$7="BAU",'Output -Jobs vs Yr'!AG13,L14*(1+Inputs!O7) )</f>
        <v>83688.380011562869</v>
      </c>
      <c r="AH14" s="184">
        <f>IF(Inputs!$C$7="BAU",'Output -Jobs vs Yr'!AH13,M14*(1+Inputs!P7) )</f>
        <v>85563.775838806061</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4.9338991592180997E-2</v>
      </c>
      <c r="D16" s="381">
        <f t="shared" si="1"/>
        <v>6.5851018901549804E-2</v>
      </c>
      <c r="E16" s="381">
        <f t="shared" si="1"/>
        <v>7.3698345799209433E-2</v>
      </c>
      <c r="F16" s="381">
        <f t="shared" si="1"/>
        <v>9.0130532762808788E-2</v>
      </c>
      <c r="G16" s="381">
        <f t="shared" si="1"/>
        <v>0.1102716413787674</v>
      </c>
      <c r="H16" s="381">
        <f t="shared" si="1"/>
        <v>6.0305626056249104E-2</v>
      </c>
      <c r="I16" s="381">
        <f t="shared" si="1"/>
        <v>7.7579501327651887E-2</v>
      </c>
      <c r="J16" s="381">
        <f t="shared" si="1"/>
        <v>9.3630414010489216E-2</v>
      </c>
      <c r="K16" s="381">
        <f t="shared" si="1"/>
        <v>0.11974663703491828</v>
      </c>
      <c r="L16" s="381">
        <f t="shared" si="1"/>
        <v>0.1339637060396483</v>
      </c>
      <c r="M16" s="381">
        <f t="shared" si="1"/>
        <v>0.16371860782281919</v>
      </c>
      <c r="N16" s="381">
        <f>Inputs!C11</f>
        <v>0.2</v>
      </c>
      <c r="O16" s="381">
        <f t="shared" ref="O16:W16" si="2">O95</f>
        <v>0.20844974103793457</v>
      </c>
      <c r="P16" s="381">
        <f t="shared" si="2"/>
        <v>0.21707377743789849</v>
      </c>
      <c r="Q16" s="381">
        <f t="shared" si="2"/>
        <v>0.22605702894976365</v>
      </c>
      <c r="R16" s="381">
        <f t="shared" si="2"/>
        <v>0.23541577516491607</v>
      </c>
      <c r="S16" s="381">
        <f t="shared" si="2"/>
        <v>0.24515734545417364</v>
      </c>
      <c r="T16" s="381">
        <f t="shared" si="2"/>
        <v>0.2552979634499235</v>
      </c>
      <c r="U16" s="381">
        <f t="shared" si="2"/>
        <v>0.26586150803593522</v>
      </c>
      <c r="V16" s="381">
        <f t="shared" si="2"/>
        <v>0.27686403334782478</v>
      </c>
      <c r="W16" s="381">
        <f t="shared" si="2"/>
        <v>0.28831744782425428</v>
      </c>
      <c r="X16" s="382">
        <f>Inputs!C12</f>
        <v>0.3</v>
      </c>
      <c r="Y16" s="383">
        <f>Y95</f>
        <v>0.30901081685083859</v>
      </c>
      <c r="Z16" s="383">
        <f t="shared" ref="Z16:AG16" si="3">Z95</f>
        <v>0.31802375522980381</v>
      </c>
      <c r="AA16" s="383">
        <f t="shared" si="3"/>
        <v>0.32730368142368893</v>
      </c>
      <c r="AB16" s="383">
        <f t="shared" si="3"/>
        <v>0.33685517268917203</v>
      </c>
      <c r="AC16" s="383">
        <f t="shared" si="3"/>
        <v>0.34668727310301811</v>
      </c>
      <c r="AD16" s="383">
        <f t="shared" si="3"/>
        <v>0.35680977160595739</v>
      </c>
      <c r="AE16" s="383">
        <f t="shared" si="3"/>
        <v>0.36722604490064997</v>
      </c>
      <c r="AF16" s="383">
        <f t="shared" si="3"/>
        <v>0.37794277814658656</v>
      </c>
      <c r="AG16" s="383">
        <f t="shared" si="3"/>
        <v>0.38896733948997914</v>
      </c>
      <c r="AH16" s="382">
        <f>Inputs!C13</f>
        <v>0.4</v>
      </c>
      <c r="AI16" s="384" t="s">
        <v>0</v>
      </c>
      <c r="AJ16" s="385"/>
      <c r="AK16" s="386"/>
      <c r="AL16" s="387"/>
    </row>
    <row r="17" spans="1:37" s="281" customFormat="1">
      <c r="A17" s="281" t="s">
        <v>115</v>
      </c>
      <c r="B17" s="282"/>
      <c r="C17" s="337"/>
      <c r="D17" s="332">
        <f>D16/C16-1</f>
        <v>0.33466487207220408</v>
      </c>
      <c r="E17" s="332">
        <f t="shared" ref="E17:M17" si="4">E16/D16-1</f>
        <v>0.11916788879746454</v>
      </c>
      <c r="F17" s="332">
        <f t="shared" si="4"/>
        <v>0.22296547887748686</v>
      </c>
      <c r="G17" s="332">
        <f t="shared" si="4"/>
        <v>0.22346598870066359</v>
      </c>
      <c r="H17" s="284"/>
      <c r="I17" s="284">
        <f t="shared" si="4"/>
        <v>0.28643886816282871</v>
      </c>
      <c r="J17" s="284">
        <f t="shared" si="4"/>
        <v>0.20689631163066347</v>
      </c>
      <c r="K17" s="284">
        <f t="shared" si="4"/>
        <v>0.27892884273162899</v>
      </c>
      <c r="L17" s="284">
        <f t="shared" si="4"/>
        <v>0.11872624865936166</v>
      </c>
      <c r="M17" s="284">
        <f t="shared" si="4"/>
        <v>0.22211166488903</v>
      </c>
      <c r="N17" s="284">
        <f>N16/M16-1</f>
        <v>0.22160823781524908</v>
      </c>
      <c r="O17" s="284">
        <f>O16/N16-1</f>
        <v>4.2248705189672719E-2</v>
      </c>
      <c r="P17" s="284">
        <f t="shared" ref="P17:X17" si="5">P16/O16-1</f>
        <v>4.1372257681982383E-2</v>
      </c>
      <c r="Q17" s="284">
        <f t="shared" si="5"/>
        <v>4.1383402536656622E-2</v>
      </c>
      <c r="R17" s="284">
        <f t="shared" si="5"/>
        <v>4.1399934603370436E-2</v>
      </c>
      <c r="S17" s="284">
        <f t="shared" si="5"/>
        <v>4.1380278286080374E-2</v>
      </c>
      <c r="T17" s="284">
        <f t="shared" si="5"/>
        <v>4.1363712667729979E-2</v>
      </c>
      <c r="U17" s="284">
        <f t="shared" si="5"/>
        <v>4.1377316306260958E-2</v>
      </c>
      <c r="V17" s="284">
        <f t="shared" si="5"/>
        <v>4.138442376698781E-2</v>
      </c>
      <c r="W17" s="284">
        <f t="shared" si="5"/>
        <v>4.136837254711434E-2</v>
      </c>
      <c r="X17" s="283">
        <f t="shared" si="5"/>
        <v>4.0519754402331243E-2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1860.2279999999998</v>
      </c>
      <c r="D19" s="330">
        <f t="shared" si="10"/>
        <v>2314.0048042004601</v>
      </c>
      <c r="E19" s="330">
        <f t="shared" si="10"/>
        <v>2463.1084044772342</v>
      </c>
      <c r="F19" s="330">
        <f t="shared" si="10"/>
        <v>3414.8272658687997</v>
      </c>
      <c r="G19" s="330">
        <f t="shared" si="10"/>
        <v>4803.2885855847308</v>
      </c>
      <c r="H19" s="286">
        <f t="shared" si="10"/>
        <v>2625.6689124681111</v>
      </c>
      <c r="I19" s="286">
        <f t="shared" si="10"/>
        <v>2579.5681016402309</v>
      </c>
      <c r="J19" s="286">
        <f t="shared" si="10"/>
        <v>3342.2270715517025</v>
      </c>
      <c r="K19" s="286">
        <f t="shared" si="10"/>
        <v>4407.518302490822</v>
      </c>
      <c r="L19" s="286">
        <f t="shared" si="10"/>
        <v>5327.3239886508891</v>
      </c>
      <c r="M19" s="286">
        <f t="shared" si="10"/>
        <v>6693.4312514143594</v>
      </c>
      <c r="N19" s="287">
        <f t="shared" si="10"/>
        <v>8399.6460265620353</v>
      </c>
      <c r="O19" s="286">
        <f t="shared" si="10"/>
        <v>9595.3532422293974</v>
      </c>
      <c r="P19" s="286">
        <f t="shared" si="10"/>
        <v>10888.580823509896</v>
      </c>
      <c r="Q19" s="286">
        <f t="shared" si="10"/>
        <v>12047.260184181923</v>
      </c>
      <c r="R19" s="286">
        <f t="shared" si="10"/>
        <v>12949.767366157799</v>
      </c>
      <c r="S19" s="286">
        <f t="shared" si="10"/>
        <v>14118.498556089004</v>
      </c>
      <c r="T19" s="286">
        <f t="shared" si="10"/>
        <v>15576.934831488405</v>
      </c>
      <c r="U19" s="286">
        <f t="shared" si="10"/>
        <v>16822.111169440392</v>
      </c>
      <c r="V19" s="286">
        <f t="shared" si="10"/>
        <v>17926.971568856959</v>
      </c>
      <c r="W19" s="286">
        <f t="shared" si="10"/>
        <v>19374.741387687904</v>
      </c>
      <c r="X19" s="287">
        <f>Inputs!C12*'Output -Jobs vs Yr'!X14</f>
        <v>20895.360146775554</v>
      </c>
      <c r="Y19" s="286">
        <f t="shared" si="10"/>
        <v>21811.316958050778</v>
      </c>
      <c r="Z19" s="286">
        <f t="shared" si="10"/>
        <v>23547.86712222992</v>
      </c>
      <c r="AA19" s="286">
        <f t="shared" si="10"/>
        <v>24968.417200837885</v>
      </c>
      <c r="AB19" s="286">
        <f t="shared" si="10"/>
        <v>26333.557322202931</v>
      </c>
      <c r="AC19" s="286">
        <f t="shared" si="10"/>
        <v>27523.641393387512</v>
      </c>
      <c r="AD19" s="286">
        <f t="shared" si="10"/>
        <v>28369.138499172263</v>
      </c>
      <c r="AE19" s="286">
        <f t="shared" si="10"/>
        <v>29364.082436448953</v>
      </c>
      <c r="AF19" s="286">
        <f t="shared" si="10"/>
        <v>30699.736997796441</v>
      </c>
      <c r="AG19" s="286">
        <f t="shared" si="10"/>
        <v>32552.046519323958</v>
      </c>
      <c r="AH19" s="287">
        <f t="shared" si="10"/>
        <v>34225.510335522427</v>
      </c>
    </row>
    <row r="20" spans="1:37" s="20" customFormat="1">
      <c r="A20" s="20" t="s">
        <v>211</v>
      </c>
      <c r="B20" s="33"/>
      <c r="C20" s="330">
        <f>'Output - Jobs vs Yr (BAU)'!C18</f>
        <v>1860.2279999999998</v>
      </c>
      <c r="D20" s="330">
        <f>'Output - Jobs vs Yr (BAU)'!D18</f>
        <v>2280.8500000000004</v>
      </c>
      <c r="E20" s="330">
        <f>'Output - Jobs vs Yr (BAU)'!E18</f>
        <v>1907.7832261578419</v>
      </c>
      <c r="F20" s="330">
        <f>'Output - Jobs vs Yr (BAU)'!F18</f>
        <v>2007.4154719676399</v>
      </c>
      <c r="G20" s="330">
        <f>'Output - Jobs vs Yr (BAU)'!G18</f>
        <v>2438.9239453866171</v>
      </c>
      <c r="H20" s="286">
        <f>'Output - Jobs vs Yr (BAU)'!H18</f>
        <v>2624.6689124681116</v>
      </c>
      <c r="I20" s="83">
        <f>'Output - Jobs vs Yr (BAU)'!I18</f>
        <v>2565.3223793824341</v>
      </c>
      <c r="J20" s="83">
        <f>'Output - Jobs vs Yr (BAU)'!J18</f>
        <v>3339.2128331844833</v>
      </c>
      <c r="K20" s="83">
        <f>'Output - Jobs vs Yr (BAU)'!K18</f>
        <v>4338.6617486899977</v>
      </c>
      <c r="L20" s="83">
        <f>'Output - Jobs vs Yr (BAU)'!L18</f>
        <v>5019.6016297490787</v>
      </c>
      <c r="M20" s="83">
        <f>'Output - Jobs vs Yr (BAU)'!M18</f>
        <v>5195.7530401404611</v>
      </c>
      <c r="N20" s="177">
        <f>'Output - Jobs vs Yr (BAU)'!N18</f>
        <v>5269.7922378374624</v>
      </c>
      <c r="O20" s="83">
        <f>'Output - Jobs vs Yr (BAU)'!O18</f>
        <v>5661.7536160962891</v>
      </c>
      <c r="P20" s="83">
        <f>'Output - Jobs vs Yr (BAU)'!P18</f>
        <v>6290.0752270668554</v>
      </c>
      <c r="Q20" s="83">
        <f>'Output - Jobs vs Yr (BAU)'!Q18</f>
        <v>7026.342582771962</v>
      </c>
      <c r="R20" s="83">
        <f>'Output - Jobs vs Yr (BAU)'!R18</f>
        <v>7781.1104487121711</v>
      </c>
      <c r="S20" s="83">
        <f>'Output - Jobs vs Yr (BAU)'!S18</f>
        <v>8539.8916521388182</v>
      </c>
      <c r="T20" s="83">
        <f>'Output - Jobs vs Yr (BAU)'!T18</f>
        <v>9428.3852179691821</v>
      </c>
      <c r="U20" s="83">
        <f>'Output - Jobs vs Yr (BAU)'!U18</f>
        <v>10199.412934873795</v>
      </c>
      <c r="V20" s="83">
        <f>'Output - Jobs vs Yr (BAU)'!V18</f>
        <v>10640.62004583576</v>
      </c>
      <c r="W20" s="83">
        <f>'Output - Jobs vs Yr (BAU)'!W18</f>
        <v>10812.917870927644</v>
      </c>
      <c r="X20" s="184">
        <f>'Output - Jobs vs Yr (BAU)'!X18</f>
        <v>11257.558806215797</v>
      </c>
      <c r="Y20" s="174">
        <f>'Output - Jobs vs Yr (BAU)'!Y18</f>
        <v>12222.390337285709</v>
      </c>
      <c r="Z20" s="174">
        <f>'Output - Jobs vs Yr (BAU)'!Z18</f>
        <v>13798.777901388179</v>
      </c>
      <c r="AA20" s="174">
        <f>'Output - Jobs vs Yr (BAU)'!AA18</f>
        <v>15155.241321687954</v>
      </c>
      <c r="AB20" s="174">
        <f>'Output - Jobs vs Yr (BAU)'!AB18</f>
        <v>16509.295675656751</v>
      </c>
      <c r="AC20" s="174">
        <f>'Output - Jobs vs Yr (BAU)'!AC18</f>
        <v>16930.208708990122</v>
      </c>
      <c r="AD20" s="174">
        <f>'Output - Jobs vs Yr (BAU)'!AD18</f>
        <v>17278.620484149353</v>
      </c>
      <c r="AE20" s="174">
        <f>'Output - Jobs vs Yr (BAU)'!AE18</f>
        <v>17564.662021405915</v>
      </c>
      <c r="AF20" s="174">
        <f>'Output - Jobs vs Yr (BAU)'!AF18</f>
        <v>18001.644536980573</v>
      </c>
      <c r="AG20" s="174">
        <f>'Output - Jobs vs Yr (BAU)'!AG18</f>
        <v>18514.445998747789</v>
      </c>
      <c r="AH20" s="184">
        <f>'Output - Jobs vs Yr (BAU)'!AH18</f>
        <v>18659.919327410975</v>
      </c>
    </row>
    <row r="21" spans="1:37" s="20" customFormat="1">
      <c r="A21" s="20" t="s">
        <v>116</v>
      </c>
      <c r="B21" s="33"/>
      <c r="C21" s="330">
        <f t="shared" ref="C21:AH21" si="11">MAX(C19:C20)</f>
        <v>1860.2279999999998</v>
      </c>
      <c r="D21" s="330">
        <f t="shared" si="11"/>
        <v>2314.0048042004601</v>
      </c>
      <c r="E21" s="330">
        <f t="shared" si="11"/>
        <v>2463.1084044772342</v>
      </c>
      <c r="F21" s="330">
        <f t="shared" si="11"/>
        <v>3414.8272658687997</v>
      </c>
      <c r="G21" s="330">
        <f t="shared" si="11"/>
        <v>4803.2885855847308</v>
      </c>
      <c r="H21" s="286">
        <f t="shared" si="11"/>
        <v>2625.6689124681111</v>
      </c>
      <c r="I21" s="83">
        <f t="shared" si="11"/>
        <v>2579.5681016402309</v>
      </c>
      <c r="J21" s="83">
        <f t="shared" si="11"/>
        <v>3342.2270715517025</v>
      </c>
      <c r="K21" s="83">
        <f t="shared" si="11"/>
        <v>4407.518302490822</v>
      </c>
      <c r="L21" s="83">
        <f t="shared" si="11"/>
        <v>5327.3239886508891</v>
      </c>
      <c r="M21" s="83">
        <f t="shared" si="11"/>
        <v>6693.4312514143594</v>
      </c>
      <c r="N21" s="177">
        <f t="shared" si="11"/>
        <v>8399.6460265620353</v>
      </c>
      <c r="O21" s="83">
        <f t="shared" si="11"/>
        <v>9595.3532422293974</v>
      </c>
      <c r="P21" s="83">
        <f t="shared" si="11"/>
        <v>10888.580823509896</v>
      </c>
      <c r="Q21" s="83">
        <f t="shared" si="11"/>
        <v>12047.260184181923</v>
      </c>
      <c r="R21" s="83">
        <f t="shared" si="11"/>
        <v>12949.767366157799</v>
      </c>
      <c r="S21" s="83">
        <f t="shared" si="11"/>
        <v>14118.498556089004</v>
      </c>
      <c r="T21" s="83">
        <f t="shared" si="11"/>
        <v>15576.934831488405</v>
      </c>
      <c r="U21" s="83">
        <f t="shared" si="11"/>
        <v>16822.111169440392</v>
      </c>
      <c r="V21" s="83">
        <f t="shared" si="11"/>
        <v>17926.971568856959</v>
      </c>
      <c r="W21" s="83">
        <f t="shared" si="11"/>
        <v>19374.741387687904</v>
      </c>
      <c r="X21" s="184">
        <f t="shared" si="11"/>
        <v>20895.360146775554</v>
      </c>
      <c r="Y21" s="174">
        <f t="shared" si="11"/>
        <v>21811.316958050778</v>
      </c>
      <c r="Z21" s="174">
        <f t="shared" si="11"/>
        <v>23547.86712222992</v>
      </c>
      <c r="AA21" s="174">
        <f t="shared" si="11"/>
        <v>24968.417200837885</v>
      </c>
      <c r="AB21" s="174">
        <f t="shared" si="11"/>
        <v>26333.557322202931</v>
      </c>
      <c r="AC21" s="174">
        <f t="shared" si="11"/>
        <v>27523.641393387512</v>
      </c>
      <c r="AD21" s="174">
        <f t="shared" si="11"/>
        <v>28369.138499172263</v>
      </c>
      <c r="AE21" s="174">
        <f t="shared" si="11"/>
        <v>29364.082436448953</v>
      </c>
      <c r="AF21" s="174">
        <f t="shared" si="11"/>
        <v>30699.736997796441</v>
      </c>
      <c r="AG21" s="174">
        <f t="shared" si="11"/>
        <v>32552.046519323958</v>
      </c>
      <c r="AH21" s="184">
        <f t="shared" si="11"/>
        <v>34225.510335522427</v>
      </c>
      <c r="AI21" s="99"/>
    </row>
    <row r="22" spans="1:37" s="20" customFormat="1">
      <c r="A22" s="20" t="s">
        <v>378</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381</v>
      </c>
      <c r="B26" s="33"/>
      <c r="C26" s="332">
        <f>C31/C14</f>
        <v>6.5273055194546861E-2</v>
      </c>
      <c r="D26" s="332">
        <f t="shared" ref="D26:G26" si="21">C26+($N$26-$C$26)/($N$11-$C$11)</f>
        <v>6.383863215727488E-2</v>
      </c>
      <c r="E26" s="332">
        <f t="shared" si="21"/>
        <v>6.2404209120002906E-2</v>
      </c>
      <c r="F26" s="332">
        <f t="shared" si="21"/>
        <v>6.0969786082730931E-2</v>
      </c>
      <c r="G26" s="332">
        <f t="shared" si="21"/>
        <v>5.9535363045458957E-2</v>
      </c>
      <c r="H26" s="284">
        <f>H31/H14</f>
        <v>4.5793637087936614E-2</v>
      </c>
      <c r="I26" s="91">
        <f>H26+($N$26-$H$26)/($N$11-$H$11)</f>
        <v>4.6410431204039704E-2</v>
      </c>
      <c r="J26" s="172">
        <f t="shared" ref="J26:M26" si="22">I26+($N$26-$H$26)/($N$11-$H$11)</f>
        <v>4.7027225320142793E-2</v>
      </c>
      <c r="K26" s="172">
        <f t="shared" si="22"/>
        <v>4.7644019436245882E-2</v>
      </c>
      <c r="L26" s="172">
        <f t="shared" si="22"/>
        <v>4.8260813552348972E-2</v>
      </c>
      <c r="M26" s="172">
        <f t="shared" si="22"/>
        <v>4.8877607668452061E-2</v>
      </c>
      <c r="N26" s="180">
        <f>Inputs!C35</f>
        <v>4.9494401784555137E-2</v>
      </c>
      <c r="O26" s="91">
        <f t="shared" ref="O26:W26" si="23">N26+($X$26-$N$26)/($X$11-$N$11)</f>
        <v>4.7562923772864252E-2</v>
      </c>
      <c r="P26" s="91">
        <f t="shared" si="23"/>
        <v>4.5631445761173367E-2</v>
      </c>
      <c r="Q26" s="91">
        <f t="shared" si="23"/>
        <v>4.3699967749482482E-2</v>
      </c>
      <c r="R26" s="91">
        <f t="shared" si="23"/>
        <v>4.1768489737791598E-2</v>
      </c>
      <c r="S26" s="22">
        <f t="shared" si="23"/>
        <v>3.9837011726100713E-2</v>
      </c>
      <c r="T26" s="91">
        <f t="shared" si="23"/>
        <v>3.7905533714409828E-2</v>
      </c>
      <c r="U26" s="91">
        <f t="shared" si="23"/>
        <v>3.5974055702718943E-2</v>
      </c>
      <c r="V26" s="91">
        <f t="shared" si="23"/>
        <v>3.4042577691028059E-2</v>
      </c>
      <c r="W26" s="91">
        <f t="shared" si="23"/>
        <v>3.2111099679337174E-2</v>
      </c>
      <c r="X26" s="185">
        <f>Inputs!F35</f>
        <v>3.0179621667646286E-2</v>
      </c>
      <c r="Y26" s="172">
        <f>X26+($AH$26-$X$26)/($AH$11-$X$11)</f>
        <v>2.9637643462328615E-2</v>
      </c>
      <c r="Z26" s="172">
        <f t="shared" ref="Z26:AG26" si="24">Y26+($AH$26-$X$26)/($AH$11-$X$11)</f>
        <v>2.9095665257010943E-2</v>
      </c>
      <c r="AA26" s="172">
        <f t="shared" si="24"/>
        <v>2.8553687051693272E-2</v>
      </c>
      <c r="AB26" s="172">
        <f t="shared" si="24"/>
        <v>2.8011708846375601E-2</v>
      </c>
      <c r="AC26" s="172">
        <f t="shared" si="24"/>
        <v>2.746973064105793E-2</v>
      </c>
      <c r="AD26" s="172">
        <f t="shared" si="24"/>
        <v>2.6927752435740259E-2</v>
      </c>
      <c r="AE26" s="172">
        <f t="shared" si="24"/>
        <v>2.6385774230422588E-2</v>
      </c>
      <c r="AF26" s="172">
        <f t="shared" si="24"/>
        <v>2.5843796025104917E-2</v>
      </c>
      <c r="AG26" s="172">
        <f t="shared" si="24"/>
        <v>2.5301817819787246E-2</v>
      </c>
      <c r="AH26" s="185">
        <f>Inputs!H35</f>
        <v>2.4759839614469571E-2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3.9837011726100713E-2</v>
      </c>
      <c r="T27" s="13"/>
      <c r="U27" s="13"/>
      <c r="V27" s="13"/>
      <c r="W27" s="13"/>
      <c r="X27" s="176"/>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2460.9899999999998</v>
      </c>
      <c r="D31" s="330">
        <f t="shared" ref="D31:AH31" si="27">D26*D14</f>
        <v>2243.2895340066393</v>
      </c>
      <c r="E31" s="330">
        <f t="shared" si="27"/>
        <v>2085.6415471930832</v>
      </c>
      <c r="F31" s="330">
        <f t="shared" si="27"/>
        <v>2309.9973064334226</v>
      </c>
      <c r="G31" s="330">
        <f t="shared" si="27"/>
        <v>2593.2826081063317</v>
      </c>
      <c r="H31" s="286">
        <f>'Output - Jobs vs Yr (BAU)'!H7</f>
        <v>1993.8260682094729</v>
      </c>
      <c r="I31" s="174">
        <f t="shared" si="27"/>
        <v>1543.1765591233248</v>
      </c>
      <c r="J31" s="174">
        <f t="shared" si="27"/>
        <v>1678.6817320634175</v>
      </c>
      <c r="K31" s="174">
        <f t="shared" si="27"/>
        <v>1753.6349484975369</v>
      </c>
      <c r="L31" s="174">
        <f t="shared" si="27"/>
        <v>1919.183914433841</v>
      </c>
      <c r="M31" s="174">
        <f t="shared" si="27"/>
        <v>1998.3000772670116</v>
      </c>
      <c r="N31" s="184">
        <f t="shared" si="27"/>
        <v>2078.6772764335174</v>
      </c>
      <c r="O31" s="174">
        <f t="shared" si="27"/>
        <v>2189.4153121102136</v>
      </c>
      <c r="P31" s="174">
        <f t="shared" si="27"/>
        <v>2288.9069841993642</v>
      </c>
      <c r="Q31" s="174">
        <f t="shared" si="27"/>
        <v>2328.9029496860721</v>
      </c>
      <c r="R31" s="174">
        <f t="shared" si="27"/>
        <v>2297.6039943000369</v>
      </c>
      <c r="S31" s="174">
        <f t="shared" si="27"/>
        <v>2294.1951483929256</v>
      </c>
      <c r="T31" s="174">
        <f t="shared" si="27"/>
        <v>2312.7956856497417</v>
      </c>
      <c r="U31" s="174">
        <f t="shared" si="27"/>
        <v>2276.221062302041</v>
      </c>
      <c r="V31" s="174">
        <f t="shared" si="27"/>
        <v>2204.2600297994213</v>
      </c>
      <c r="W31" s="174">
        <f t="shared" si="27"/>
        <v>2157.8446141790823</v>
      </c>
      <c r="X31" s="184">
        <f t="shared" si="27"/>
        <v>2102.0468794630006</v>
      </c>
      <c r="Y31" s="174">
        <f t="shared" si="27"/>
        <v>2091.9527738039974</v>
      </c>
      <c r="Z31" s="174">
        <f t="shared" si="27"/>
        <v>2154.3700683928246</v>
      </c>
      <c r="AA31" s="174">
        <f t="shared" si="27"/>
        <v>2178.2228902153761</v>
      </c>
      <c r="AB31" s="174">
        <f t="shared" si="27"/>
        <v>2189.8073724387905</v>
      </c>
      <c r="AC31" s="174">
        <f t="shared" si="27"/>
        <v>2180.8329119504829</v>
      </c>
      <c r="AD31" s="174">
        <f t="shared" si="27"/>
        <v>2140.9647355862494</v>
      </c>
      <c r="AE31" s="174">
        <f t="shared" si="27"/>
        <v>2109.8559331794495</v>
      </c>
      <c r="AF31" s="174">
        <f t="shared" si="27"/>
        <v>2099.2536089357309</v>
      </c>
      <c r="AG31" s="174">
        <f t="shared" si="27"/>
        <v>2117.468144685688</v>
      </c>
      <c r="AH31" s="184">
        <f t="shared" si="27"/>
        <v>2118.5453665772648</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1</v>
      </c>
      <c r="D34" s="330">
        <f>MAX(D58*D$14,'Output - Jobs vs Yr (BAU)'!D10)</f>
        <v>1.0994596225753122</v>
      </c>
      <c r="E34" s="330">
        <f>MAX(E58*E$14,'Output - Jobs vs Yr (BAU)'!E10)</f>
        <v>1.2335499758020865</v>
      </c>
      <c r="F34" s="330">
        <f>MAX(F58*F$14,'Output - Jobs vs Yr (BAU)'!F10)</f>
        <v>1.6496096964138625</v>
      </c>
      <c r="G34" s="330">
        <f>MAX(G58*G$14,'Output - Jobs vs Yr (BAU)'!G10)</f>
        <v>2.2372405133586004</v>
      </c>
      <c r="H34" s="286">
        <f>'Output - Jobs vs Yr (BAU)'!H10</f>
        <v>0.20747810419114765</v>
      </c>
      <c r="I34" s="286">
        <f>MAX(I58*I$14,'Output - Jobs vs Yr (BAU)'!I10)</f>
        <v>0.20567794751273008</v>
      </c>
      <c r="J34" s="286">
        <f>MAX(J58*J$14,'Output - Jobs vs Yr (BAU)'!J10)</f>
        <v>0.23670968045123614</v>
      </c>
      <c r="K34" s="286">
        <f>MAX(K58*K$14,'Output - Jobs vs Yr (BAU)'!K10)</f>
        <v>0.28792623920979071</v>
      </c>
      <c r="L34" s="286">
        <f>MAX(L58*L$14,'Output - Jobs vs Yr (BAU)'!L10)</f>
        <v>0.36696600806499541</v>
      </c>
      <c r="M34" s="286">
        <f>MAX(M58*M$14,'Output - Jobs vs Yr (BAU)'!M10)</f>
        <v>0.44504925765604542</v>
      </c>
      <c r="N34" s="287">
        <f>MAX(Inputs!$E17*N$21,'Output - Jobs vs Yr (BAU)'!N10)</f>
        <v>0.53931405851568337</v>
      </c>
      <c r="O34" s="286">
        <f>MAX(O58*O$14,'Output - Jobs vs Yr (BAU)'!O10)</f>
        <v>0.61557289094556589</v>
      </c>
      <c r="P34" s="286">
        <f>MAX(P58*P$14,'Output - Jobs vs Yr (BAU)'!P10)</f>
        <v>0.69854263743041112</v>
      </c>
      <c r="Q34" s="286">
        <f>MAX(Q58*Q$14,'Output - Jobs vs Yr (BAU)'!Q10)</f>
        <v>0.77287347857413247</v>
      </c>
      <c r="R34" s="286">
        <f>MAX(R58*R$14,'Output - Jobs vs Yr (BAU)'!R10)</f>
        <v>0.83075633406053728</v>
      </c>
      <c r="S34" s="286">
        <f>MAX(S58*S$14,'Output - Jobs vs Yr (BAU)'!S10)</f>
        <v>0.90573257059546097</v>
      </c>
      <c r="T34" s="286">
        <f>MAX(T58*T$14,'Output - Jobs vs Yr (BAU)'!T10)</f>
        <v>0.99930983209291335</v>
      </c>
      <c r="U34" s="286">
        <f>MAX(U58*U$14,'Output - Jobs vs Yr (BAU)'!U10)</f>
        <v>1.0791943639182033</v>
      </c>
      <c r="V34" s="286">
        <f>MAX(V58*V$14,'Output - Jobs vs Yr (BAU)'!V10)</f>
        <v>1.1500696639203105</v>
      </c>
      <c r="W34" s="286">
        <f>MAX(W58*W$14,'Output - Jobs vs Yr (BAU)'!W10)</f>
        <v>1.242962066798277</v>
      </c>
      <c r="X34" s="287">
        <f>Inputs!F17*'Output -Jobs vs Yr'!$X$14</f>
        <v>1.3416233790409906</v>
      </c>
      <c r="Y34" s="286">
        <f>MAX(Y58*Y$14,'Output - Jobs vs Yr (BAU)'!Y10)</f>
        <v>1.3992782767270613</v>
      </c>
      <c r="Z34" s="286">
        <f>MAX(Z58*Z$14,'Output - Jobs vs Yr (BAU)'!Z10)</f>
        <v>1.5107123300003891</v>
      </c>
      <c r="AA34" s="286">
        <f>MAX(AA58*AA$14,'Output - Jobs vs Yr (BAU)'!AA10)</f>
        <v>1.6018570415441058</v>
      </c>
      <c r="AB34" s="286">
        <f>MAX(AB58*AB$14,'Output - Jobs vs Yr (BAU)'!AB10)</f>
        <v>1.6894440592483009</v>
      </c>
      <c r="AC34" s="286">
        <f>MAX(AC58*AC$14,'Output - Jobs vs Yr (BAU)'!AC10)</f>
        <v>1.7657912951102614</v>
      </c>
      <c r="AD34" s="286">
        <f>MAX(AD58*AD$14,'Output - Jobs vs Yr (BAU)'!AD10)</f>
        <v>1.8200137183034846</v>
      </c>
      <c r="AE34" s="286">
        <f>MAX(AE58*AE$14,'Output - Jobs vs Yr (BAU)'!AE10)</f>
        <v>1.8838316383747129</v>
      </c>
      <c r="AF34" s="286">
        <f>MAX(AF58*AF$14,'Output - Jobs vs Yr (BAU)'!AF10)</f>
        <v>1.9695254837963632</v>
      </c>
      <c r="AG34" s="286">
        <f>MAX(AG58*AG$14,'Output - Jobs vs Yr (BAU)'!AG10)</f>
        <v>2.0883920703723202</v>
      </c>
      <c r="AH34" s="287">
        <f>Inputs!I17*'Output -Jobs vs Yr'!$AH$14</f>
        <v>2.1975091361529699</v>
      </c>
      <c r="AI34" s="127"/>
    </row>
    <row r="35" spans="1:36" s="20" customFormat="1">
      <c r="A35" s="9" t="s">
        <v>50</v>
      </c>
      <c r="B35" s="35">
        <v>1</v>
      </c>
      <c r="C35" s="330">
        <f>EIA_RE_aeo2014!E74*1000</f>
        <v>1633</v>
      </c>
      <c r="D35" s="330">
        <f>MAX(D59*D$14,'Output - Jobs vs Yr (BAU)'!D11)</f>
        <v>2070</v>
      </c>
      <c r="E35" s="330">
        <f>MAX(E59*E$14,'Output - Jobs vs Yr (BAU)'!E11)</f>
        <v>2195.6848497495635</v>
      </c>
      <c r="F35" s="330">
        <f>MAX(F59*F$14,'Output - Jobs vs Yr (BAU)'!F11)</f>
        <v>3065.5470960312309</v>
      </c>
      <c r="G35" s="330">
        <f>MAX(G59*G$14,'Output - Jobs vs Yr (BAU)'!G11)</f>
        <v>4340.6323495368861</v>
      </c>
      <c r="H35" s="286">
        <f>'Output - Jobs vs Yr (BAU)'!H11</f>
        <v>2232.5369210297517</v>
      </c>
      <c r="I35" s="286">
        <f>MAX(I59*I$14,'Output - Jobs vs Yr (BAU)'!I11)</f>
        <v>2232.5369210297517</v>
      </c>
      <c r="J35" s="286">
        <f>MAX(J59*J$14,'Output - Jobs vs Yr (BAU)'!J11)</f>
        <v>2910.564818557797</v>
      </c>
      <c r="K35" s="286">
        <f>MAX(K59*K$14,'Output - Jobs vs Yr (BAU)'!K11)</f>
        <v>3896.6588690003318</v>
      </c>
      <c r="L35" s="286">
        <f>MAX(L59*L$14,'Output - Jobs vs Yr (BAU)'!L11)</f>
        <v>4691.442082971309</v>
      </c>
      <c r="M35" s="286">
        <f>MAX(M59*M$14,'Output - Jobs vs Yr (BAU)'!M11)</f>
        <v>5940.2146473529947</v>
      </c>
      <c r="N35" s="287">
        <f>MAX(Inputs!$E19*N$21,'Output - Jobs vs Yr (BAU)'!N11)</f>
        <v>7515.3521346120433</v>
      </c>
      <c r="O35" s="286">
        <f>MAX(O59*O$14,'Output - Jobs vs Yr (BAU)'!O11)</f>
        <v>8578.0204816272872</v>
      </c>
      <c r="P35" s="286">
        <f>MAX(P59*P$14,'Output - Jobs vs Yr (BAU)'!P11)</f>
        <v>9734.205549506376</v>
      </c>
      <c r="Q35" s="286">
        <f>MAX(Q59*Q$14,'Output - Jobs vs Yr (BAU)'!Q11)</f>
        <v>10770.007299593204</v>
      </c>
      <c r="R35" s="286">
        <f>MAX(R59*R$14,'Output - Jobs vs Yr (BAU)'!R11)</f>
        <v>11576.606042326597</v>
      </c>
      <c r="S35" s="286">
        <f>MAX(S59*S$14,'Output - Jobs vs Yr (BAU)'!S11)</f>
        <v>12621.401390029425</v>
      </c>
      <c r="T35" s="286">
        <f>MAX(T59*T$14,'Output - Jobs vs Yr (BAU)'!T11)</f>
        <v>13925.402390636715</v>
      </c>
      <c r="U35" s="286">
        <f>MAX(U59*U$14,'Output - Jobs vs Yr (BAU)'!U11)</f>
        <v>15038.594930857171</v>
      </c>
      <c r="V35" s="286">
        <f>MAX(V59*V$14,'Output - Jobs vs Yr (BAU)'!V11)</f>
        <v>16026.243646390545</v>
      </c>
      <c r="W35" s="286">
        <f>MAX(W59*W$14,'Output - Jobs vs Yr (BAU)'!W11)</f>
        <v>17320.701128510616</v>
      </c>
      <c r="X35" s="287">
        <f>Inputs!F19*'Output -Jobs vs Yr'!$X$14</f>
        <v>18695.54847739598</v>
      </c>
      <c r="Y35" s="286">
        <f>MAX(Y59*Y$14,'Output - Jobs vs Yr (BAU)'!Y11)</f>
        <v>19498.970623646692</v>
      </c>
      <c r="Z35" s="286">
        <f>MAX(Z59*Z$14,'Output - Jobs vs Yr (BAU)'!Z11)</f>
        <v>21051.806372896539</v>
      </c>
      <c r="AA35" s="286">
        <f>MAX(AA59*AA$14,'Output - Jobs vs Yr (BAU)'!AA11)</f>
        <v>22321.909741504998</v>
      </c>
      <c r="AB35" s="286">
        <f>MAX(AB59*AB$14,'Output - Jobs vs Yr (BAU)'!AB11)</f>
        <v>23542.436575682423</v>
      </c>
      <c r="AC35" s="286">
        <f>MAX(AC59*AC$14,'Output - Jobs vs Yr (BAU)'!AC11)</f>
        <v>24606.336826282371</v>
      </c>
      <c r="AD35" s="286">
        <f>MAX(AD59*AD$14,'Output - Jobs vs Yr (BAU)'!AD11)</f>
        <v>25361.927372189082</v>
      </c>
      <c r="AE35" s="286">
        <f>MAX(AE59*AE$14,'Output - Jobs vs Yr (BAU)'!AE11)</f>
        <v>26251.231357985067</v>
      </c>
      <c r="AF35" s="286">
        <f>MAX(AF59*AF$14,'Output - Jobs vs Yr (BAU)'!AF11)</f>
        <v>27445.376798742171</v>
      </c>
      <c r="AG35" s="286">
        <f>MAX(AG59*AG$14,'Output - Jobs vs Yr (BAU)'!AG11)</f>
        <v>29101.785047428104</v>
      </c>
      <c r="AH35" s="287">
        <f>Inputs!I19*'Output -Jobs vs Yr'!$AH$14</f>
        <v>30622.333529872983</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0</v>
      </c>
      <c r="D37" s="330">
        <f>MAX(D61*D$14,'Output - Jobs vs Yr (BAU)'!D12)</f>
        <v>0</v>
      </c>
      <c r="E37" s="330">
        <f>MAX(E61*E$14,'Output - Jobs vs Yr (BAU)'!E12)</f>
        <v>6.2751400000000002E-3</v>
      </c>
      <c r="F37" s="330">
        <f>MAX(F61*F$14,'Output - Jobs vs Yr (BAU)'!F12)</f>
        <v>7.3646300000000022E-3</v>
      </c>
      <c r="G37" s="330">
        <f>MAX(G61*G$14,'Output - Jobs vs Yr (BAU)'!G12)</f>
        <v>8.7872300000000018E-3</v>
      </c>
      <c r="H37" s="286">
        <f>'Output - Jobs vs Yr (BAU)'!H12</f>
        <v>7.8539500000000002E-3</v>
      </c>
      <c r="I37" s="118">
        <f>MAX(I61*I$14,'Output - Jobs vs Yr (BAU)'!I12)</f>
        <v>8.7771600000000026E-3</v>
      </c>
      <c r="J37" s="118">
        <f>MAX(J61*J$14,'Output - Jobs vs Yr (BAU)'!J12)</f>
        <v>8.1854936928651093E-3</v>
      </c>
      <c r="K37" s="118">
        <f>MAX(K61*K$14,'Output - Jobs vs Yr (BAU)'!K12)</f>
        <v>9.5162666510933067E-3</v>
      </c>
      <c r="L37" s="118">
        <f>MAX(L61*L$14,'Output - Jobs vs Yr (BAU)'!L12)</f>
        <v>1.1592248824329028E-2</v>
      </c>
      <c r="M37" s="118">
        <f>MAX(M61*M$14,'Output - Jobs vs Yr (BAU)'!M12)</f>
        <v>1.343712746599026E-2</v>
      </c>
      <c r="N37" s="184">
        <f>MAX(Inputs!$E20*N$21,'Output - Jobs vs Yr (BAU)'!N12)</f>
        <v>1.5563117498990501E-2</v>
      </c>
      <c r="O37" s="174">
        <f>MAX(O61*O$14,'Output - Jobs vs Yr (BAU)'!O12)</f>
        <v>1.7763737250510631E-2</v>
      </c>
      <c r="P37" s="174">
        <f>MAX(P61*P$14,'Output - Jobs vs Yr (BAU)'!P12)</f>
        <v>2.0158015487868226E-2</v>
      </c>
      <c r="Q37" s="174">
        <f>MAX(Q61*Q$14,'Output - Jobs vs Yr (BAU)'!Q12)</f>
        <v>2.2302998723985539E-2</v>
      </c>
      <c r="R37" s="174">
        <f>MAX(R61*R$14,'Output - Jobs vs Yr (BAU)'!R12)</f>
        <v>2.3973338421028334E-2</v>
      </c>
      <c r="S37" s="174">
        <f>MAX(S61*S$14,'Output - Jobs vs Yr (BAU)'!S12)</f>
        <v>2.6136945989569386E-2</v>
      </c>
      <c r="T37" s="174">
        <f>MAX(T61*T$14,'Output - Jobs vs Yr (BAU)'!T12)</f>
        <v>2.883732787823521E-2</v>
      </c>
      <c r="U37" s="174">
        <f>MAX(U61*U$14,'Output - Jobs vs Yr (BAU)'!U12)</f>
        <v>3.1142575322684468E-2</v>
      </c>
      <c r="V37" s="174">
        <f>MAX(V61*V$14,'Output - Jobs vs Yr (BAU)'!V12)</f>
        <v>3.3187841164158773E-2</v>
      </c>
      <c r="W37" s="174">
        <f>MAX(W61*W$14,'Output - Jobs vs Yr (BAU)'!W12)</f>
        <v>3.5868459920384496E-2</v>
      </c>
      <c r="X37" s="184">
        <f>Inputs!F20*'Output -Jobs vs Yr'!$X$14</f>
        <v>3.8715553503043745E-2</v>
      </c>
      <c r="Y37" s="174">
        <f>MAX(Y61*Y$14,'Output - Jobs vs Yr (BAU)'!Y12)</f>
        <v>4.037931496616997E-2</v>
      </c>
      <c r="Z37" s="174">
        <f>MAX(Z61*Z$14,'Output - Jobs vs Yr (BAU)'!Z12)</f>
        <v>4.359499465613513E-2</v>
      </c>
      <c r="AA37" s="174">
        <f>MAX(AA61*AA$14,'Output - Jobs vs Yr (BAU)'!AA12)</f>
        <v>4.6225179856703581E-2</v>
      </c>
      <c r="AB37" s="174">
        <f>MAX(AB61*AB$14,'Output - Jobs vs Yr (BAU)'!AB12)</f>
        <v>4.8752699817277555E-2</v>
      </c>
      <c r="AC37" s="174">
        <f>MAX(AC61*AC$14,'Output - Jobs vs Yr (BAU)'!AC12)</f>
        <v>5.0955870648227208E-2</v>
      </c>
      <c r="AD37" s="174">
        <f>MAX(AD61*AD$14,'Output - Jobs vs Yr (BAU)'!AD12)</f>
        <v>5.2520580356627253E-2</v>
      </c>
      <c r="AE37" s="174">
        <f>MAX(AE61*AE$14,'Output - Jobs vs Yr (BAU)'!AE12)</f>
        <v>5.4362189661868128E-2</v>
      </c>
      <c r="AF37" s="174">
        <f>MAX(AF61*AF$14,'Output - Jobs vs Yr (BAU)'!AF12)</f>
        <v>5.6835077887530228E-2</v>
      </c>
      <c r="AG37" s="174">
        <f>MAX(AG61*AG$14,'Output - Jobs vs Yr (BAU)'!AG12)</f>
        <v>6.0265240006198137E-2</v>
      </c>
      <c r="AH37" s="184">
        <f>Inputs!I20*'Output -Jobs vs Yr'!$AH$14</f>
        <v>6.3414057822227601E-2</v>
      </c>
      <c r="AI37" s="127"/>
    </row>
    <row r="38" spans="1:36" s="20" customFormat="1">
      <c r="A38" s="9" t="s">
        <v>347</v>
      </c>
      <c r="B38" s="35">
        <v>1</v>
      </c>
      <c r="C38" s="330">
        <f>'Output - Jobs vs Yr (BAU)'!C13</f>
        <v>226.21799999999996</v>
      </c>
      <c r="D38" s="330">
        <f>MAX(D62*D$14,'Output - Jobs vs Yr (BAU)'!D13)</f>
        <v>242.89521062327469</v>
      </c>
      <c r="E38" s="330">
        <f>MAX(E62*E$14,'Output - Jobs vs Yr (BAU)'!E13)</f>
        <v>266.13924742418669</v>
      </c>
      <c r="F38" s="330">
        <f>MAX(F62*F$14,'Output - Jobs vs Yr (BAU)'!F13)</f>
        <v>347.57288164937341</v>
      </c>
      <c r="G38" s="330">
        <f>MAX(G62*G$14,'Output - Jobs vs Yr (BAU)'!G13)</f>
        <v>460.35182318407317</v>
      </c>
      <c r="H38" s="286">
        <f>'Output - Jobs vs Yr (BAU)'!H13</f>
        <v>391.86432201916853</v>
      </c>
      <c r="I38" s="118">
        <f>MAX(I62*I$14,'Output - Jobs vs Yr (BAU)'!I13)</f>
        <v>344.76212633296666</v>
      </c>
      <c r="J38" s="118">
        <f>MAX(J62*J$14,'Output - Jobs vs Yr (BAU)'!J13)</f>
        <v>428.36146338376074</v>
      </c>
      <c r="K38" s="118">
        <f>MAX(K62*K$14,'Output - Jobs vs Yr (BAU)'!K13)</f>
        <v>506.50323462104978</v>
      </c>
      <c r="L38" s="118">
        <f>MAX(L62*L$14,'Output - Jobs vs Yr (BAU)'!L13)</f>
        <v>630.43356079051193</v>
      </c>
      <c r="M38" s="118">
        <f>MAX(M62*M$14,'Output - Jobs vs Yr (BAU)'!M13)</f>
        <v>746.67923935128852</v>
      </c>
      <c r="N38" s="184">
        <f>MAX(Inputs!$E21*N$21,'Output - Jobs vs Yr (BAU)'!N13)</f>
        <v>883.64992561695192</v>
      </c>
      <c r="O38" s="174">
        <f>MAX(O62*O$14,'Output - Jobs vs Yr (BAU)'!O13)</f>
        <v>1008.5977376390673</v>
      </c>
      <c r="P38" s="174">
        <f>MAX(P62*P$14,'Output - Jobs vs Yr (BAU)'!P13)</f>
        <v>1144.5411812636858</v>
      </c>
      <c r="Q38" s="174">
        <f>MAX(Q62*Q$14,'Output - Jobs vs Yr (BAU)'!Q13)</f>
        <v>1266.3300373310913</v>
      </c>
      <c r="R38" s="174">
        <f>MAX(R62*R$14,'Output - Jobs vs Yr (BAU)'!R13)</f>
        <v>1361.1693617236911</v>
      </c>
      <c r="S38" s="174">
        <f>MAX(S62*S$14,'Output - Jobs vs Yr (BAU)'!S13)</f>
        <v>1484.0156788018464</v>
      </c>
      <c r="T38" s="174">
        <f>MAX(T62*T$14,'Output - Jobs vs Yr (BAU)'!T13)</f>
        <v>1637.3392179457037</v>
      </c>
      <c r="U38" s="174">
        <f>MAX(U62*U$14,'Output - Jobs vs Yr (BAU)'!U13)</f>
        <v>1768.2276297917483</v>
      </c>
      <c r="V38" s="174">
        <f>MAX(V62*V$14,'Output - Jobs vs Yr (BAU)'!V13)</f>
        <v>1884.3546852356778</v>
      </c>
      <c r="W38" s="174">
        <f>MAX(W62*W$14,'Output - Jobs vs Yr (BAU)'!W13)</f>
        <v>2036.5561040516648</v>
      </c>
      <c r="X38" s="184">
        <f>Inputs!F21*'Output -Jobs vs Yr'!$X$14</f>
        <v>2198.2097080101603</v>
      </c>
      <c r="Y38" s="174">
        <f>MAX(Y62*Y$14,'Output - Jobs vs Yr (BAU)'!Y13)</f>
        <v>2292.6755303771251</v>
      </c>
      <c r="Z38" s="174">
        <f>MAX(Z62*Z$14,'Output - Jobs vs Yr (BAU)'!Z13)</f>
        <v>2475.2568878095276</v>
      </c>
      <c r="AA38" s="174">
        <f>MAX(AA62*AA$14,'Output - Jobs vs Yr (BAU)'!AA13)</f>
        <v>2624.5947667397527</v>
      </c>
      <c r="AB38" s="174">
        <f>MAX(AB62*AB$14,'Output - Jobs vs Yr (BAU)'!AB13)</f>
        <v>2768.103470911743</v>
      </c>
      <c r="AC38" s="174">
        <f>MAX(AC62*AC$14,'Output - Jobs vs Yr (BAU)'!AC13)</f>
        <v>2893.1961293085192</v>
      </c>
      <c r="AD38" s="174">
        <f>MAX(AD62*AD$14,'Output - Jobs vs Yr (BAU)'!AD13)</f>
        <v>2982.0379450648743</v>
      </c>
      <c r="AE38" s="174">
        <f>MAX(AE62*AE$14,'Output - Jobs vs Yr (BAU)'!AE13)</f>
        <v>3086.6016949496357</v>
      </c>
      <c r="AF38" s="174">
        <f>MAX(AF62*AF$14,'Output - Jobs vs Yr (BAU)'!AF13)</f>
        <v>3227.0084930610738</v>
      </c>
      <c r="AG38" s="174">
        <f>MAX(AG62*AG$14,'Output - Jobs vs Yr (BAU)'!AG13)</f>
        <v>3421.7678336116792</v>
      </c>
      <c r="AH38" s="184">
        <f>Inputs!I21*'Output -Jobs vs Yr'!$AH$14</f>
        <v>3600.5528764603405</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0.01</v>
      </c>
      <c r="J39" s="118">
        <f>MAX(J63*J$14,'Output - Jobs vs Yr (BAU)'!J14)</f>
        <v>0.01</v>
      </c>
      <c r="K39" s="118">
        <f>MAX(K63*K$14,'Output - Jobs vs Yr (BAU)'!K14)</f>
        <v>1.0866957888378402E-2</v>
      </c>
      <c r="L39" s="118">
        <f>MAX(L63*L$14,'Output - Jobs vs Yr (BAU)'!L14)</f>
        <v>1.2765923780176078E-2</v>
      </c>
      <c r="M39" s="118">
        <f>MAX(M63*M$14,'Output - Jobs vs Yr (BAU)'!M14)</f>
        <v>1.4270334745179398E-2</v>
      </c>
      <c r="N39" s="184">
        <f>MAX(Inputs!$E22*N$21,'Output - Jobs vs Yr (BAU)'!N14)</f>
        <v>1.5939235642445281E-2</v>
      </c>
      <c r="O39" s="174">
        <f>MAX(O63*O$14,'Output - Jobs vs Yr (BAU)'!O14)</f>
        <v>1.8193038377094923E-2</v>
      </c>
      <c r="P39" s="174">
        <f>MAX(P63*P$14,'Output - Jobs vs Yr (BAU)'!P14)</f>
        <v>2.0645179795502684E-2</v>
      </c>
      <c r="Q39" s="174">
        <f>MAX(Q63*Q$14,'Output - Jobs vs Yr (BAU)'!Q14)</f>
        <v>2.2842001431771022E-2</v>
      </c>
      <c r="R39" s="174">
        <f>MAX(R63*R$14,'Output - Jobs vs Yr (BAU)'!R14)</f>
        <v>2.4552708687937578E-2</v>
      </c>
      <c r="S39" s="174">
        <f>MAX(S63*S$14,'Output - Jobs vs Yr (BAU)'!S14)</f>
        <v>2.6768604755996614E-2</v>
      </c>
      <c r="T39" s="174">
        <f>MAX(T63*T$14,'Output - Jobs vs Yr (BAU)'!T14)</f>
        <v>2.9534247516891269E-2</v>
      </c>
      <c r="U39" s="174">
        <f>MAX(U63*U$14,'Output - Jobs vs Yr (BAU)'!U14)</f>
        <v>3.1895206510717845E-2</v>
      </c>
      <c r="V39" s="174">
        <f>MAX(V63*V$14,'Output - Jobs vs Yr (BAU)'!V14)</f>
        <v>3.3989900854625325E-2</v>
      </c>
      <c r="W39" s="174">
        <f>MAX(W63*W$14,'Output - Jobs vs Yr (BAU)'!W14)</f>
        <v>3.673530286201953E-2</v>
      </c>
      <c r="X39" s="184">
        <f>Inputs!F22*'Output -Jobs vs Yr'!$X$14</f>
        <v>3.9651202938790382E-2</v>
      </c>
      <c r="Y39" s="174">
        <f>MAX(Y63*Y$14,'Output - Jobs vs Yr (BAU)'!Y14)</f>
        <v>4.1355172983051025E-2</v>
      </c>
      <c r="Z39" s="174">
        <f>MAX(Z63*Z$14,'Output - Jobs vs Yr (BAU)'!Z14)</f>
        <v>4.4648566889015223E-2</v>
      </c>
      <c r="AA39" s="174">
        <f>MAX(AA63*AA$14,'Output - Jobs vs Yr (BAU)'!AA14)</f>
        <v>4.7342316499133633E-2</v>
      </c>
      <c r="AB39" s="174">
        <f>MAX(AB63*AB$14,'Output - Jobs vs Yr (BAU)'!AB14)</f>
        <v>4.9930919730149903E-2</v>
      </c>
      <c r="AC39" s="174">
        <f>MAX(AC63*AC$14,'Output - Jobs vs Yr (BAU)'!AC14)</f>
        <v>5.2187335196867704E-2</v>
      </c>
      <c r="AD39" s="174">
        <f>MAX(AD63*AD$14,'Output - Jobs vs Yr (BAU)'!AD14)</f>
        <v>5.3789859675387366E-2</v>
      </c>
      <c r="AE39" s="174">
        <f>MAX(AE63*AE$14,'Output - Jobs vs Yr (BAU)'!AE14)</f>
        <v>5.5675975659505487E-2</v>
      </c>
      <c r="AF39" s="174">
        <f>MAX(AF63*AF$14,'Output - Jobs vs Yr (BAU)'!AF14)</f>
        <v>5.8208626855438005E-2</v>
      </c>
      <c r="AG39" s="174">
        <f>MAX(AG63*AG$14,'Output - Jobs vs Yr (BAU)'!AG14)</f>
        <v>6.172168664598341E-2</v>
      </c>
      <c r="AH39" s="184">
        <f>Inputs!I22*'Output -Jobs vs Yr'!$AH$14</f>
        <v>6.4946602808704609E-2</v>
      </c>
      <c r="AI39" s="127"/>
    </row>
    <row r="40" spans="1:36" s="20" customFormat="1">
      <c r="A40" s="9" t="s">
        <v>344</v>
      </c>
      <c r="B40" s="35">
        <v>1</v>
      </c>
      <c r="C40" s="330">
        <f>'Output - Jobs vs Yr (BAU)'!C15</f>
        <v>0.01</v>
      </c>
      <c r="D40" s="330">
        <f>MAX(D64*D$14,'Output - Jobs vs Yr (BAU)'!D15)</f>
        <v>1.0133954610115495E-2</v>
      </c>
      <c r="E40" s="330">
        <f>MAX(E64*E$14,'Output - Jobs vs Yr (BAU)'!E15)</f>
        <v>1.0479874681744501E-2</v>
      </c>
      <c r="F40" s="330">
        <f>MAX(F64*F$14,'Output - Jobs vs Yr (BAU)'!F15)</f>
        <v>1.2917551782062917E-2</v>
      </c>
      <c r="G40" s="330">
        <f>MAX(G64*G$14,'Output - Jobs vs Yr (BAU)'!G15)</f>
        <v>1.6147725413581168E-2</v>
      </c>
      <c r="H40" s="286">
        <f>'Output - Jobs vs Yr (BAU)'!H15</f>
        <v>0.01</v>
      </c>
      <c r="I40" s="118">
        <f>MAX(I64*I$14,'Output - Jobs vs Yr (BAU)'!I15)</f>
        <v>0.01</v>
      </c>
      <c r="J40" s="118">
        <f>MAX(J64*J$14,'Output - Jobs vs Yr (BAU)'!J15)</f>
        <v>0.01</v>
      </c>
      <c r="K40" s="118">
        <f>MAX(K64*K$14,'Output - Jobs vs Yr (BAU)'!K15)</f>
        <v>1.0866957888378402E-2</v>
      </c>
      <c r="L40" s="118">
        <f>MAX(L64*L$14,'Output - Jobs vs Yr (BAU)'!L15)</f>
        <v>1.2765923780176078E-2</v>
      </c>
      <c r="M40" s="118">
        <f>MAX(M64*M$14,'Output - Jobs vs Yr (BAU)'!M15)</f>
        <v>1.4270334745179398E-2</v>
      </c>
      <c r="N40" s="184">
        <f>MAX(Inputs!$E18*N$21,'Output - Jobs vs Yr (BAU)'!N15)</f>
        <v>1.5939235642445281E-2</v>
      </c>
      <c r="O40" s="174">
        <f>MAX(O64*O$14,'Output - Jobs vs Yr (BAU)'!O15)</f>
        <v>1.8193038377094923E-2</v>
      </c>
      <c r="P40" s="174">
        <f>MAX(P64*P$14,'Output - Jobs vs Yr (BAU)'!P15)</f>
        <v>2.0645179795502684E-2</v>
      </c>
      <c r="Q40" s="174">
        <f>MAX(Q64*Q$14,'Output - Jobs vs Yr (BAU)'!Q15)</f>
        <v>2.2842001431771022E-2</v>
      </c>
      <c r="R40" s="174">
        <f>MAX(R64*R$14,'Output - Jobs vs Yr (BAU)'!R15)</f>
        <v>2.4552708687937578E-2</v>
      </c>
      <c r="S40" s="174">
        <f>MAX(S64*S$14,'Output - Jobs vs Yr (BAU)'!S15)</f>
        <v>2.6768604755996614E-2</v>
      </c>
      <c r="T40" s="174">
        <f>MAX(T64*T$14,'Output - Jobs vs Yr (BAU)'!T15)</f>
        <v>2.9534247516891269E-2</v>
      </c>
      <c r="U40" s="174">
        <f>MAX(U64*U$14,'Output - Jobs vs Yr (BAU)'!U15)</f>
        <v>3.1895206510717845E-2</v>
      </c>
      <c r="V40" s="174">
        <f>MAX(V64*V$14,'Output - Jobs vs Yr (BAU)'!V15)</f>
        <v>3.3989900854625325E-2</v>
      </c>
      <c r="W40" s="174">
        <f>MAX(W64*W$14,'Output - Jobs vs Yr (BAU)'!W15)</f>
        <v>3.673530286201953E-2</v>
      </c>
      <c r="X40" s="184">
        <f>Inputs!F18*'Output -Jobs vs Yr'!$X$14</f>
        <v>3.9651202938790382E-2</v>
      </c>
      <c r="Y40" s="174">
        <f>MAX(Y64*Y$14,'Output - Jobs vs Yr (BAU)'!Y15)</f>
        <v>4.1355172983051025E-2</v>
      </c>
      <c r="Z40" s="174">
        <f>MAX(Z64*Z$14,'Output - Jobs vs Yr (BAU)'!Z15)</f>
        <v>4.4648566889015223E-2</v>
      </c>
      <c r="AA40" s="174">
        <f>MAX(AA64*AA$14,'Output - Jobs vs Yr (BAU)'!AA15)</f>
        <v>4.7342316499133633E-2</v>
      </c>
      <c r="AB40" s="174">
        <f>MAX(AB64*AB$14,'Output - Jobs vs Yr (BAU)'!AB15)</f>
        <v>4.9930919730149903E-2</v>
      </c>
      <c r="AC40" s="174">
        <f>MAX(AC64*AC$14,'Output - Jobs vs Yr (BAU)'!AC15)</f>
        <v>5.2187335196867704E-2</v>
      </c>
      <c r="AD40" s="174">
        <f>MAX(AD64*AD$14,'Output - Jobs vs Yr (BAU)'!AD15)</f>
        <v>5.3789859675387366E-2</v>
      </c>
      <c r="AE40" s="174">
        <f>MAX(AE64*AE$14,'Output - Jobs vs Yr (BAU)'!AE15)</f>
        <v>5.5675975659505487E-2</v>
      </c>
      <c r="AF40" s="174">
        <f>MAX(AF64*AF$14,'Output - Jobs vs Yr (BAU)'!AF15)</f>
        <v>5.8208626855438005E-2</v>
      </c>
      <c r="AG40" s="174">
        <f>MAX(AG64*AG$14,'Output - Jobs vs Yr (BAU)'!AG15)</f>
        <v>6.172168664598341E-2</v>
      </c>
      <c r="AH40" s="184">
        <f>Inputs!I18*'Output -Jobs vs Yr'!$AH$14</f>
        <v>6.4946602808704609E-2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0</v>
      </c>
      <c r="E42" s="330">
        <f>MAX(E66*E$14,'Output - Jobs vs Yr (BAU)'!E16)</f>
        <v>2.4002312999999997E-2</v>
      </c>
      <c r="F42" s="330">
        <f>MAX(F66*F$14,'Output - Jobs vs Yr (BAU)'!F16)</f>
        <v>2.7396309999999997E-2</v>
      </c>
      <c r="G42" s="330">
        <f>MAX(G66*G$14,'Output - Jobs vs Yr (BAU)'!G16)</f>
        <v>3.2237394999999995E-2</v>
      </c>
      <c r="H42" s="286">
        <f>'Output - Jobs vs Yr (BAU)'!H16</f>
        <v>3.2337365E-2</v>
      </c>
      <c r="I42" s="118">
        <f>MAX(I66*I$14,'Output - Jobs vs Yr (BAU)'!I16)</f>
        <v>3.4599169999999999E-2</v>
      </c>
      <c r="J42" s="118">
        <f>MAX(J66*J$14,'Output - Jobs vs Yr (BAU)'!J16)</f>
        <v>3.5894435999999995E-2</v>
      </c>
      <c r="K42" s="118">
        <f>MAX(K66*K$14,'Output - Jobs vs Yr (BAU)'!K16)</f>
        <v>3.7022447802760837E-2</v>
      </c>
      <c r="L42" s="118">
        <f>MAX(L66*L$14,'Output - Jobs vs Yr (BAU)'!L16)</f>
        <v>4.4254784617899189E-2</v>
      </c>
      <c r="M42" s="118">
        <f>MAX(M66*M$14,'Output - Jobs vs Yr (BAU)'!M16)</f>
        <v>5.0337655463059877E-2</v>
      </c>
      <c r="N42" s="184">
        <f>MAX(Inputs!$E23*N$21,'Output - Jobs vs Yr (BAU)'!N16)</f>
        <v>5.7210685740040325E-2</v>
      </c>
      <c r="O42" s="174">
        <f>MAX(O66*O$14,'Output - Jobs vs Yr (BAU)'!O16)</f>
        <v>6.5300258092476124E-2</v>
      </c>
      <c r="P42" s="174">
        <f>MAX(P66*P$14,'Output - Jobs vs Yr (BAU)'!P16)</f>
        <v>7.4101727323853978E-2</v>
      </c>
      <c r="Q42" s="174">
        <f>MAX(Q66*Q$14,'Output - Jobs vs Yr (BAU)'!Q16)</f>
        <v>8.1986777465454616E-2</v>
      </c>
      <c r="R42" s="174">
        <f>MAX(R66*R$14,'Output - Jobs vs Yr (BAU)'!R16)</f>
        <v>8.8127017651447426E-2</v>
      </c>
      <c r="S42" s="174">
        <f>MAX(S66*S$14,'Output - Jobs vs Yr (BAU)'!S16)</f>
        <v>9.608053163581487E-2</v>
      </c>
      <c r="T42" s="174">
        <f>MAX(T66*T$14,'Output - Jobs vs Yr (BAU)'!T16)</f>
        <v>0.10600725098497984</v>
      </c>
      <c r="U42" s="174">
        <f>MAX(U66*U$14,'Output - Jobs vs Yr (BAU)'!U16)</f>
        <v>0.11448143921275439</v>
      </c>
      <c r="V42" s="174">
        <f>MAX(V66*V$14,'Output - Jobs vs Yr (BAU)'!V16)</f>
        <v>0.12199992394558605</v>
      </c>
      <c r="W42" s="174">
        <f>MAX(W66*W$14,'Output - Jobs vs Yr (BAU)'!W16)</f>
        <v>0.13185399317440447</v>
      </c>
      <c r="X42" s="184">
        <f>Inputs!F23*'Output -Jobs vs Yr'!$X$14</f>
        <v>0.14232003098723794</v>
      </c>
      <c r="Y42" s="174">
        <f>MAX(Y66*Y$14,'Output - Jobs vs Yr (BAU)'!Y16)</f>
        <v>0.1484360893039266</v>
      </c>
      <c r="Z42" s="174">
        <f>MAX(Z66*Z$14,'Output - Jobs vs Yr (BAU)'!Z16)</f>
        <v>0.1602570654158888</v>
      </c>
      <c r="AA42" s="174">
        <f>MAX(AA66*AA$14,'Output - Jobs vs Yr (BAU)'!AA16)</f>
        <v>0.16992573873648714</v>
      </c>
      <c r="AB42" s="174">
        <f>MAX(AB66*AB$14,'Output - Jobs vs Yr (BAU)'!AB16)</f>
        <v>0.17921701024269124</v>
      </c>
      <c r="AC42" s="174">
        <f>MAX(AC66*AC$14,'Output - Jobs vs Yr (BAU)'!AC16)</f>
        <v>0.18731596047224905</v>
      </c>
      <c r="AD42" s="174">
        <f>MAX(AD66*AD$14,'Output - Jobs vs Yr (BAU)'!AD16)</f>
        <v>0.19306790030098014</v>
      </c>
      <c r="AE42" s="174">
        <f>MAX(AE66*AE$14,'Output - Jobs vs Yr (BAU)'!AE16)</f>
        <v>0.19983773489388251</v>
      </c>
      <c r="AF42" s="174">
        <f>MAX(AF66*AF$14,'Output - Jobs vs Yr (BAU)'!AF16)</f>
        <v>0.20892817780532211</v>
      </c>
      <c r="AG42" s="174">
        <f>MAX(AG66*AG$14,'Output - Jobs vs Yr (BAU)'!AG16)</f>
        <v>0.22153760050107893</v>
      </c>
      <c r="AH42" s="184">
        <f>Inputs!I23*'Output -Jobs vs Yr'!$AH$14</f>
        <v>0.23311278950400113</v>
      </c>
      <c r="AI42" s="127"/>
    </row>
    <row r="43" spans="1:36">
      <c r="A43" s="10" t="s">
        <v>332</v>
      </c>
      <c r="B43" s="37"/>
      <c r="C43" s="330">
        <f>SUM(C31:C42)</f>
        <v>4321.2179999999998</v>
      </c>
      <c r="D43" s="330">
        <f t="shared" ref="D43:AG43" si="29">SUM(D31:D42)</f>
        <v>4557.2943382070989</v>
      </c>
      <c r="E43" s="330">
        <f t="shared" si="29"/>
        <v>4548.7499516703174</v>
      </c>
      <c r="F43" s="330">
        <f t="shared" si="29"/>
        <v>5724.8245723022237</v>
      </c>
      <c r="G43" s="330">
        <f t="shared" si="29"/>
        <v>7396.5711936910639</v>
      </c>
      <c r="H43" s="286">
        <f t="shared" si="29"/>
        <v>4619.4949806775849</v>
      </c>
      <c r="I43" s="83">
        <f t="shared" si="29"/>
        <v>4122.7446607635557</v>
      </c>
      <c r="J43" s="83">
        <f t="shared" si="29"/>
        <v>5020.9088036151188</v>
      </c>
      <c r="K43" s="83">
        <f t="shared" si="29"/>
        <v>6161.15325098836</v>
      </c>
      <c r="L43" s="83">
        <f t="shared" si="29"/>
        <v>7246.5079030847301</v>
      </c>
      <c r="M43" s="83">
        <f t="shared" si="29"/>
        <v>8691.7313286813696</v>
      </c>
      <c r="N43" s="184">
        <f t="shared" si="29"/>
        <v>10485.32330299555</v>
      </c>
      <c r="O43" s="83">
        <f t="shared" si="29"/>
        <v>11784.768554339611</v>
      </c>
      <c r="P43" s="83">
        <f t="shared" si="29"/>
        <v>13177.487807709256</v>
      </c>
      <c r="Q43" s="83">
        <f t="shared" si="29"/>
        <v>14376.163133867998</v>
      </c>
      <c r="R43" s="83">
        <f t="shared" si="29"/>
        <v>15247.371360457833</v>
      </c>
      <c r="S43" s="83">
        <f t="shared" si="29"/>
        <v>16412.693704481928</v>
      </c>
      <c r="T43" s="83">
        <f t="shared" si="29"/>
        <v>17889.730517138152</v>
      </c>
      <c r="U43" s="83">
        <f t="shared" si="29"/>
        <v>19098.332231742435</v>
      </c>
      <c r="V43" s="83">
        <f t="shared" si="29"/>
        <v>20131.231598656381</v>
      </c>
      <c r="W43" s="83">
        <f t="shared" si="29"/>
        <v>21532.586001866985</v>
      </c>
      <c r="X43" s="184">
        <f t="shared" si="29"/>
        <v>23014.40702623855</v>
      </c>
      <c r="Y43" s="174">
        <f t="shared" si="29"/>
        <v>23903.26973185478</v>
      </c>
      <c r="Z43" s="174">
        <f t="shared" si="29"/>
        <v>25702.237190622745</v>
      </c>
      <c r="AA43" s="174">
        <f t="shared" si="29"/>
        <v>27146.640091053261</v>
      </c>
      <c r="AB43" s="174">
        <f t="shared" si="29"/>
        <v>28523.364694641721</v>
      </c>
      <c r="AC43" s="174">
        <f t="shared" si="29"/>
        <v>29704.474305337997</v>
      </c>
      <c r="AD43" s="174">
        <f t="shared" si="29"/>
        <v>30510.103234758517</v>
      </c>
      <c r="AE43" s="174">
        <f t="shared" si="29"/>
        <v>31473.938369628399</v>
      </c>
      <c r="AF43" s="174">
        <f t="shared" si="29"/>
        <v>32798.990606732172</v>
      </c>
      <c r="AG43" s="174">
        <f t="shared" si="29"/>
        <v>34669.514664009643</v>
      </c>
      <c r="AH43" s="184">
        <f>SUM(AH31:AH42)</f>
        <v>36371.055702099693</v>
      </c>
      <c r="AI43" s="127"/>
    </row>
    <row r="44" spans="1:36">
      <c r="A44" s="10" t="s">
        <v>124</v>
      </c>
      <c r="B44" s="37"/>
      <c r="C44" s="331">
        <f>SUMPRODUCT($B34:$B42,C34:C42)</f>
        <v>1860.2279999999998</v>
      </c>
      <c r="D44" s="331">
        <f>SUMPRODUCT($B34:$B42,D34:D42)</f>
        <v>2314.0048042004601</v>
      </c>
      <c r="E44" s="331">
        <f t="shared" ref="E44:AG44" si="30">SUMPRODUCT($B34:$B42*E34:E42)</f>
        <v>2463.1084044772338</v>
      </c>
      <c r="F44" s="331">
        <f t="shared" si="30"/>
        <v>3414.8272658688006</v>
      </c>
      <c r="G44" s="331">
        <f t="shared" si="30"/>
        <v>4803.2885855847317</v>
      </c>
      <c r="H44" s="402">
        <f t="shared" si="30"/>
        <v>2625.6689124681116</v>
      </c>
      <c r="I44" s="14">
        <f>SUMPRODUCT($B34:$B42*I34:I42)</f>
        <v>2579.5681016402318</v>
      </c>
      <c r="J44" s="14">
        <f t="shared" si="30"/>
        <v>3342.2270715517025</v>
      </c>
      <c r="K44" s="14">
        <f t="shared" si="30"/>
        <v>4407.5183024908229</v>
      </c>
      <c r="L44" s="14">
        <f t="shared" si="30"/>
        <v>5327.3239886508891</v>
      </c>
      <c r="M44" s="14">
        <f t="shared" si="30"/>
        <v>6693.4312514143603</v>
      </c>
      <c r="N44" s="182">
        <f t="shared" si="30"/>
        <v>8406.6460265620335</v>
      </c>
      <c r="O44" s="14">
        <f t="shared" si="30"/>
        <v>9595.3532422293974</v>
      </c>
      <c r="P44" s="14">
        <f t="shared" si="30"/>
        <v>10888.580823509894</v>
      </c>
      <c r="Q44" s="14">
        <f t="shared" si="30"/>
        <v>12047.260184181923</v>
      </c>
      <c r="R44" s="14">
        <f t="shared" si="30"/>
        <v>12949.767366157796</v>
      </c>
      <c r="S44" s="14">
        <f t="shared" si="30"/>
        <v>14118.498556089004</v>
      </c>
      <c r="T44" s="14">
        <f t="shared" si="30"/>
        <v>15576.934831488408</v>
      </c>
      <c r="U44" s="14">
        <f t="shared" si="30"/>
        <v>16822.111169440392</v>
      </c>
      <c r="V44" s="14">
        <f t="shared" si="30"/>
        <v>17926.971568856959</v>
      </c>
      <c r="W44" s="14">
        <f t="shared" si="30"/>
        <v>19374.7413876879</v>
      </c>
      <c r="X44" s="187">
        <f t="shared" si="30"/>
        <v>20912.360146775551</v>
      </c>
      <c r="Y44" s="14">
        <f t="shared" si="30"/>
        <v>21811.316958050782</v>
      </c>
      <c r="Z44" s="14">
        <f t="shared" si="30"/>
        <v>23547.86712222992</v>
      </c>
      <c r="AA44" s="14">
        <f t="shared" si="30"/>
        <v>24968.417200837885</v>
      </c>
      <c r="AB44" s="14">
        <f t="shared" si="30"/>
        <v>26333.557322202934</v>
      </c>
      <c r="AC44" s="14">
        <f t="shared" si="30"/>
        <v>27523.641393387516</v>
      </c>
      <c r="AD44" s="14">
        <f t="shared" si="30"/>
        <v>28369.13849917227</v>
      </c>
      <c r="AE44" s="14">
        <f t="shared" si="30"/>
        <v>29364.082436448949</v>
      </c>
      <c r="AF44" s="14">
        <f t="shared" si="30"/>
        <v>30699.736997796444</v>
      </c>
      <c r="AG44" s="14">
        <f t="shared" si="30"/>
        <v>32552.046519323951</v>
      </c>
      <c r="AH44" s="187">
        <f>SUMPRODUCT($B34:$B42*AH34:AH42)</f>
        <v>34252.510335522427</v>
      </c>
      <c r="AI44" s="127"/>
    </row>
    <row r="45" spans="1:36">
      <c r="A45" s="10" t="s">
        <v>117</v>
      </c>
      <c r="B45" s="37"/>
      <c r="C45" s="332">
        <f t="shared" ref="C45:AG45" si="31">C44/C14</f>
        <v>4.9338991592180997E-2</v>
      </c>
      <c r="D45" s="332">
        <f t="shared" si="31"/>
        <v>6.5851018901549804E-2</v>
      </c>
      <c r="E45" s="332">
        <f t="shared" si="31"/>
        <v>7.3698345799209419E-2</v>
      </c>
      <c r="F45" s="332">
        <f t="shared" si="31"/>
        <v>9.0130532762808815E-2</v>
      </c>
      <c r="G45" s="332">
        <f t="shared" si="31"/>
        <v>0.11027164137876741</v>
      </c>
      <c r="H45" s="284">
        <f t="shared" si="31"/>
        <v>6.0305626056249118E-2</v>
      </c>
      <c r="I45" s="23">
        <f t="shared" si="31"/>
        <v>7.7579501327651915E-2</v>
      </c>
      <c r="J45" s="23">
        <f t="shared" si="31"/>
        <v>9.3630414010489216E-2</v>
      </c>
      <c r="K45" s="23">
        <f t="shared" si="31"/>
        <v>0.11974663703491831</v>
      </c>
      <c r="L45" s="23">
        <f t="shared" si="31"/>
        <v>0.1339637060396483</v>
      </c>
      <c r="M45" s="23">
        <f t="shared" si="31"/>
        <v>0.16371860782281922</v>
      </c>
      <c r="N45" s="178">
        <f t="shared" si="31"/>
        <v>0.2001666736902451</v>
      </c>
      <c r="O45" s="23">
        <f t="shared" si="31"/>
        <v>0.20844974103793454</v>
      </c>
      <c r="P45" s="23">
        <f t="shared" si="31"/>
        <v>0.21707377743789846</v>
      </c>
      <c r="Q45" s="207">
        <f t="shared" si="31"/>
        <v>0.22605702894976365</v>
      </c>
      <c r="R45" s="207">
        <f t="shared" si="31"/>
        <v>0.23541577516491602</v>
      </c>
      <c r="S45" s="207">
        <f t="shared" si="31"/>
        <v>0.24515734545417364</v>
      </c>
      <c r="T45" s="207">
        <f t="shared" si="31"/>
        <v>0.25529796344992356</v>
      </c>
      <c r="U45" s="207">
        <f t="shared" si="31"/>
        <v>0.26586150803593522</v>
      </c>
      <c r="V45" s="207">
        <f t="shared" si="31"/>
        <v>0.27686403334782478</v>
      </c>
      <c r="W45" s="207">
        <f t="shared" si="31"/>
        <v>0.28831744782425422</v>
      </c>
      <c r="X45" s="185">
        <f t="shared" si="31"/>
        <v>0.30024407332365538</v>
      </c>
      <c r="Y45" s="172">
        <f t="shared" si="31"/>
        <v>0.30901081685083864</v>
      </c>
      <c r="Z45" s="172">
        <f t="shared" si="31"/>
        <v>0.31802375522980381</v>
      </c>
      <c r="AA45" s="172">
        <f t="shared" si="31"/>
        <v>0.32730368142368893</v>
      </c>
      <c r="AB45" s="172">
        <f t="shared" si="31"/>
        <v>0.33685517268917209</v>
      </c>
      <c r="AC45" s="172">
        <f t="shared" si="31"/>
        <v>0.34668727310301811</v>
      </c>
      <c r="AD45" s="172">
        <f t="shared" si="31"/>
        <v>0.3568097716059575</v>
      </c>
      <c r="AE45" s="172">
        <f t="shared" si="31"/>
        <v>0.36722604490064992</v>
      </c>
      <c r="AF45" s="172">
        <f t="shared" si="31"/>
        <v>0.37794277814658656</v>
      </c>
      <c r="AG45" s="172">
        <f t="shared" si="31"/>
        <v>0.38896733948997902</v>
      </c>
      <c r="AH45" s="185">
        <f>AH44/AH14</f>
        <v>0.40031555409675784</v>
      </c>
      <c r="AI45" s="127"/>
    </row>
    <row r="46" spans="1:36" s="252" customFormat="1">
      <c r="A46" s="10" t="s">
        <v>333</v>
      </c>
      <c r="B46" s="37"/>
      <c r="C46" s="330">
        <f>SUM(EIA_electricity_aeo2014!E50,EIA_electricity_aeo2014!E55)*1000</f>
        <v>16</v>
      </c>
      <c r="D46" s="330">
        <f>SUM(EIA_electricity_aeo2014!F50,EIA_electricity_aeo2014!F55)*1000</f>
        <v>11</v>
      </c>
      <c r="E46" s="330">
        <f>SUM(EIA_electricity_aeo2014!G50,EIA_electricity_aeo2014!G55)*1000</f>
        <v>13.815117484114632</v>
      </c>
      <c r="F46" s="330">
        <f>SUM(EIA_electricity_aeo2014!H50,EIA_electricity_aeo2014!H55)*1000</f>
        <v>13.270493136935078</v>
      </c>
      <c r="G46" s="330">
        <f>SUM(EIA_electricity_aeo2014!I50,EIA_electricity_aeo2014!I55)*1000</f>
        <v>20.00885186847103</v>
      </c>
      <c r="H46" s="286">
        <f>SUM(EIA_electricity_aeo2014!J50,EIA_electricity_aeo2014!J55)*1000</f>
        <v>20.390257911375798</v>
      </c>
      <c r="I46" s="286">
        <f>SUM(EIA_electricity_aeo2014!K50,EIA_electricity_aeo2014!K55)*1000</f>
        <v>21.183912475118472</v>
      </c>
      <c r="J46" s="286">
        <f>SUM(EIA_electricity_aeo2014!L50,EIA_electricity_aeo2014!L55)*1000</f>
        <v>21.18969404992929</v>
      </c>
      <c r="K46" s="286">
        <f>SUM(EIA_electricity_aeo2014!M50,EIA_electricity_aeo2014!M55)*1000</f>
        <v>21.517375920745799</v>
      </c>
      <c r="L46" s="286">
        <f>SUM(EIA_electricity_aeo2014!N50,EIA_electricity_aeo2014!N55)*1000</f>
        <v>21.654243585978946</v>
      </c>
      <c r="M46" s="286">
        <f>SUM(EIA_electricity_aeo2014!O50,EIA_electricity_aeo2014!O55)*1000</f>
        <v>21.622911897869525</v>
      </c>
      <c r="N46" s="286">
        <f>SUM(EIA_electricity_aeo2014!P50,EIA_electricity_aeo2014!P55)*1000</f>
        <v>21.639100307339824</v>
      </c>
      <c r="O46" s="286">
        <f>SUM(EIA_electricity_aeo2014!Q50,EIA_electricity_aeo2014!Q55)*1000</f>
        <v>21.307504755112916</v>
      </c>
      <c r="P46" s="286">
        <f>SUM(EIA_electricity_aeo2014!R50,EIA_electricity_aeo2014!R55)*1000</f>
        <v>21.162142622273102</v>
      </c>
      <c r="Q46" s="286">
        <f>SUM(EIA_electricity_aeo2014!S50,EIA_electricity_aeo2014!S55)*1000</f>
        <v>21.166412092902632</v>
      </c>
      <c r="R46" s="286">
        <f>SUM(EIA_electricity_aeo2014!T50,EIA_electricity_aeo2014!T55)*1000</f>
        <v>21.171771168015741</v>
      </c>
      <c r="S46" s="286">
        <f>SUM(EIA_electricity_aeo2014!U50,EIA_electricity_aeo2014!U55)*1000</f>
        <v>21.184646290382922</v>
      </c>
      <c r="T46" s="286">
        <f>SUM(EIA_electricity_aeo2014!V50,EIA_electricity_aeo2014!V55)*1000</f>
        <v>21.161853543532562</v>
      </c>
      <c r="U46" s="286">
        <f>SUM(EIA_electricity_aeo2014!W50,EIA_electricity_aeo2014!W55)*1000</f>
        <v>21.134902510183647</v>
      </c>
      <c r="V46" s="286">
        <f>SUM(EIA_electricity_aeo2014!X50,EIA_electricity_aeo2014!X55)*1000</f>
        <v>21.11826936418943</v>
      </c>
      <c r="W46" s="286">
        <f>SUM(EIA_electricity_aeo2014!Y50,EIA_electricity_aeo2014!Y55)*1000</f>
        <v>21.107284372048866</v>
      </c>
      <c r="X46" s="286">
        <f>SUM(EIA_electricity_aeo2014!Z50,EIA_electricity_aeo2014!Z55)*1000</f>
        <v>21.094431486507883</v>
      </c>
      <c r="Y46" s="286">
        <f>SUM(EIA_electricity_aeo2014!AA50,EIA_electricity_aeo2014!AA55)*1000</f>
        <v>21.080488996483318</v>
      </c>
      <c r="Z46" s="286">
        <f>SUM(EIA_electricity_aeo2014!AB50,EIA_electricity_aeo2014!AB55)*1000</f>
        <v>21.067369269027989</v>
      </c>
      <c r="AA46" s="286">
        <f>SUM(EIA_electricity_aeo2014!AC50,EIA_electricity_aeo2014!AC55)*1000</f>
        <v>21.054449673008421</v>
      </c>
      <c r="AB46" s="286">
        <f>SUM(EIA_electricity_aeo2014!AD50,EIA_electricity_aeo2014!AD55)*1000</f>
        <v>21.042130471296126</v>
      </c>
      <c r="AC46" s="286">
        <f>SUM(EIA_electricity_aeo2014!AE50,EIA_electricity_aeo2014!AE55)*1000</f>
        <v>21.032924425251199</v>
      </c>
      <c r="AD46" s="286">
        <f>SUM(EIA_electricity_aeo2014!AF50,EIA_electricity_aeo2014!AF55)*1000</f>
        <v>21.026942719004619</v>
      </c>
      <c r="AE46" s="286">
        <f>SUM(EIA_electricity_aeo2014!AG50,EIA_electricity_aeo2014!AG55)*1000</f>
        <v>21.010198388879431</v>
      </c>
      <c r="AF46" s="286">
        <f>SUM(EIA_electricity_aeo2014!AH50,EIA_electricity_aeo2014!AH55)*1000</f>
        <v>20.998346160517237</v>
      </c>
      <c r="AG46" s="286">
        <f>SUM(EIA_electricity_aeo2014!AI50,EIA_electricity_aeo2014!AI55)*1000</f>
        <v>20.988873272557967</v>
      </c>
      <c r="AH46" s="286">
        <f>SUM(EIA_electricity_aeo2014!AJ50,EIA_electricity_aeo2014!AJ55)*1000</f>
        <v>20.97613157114796</v>
      </c>
      <c r="AI46" s="292"/>
    </row>
    <row r="47" spans="1:36" s="252" customFormat="1">
      <c r="A47" s="10" t="s">
        <v>142</v>
      </c>
      <c r="B47" s="37"/>
      <c r="C47" s="330">
        <f>(C$14-C$43-C$46)*0.7</f>
        <v>23356.047399999992</v>
      </c>
      <c r="D47" s="330">
        <f>(D$14-D$30-D$43-D$46)*EIA_electricity_aeo2014!F60</f>
        <v>6971.1658633066627</v>
      </c>
      <c r="E47" s="330">
        <f>(E$14-E$30-E$43-E$46)*EIA_electricity_aeo2014!G60</f>
        <v>7266.0220407306124</v>
      </c>
      <c r="F47" s="330">
        <f>(F$14-F$30-F$43-F$46)*EIA_electricity_aeo2014!H60</f>
        <v>7066.6055482848597</v>
      </c>
      <c r="G47" s="330">
        <f>(G$14-G$30-G$43-G$46)*EIA_electricity_aeo2014!I60</f>
        <v>6295.4859840124072</v>
      </c>
      <c r="H47" s="286">
        <f>(H$14-H$30-H$43-H$46)*EIA_electricity_aeo2014!J60</f>
        <v>7106.4797983683966</v>
      </c>
      <c r="I47" s="286">
        <f>(I$14-I$30-I$43-I$46)*EIA_electricity_aeo2014!K60</f>
        <v>7928.7514515225103</v>
      </c>
      <c r="J47" s="286">
        <f>(J$14-J$30-J$43-J$46)*EIA_electricity_aeo2014!L60</f>
        <v>7850.9864877598757</v>
      </c>
      <c r="K47" s="286">
        <f>(K$14-K$30-K$43-K$46)*EIA_electricity_aeo2014!M60</f>
        <v>8054.8490908543672</v>
      </c>
      <c r="L47" s="286">
        <f>(L$14-L$30-L$43-L$46)*EIA_electricity_aeo2014!N60</f>
        <v>7977.9009964405532</v>
      </c>
      <c r="M47" s="286">
        <f>(M$14-M$30-M$43-M$46)*EIA_electricity_aeo2014!O60</f>
        <v>7656.8598464384495</v>
      </c>
      <c r="N47" s="287">
        <f>(N$14-N$43-N$46)*EIA_electricity_aeo2014!P60 - N30</f>
        <v>7260.805642943822</v>
      </c>
      <c r="O47" s="286">
        <f>(O$14-O$43-O$46)*EIA_electricity_aeo2014!Q60 - O30</f>
        <v>6910.5839061920497</v>
      </c>
      <c r="P47" s="286">
        <f>(P$14-P$43-P$46)*EIA_electricity_aeo2014!R60 - P30</f>
        <v>6733.1140085412235</v>
      </c>
      <c r="Q47" s="286">
        <f>(Q$14-Q$43-Q$46)*EIA_electricity_aeo2014!S60 - Q30</f>
        <v>6695.4143847113082</v>
      </c>
      <c r="R47" s="286">
        <f>(R$14-R$43-R$46)*EIA_electricity_aeo2014!T60 - R30</f>
        <v>6694.3234538818579</v>
      </c>
      <c r="S47" s="286">
        <f>(S$14-S$43-S$46)*EIA_electricity_aeo2014!U60 - S30</f>
        <v>6650.9641638415178</v>
      </c>
      <c r="T47" s="286">
        <f>(T$14-T$43-T$46)*EIA_electricity_aeo2014!V60 - T30</f>
        <v>6576.570408677695</v>
      </c>
      <c r="U47" s="286">
        <f>(U$14-U$43-U$46)*EIA_electricity_aeo2014!W60 - U30</f>
        <v>6525.790912349592</v>
      </c>
      <c r="V47" s="286">
        <f>(V$14-V$43-V$46)*EIA_electricity_aeo2014!X60 - V30</f>
        <v>6447.1519294492427</v>
      </c>
      <c r="W47" s="286">
        <f>(W$14-W$43-W$46)*EIA_electricity_aeo2014!Y60 - W30</f>
        <v>6309.876663419027</v>
      </c>
      <c r="X47" s="287">
        <f>(X$14-X$43-X$46)*EIA_electricity_aeo2014!Z60 - X30</f>
        <v>6201.3790505577963</v>
      </c>
      <c r="Y47" s="286">
        <f>(Y$14-Y$43-Y$46)*EIA_electricity_aeo2014!AA60 - Y30</f>
        <v>6203.8345707424141</v>
      </c>
      <c r="Z47" s="286">
        <f>(Z$14-Z$43-Z$46)*EIA_electricity_aeo2014!AB60 - Z30</f>
        <v>6186.4167559993175</v>
      </c>
      <c r="AA47" s="286">
        <f>(AA$14-AA$43-AA$46)*EIA_electricity_aeo2014!AC60 - AA30</f>
        <v>6183.3126830047477</v>
      </c>
      <c r="AB47" s="286">
        <f>(AB$14-AB$43-AB$46)*EIA_electricity_aeo2014!AD60 - AB30</f>
        <v>6192.2032836303069</v>
      </c>
      <c r="AC47" s="286">
        <f>(AC$14-AC$43-AC$46)*EIA_electricity_aeo2014!AE60 - AC30</f>
        <v>6128.2423345684147</v>
      </c>
      <c r="AD47" s="286">
        <f>(AD$14-AD$43-AD$46)*EIA_electricity_aeo2014!AF60 - AD30</f>
        <v>6074.2791416176133</v>
      </c>
      <c r="AE47" s="286">
        <f>(AE$14-AE$43-AE$46)*EIA_electricity_aeo2014!AG60 - AE30</f>
        <v>5988.2484687929773</v>
      </c>
      <c r="AF47" s="286">
        <f>(AF$14-AF$43-AF$46)*EIA_electricity_aeo2014!AH60 - AF30</f>
        <v>5891.8857005772697</v>
      </c>
      <c r="AG47" s="286">
        <f>(AG$14-AG$43-AG$46)*EIA_electricity_aeo2014!AI60 - AG30</f>
        <v>5768.916125879713</v>
      </c>
      <c r="AH47" s="287">
        <f>(AH$14-AH$43-AH$46)*EIA_electricity_aeo2014!AJ60 - AH30</f>
        <v>5624.5230209665906</v>
      </c>
      <c r="AI47" s="292"/>
      <c r="AJ47" s="398"/>
    </row>
    <row r="48" spans="1:36" s="252" customFormat="1">
      <c r="A48" s="10" t="s">
        <v>222</v>
      </c>
      <c r="B48" s="37"/>
      <c r="C48" s="330">
        <f>(C$14-C$43-C$46)* 0.3</f>
        <v>10009.734599999998</v>
      </c>
      <c r="D48" s="330">
        <f t="shared" ref="D48:AH48" si="32">(D$14-SUM(D30:D42,D46:D47))</f>
        <v>23600.539798486239</v>
      </c>
      <c r="E48" s="330">
        <f t="shared" si="32"/>
        <v>21592.901225659876</v>
      </c>
      <c r="F48" s="330">
        <f>(F$14-SUM(F30:F42,F46:F47))</f>
        <v>25082.873787454766</v>
      </c>
      <c r="G48" s="330">
        <f t="shared" si="32"/>
        <v>29846.627080709404</v>
      </c>
      <c r="H48" s="286">
        <f t="shared" si="32"/>
        <v>31793.004076283592</v>
      </c>
      <c r="I48" s="286">
        <f t="shared" si="32"/>
        <v>21177.960382755693</v>
      </c>
      <c r="J48" s="286">
        <f t="shared" si="32"/>
        <v>22802.870296555135</v>
      </c>
      <c r="K48" s="286">
        <f t="shared" si="32"/>
        <v>22569.512292710304</v>
      </c>
      <c r="L48" s="286">
        <f t="shared" si="32"/>
        <v>24520.856914133183</v>
      </c>
      <c r="M48" s="286">
        <f t="shared" si="32"/>
        <v>24513.539692871374</v>
      </c>
      <c r="N48" s="287">
        <f t="shared" si="32"/>
        <v>24230.462086563464</v>
      </c>
      <c r="O48" s="286">
        <f t="shared" si="32"/>
        <v>27315.314910053537</v>
      </c>
      <c r="P48" s="286">
        <f t="shared" si="32"/>
        <v>30228.973795944054</v>
      </c>
      <c r="Q48" s="286">
        <f t="shared" si="32"/>
        <v>32200.269076497629</v>
      </c>
      <c r="R48" s="286">
        <f t="shared" si="32"/>
        <v>33045.203103475898</v>
      </c>
      <c r="S48" s="286">
        <f t="shared" si="32"/>
        <v>34504.696684929033</v>
      </c>
      <c r="T48" s="286">
        <f t="shared" si="32"/>
        <v>36527.261431489278</v>
      </c>
      <c r="U48" s="286">
        <f t="shared" si="32"/>
        <v>37628.70475348326</v>
      </c>
      <c r="V48" s="286">
        <f t="shared" si="32"/>
        <v>38150.589978933924</v>
      </c>
      <c r="W48" s="286">
        <f t="shared" si="32"/>
        <v>39335.767218094261</v>
      </c>
      <c r="X48" s="287">
        <f t="shared" si="32"/>
        <v>40414.31998096899</v>
      </c>
      <c r="Y48" s="286">
        <f t="shared" si="32"/>
        <v>40456.13060659264</v>
      </c>
      <c r="Z48" s="286">
        <f t="shared" si="32"/>
        <v>42134.644034157187</v>
      </c>
      <c r="AA48" s="286">
        <f t="shared" si="32"/>
        <v>42934.163453945243</v>
      </c>
      <c r="AB48" s="286">
        <f t="shared" si="32"/>
        <v>43438.105487807188</v>
      </c>
      <c r="AC48" s="286">
        <f t="shared" si="32"/>
        <v>43536.650743812512</v>
      </c>
      <c r="AD48" s="286">
        <f t="shared" si="32"/>
        <v>42902.33053759719</v>
      </c>
      <c r="AE48" s="286">
        <f t="shared" si="32"/>
        <v>42478.676158739276</v>
      </c>
      <c r="AF48" s="286">
        <f t="shared" si="32"/>
        <v>42516.657211450161</v>
      </c>
      <c r="AG48" s="286">
        <f t="shared" si="32"/>
        <v>43228.960348400957</v>
      </c>
      <c r="AH48" s="287">
        <f t="shared" si="32"/>
        <v>43547.220984168627</v>
      </c>
      <c r="AI48" s="292"/>
    </row>
    <row r="49" spans="1:35" s="252" customFormat="1">
      <c r="A49" s="10" t="s">
        <v>334</v>
      </c>
      <c r="B49" s="37"/>
      <c r="C49" s="330">
        <f>SUM(C43,C46:C48)</f>
        <v>37702.999999999993</v>
      </c>
      <c r="D49" s="330">
        <f t="shared" ref="D49:M49" si="33">SUM(D43,D46:D48)+D30</f>
        <v>35140</v>
      </c>
      <c r="E49" s="330">
        <f t="shared" si="33"/>
        <v>33421.48833554492</v>
      </c>
      <c r="F49" s="330">
        <f t="shared" si="33"/>
        <v>37887.574401178783</v>
      </c>
      <c r="G49" s="330">
        <f t="shared" si="33"/>
        <v>43558.693110281347</v>
      </c>
      <c r="H49" s="286">
        <f>SUM(H43,H46:H48)+H30</f>
        <v>43539.369113240951</v>
      </c>
      <c r="I49" s="286">
        <f t="shared" si="33"/>
        <v>33250.640407516876</v>
      </c>
      <c r="J49" s="286">
        <f t="shared" si="33"/>
        <v>35695.955281980059</v>
      </c>
      <c r="K49" s="286">
        <f t="shared" si="33"/>
        <v>36807.032010473777</v>
      </c>
      <c r="L49" s="286">
        <f t="shared" si="33"/>
        <v>39766.920057244446</v>
      </c>
      <c r="M49" s="286">
        <f t="shared" si="33"/>
        <v>40883.753779889063</v>
      </c>
      <c r="N49" s="287">
        <f t="shared" ref="N49:AH49" si="34">SUM(N43,N46:N48)+N30</f>
        <v>41998.230132810175</v>
      </c>
      <c r="O49" s="286">
        <f t="shared" si="34"/>
        <v>46031.974875340311</v>
      </c>
      <c r="P49" s="286">
        <f t="shared" si="34"/>
        <v>50160.737754816808</v>
      </c>
      <c r="Q49" s="286">
        <f t="shared" si="34"/>
        <v>53293.013007169837</v>
      </c>
      <c r="R49" s="286">
        <f t="shared" si="34"/>
        <v>55008.069688983604</v>
      </c>
      <c r="S49" s="286">
        <f t="shared" si="34"/>
        <v>57589.539199542858</v>
      </c>
      <c r="T49" s="286">
        <f t="shared" si="34"/>
        <v>61014.724210848661</v>
      </c>
      <c r="U49" s="286">
        <f t="shared" si="34"/>
        <v>63273.962800085472</v>
      </c>
      <c r="V49" s="286">
        <f t="shared" si="34"/>
        <v>64750.091776403737</v>
      </c>
      <c r="W49" s="286">
        <f t="shared" si="34"/>
        <v>67199.337167752325</v>
      </c>
      <c r="X49" s="287">
        <f t="shared" si="34"/>
        <v>69651.200489251845</v>
      </c>
      <c r="Y49" s="286">
        <f t="shared" si="34"/>
        <v>70584.315398186314</v>
      </c>
      <c r="Z49" s="286">
        <f t="shared" si="34"/>
        <v>74044.365350048276</v>
      </c>
      <c r="AA49" s="286">
        <f t="shared" si="34"/>
        <v>76285.170677676258</v>
      </c>
      <c r="AB49" s="286">
        <f t="shared" si="34"/>
        <v>78174.715596550508</v>
      </c>
      <c r="AC49" s="286">
        <f t="shared" si="34"/>
        <v>79390.400308144177</v>
      </c>
      <c r="AD49" s="286">
        <f t="shared" si="34"/>
        <v>79507.739856692322</v>
      </c>
      <c r="AE49" s="286">
        <f t="shared" si="34"/>
        <v>79961.873195549531</v>
      </c>
      <c r="AF49" s="286">
        <f t="shared" si="34"/>
        <v>81228.531864920122</v>
      </c>
      <c r="AG49" s="286">
        <f t="shared" si="34"/>
        <v>83688.380011562869</v>
      </c>
      <c r="AH49" s="287">
        <f t="shared" si="34"/>
        <v>85563.775838806061</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332"/>
      <c r="D51" s="332">
        <f>D44/C44-1</f>
        <v>0.24393612191648573</v>
      </c>
      <c r="E51" s="332">
        <f t="shared" ref="E51:X51" si="36">E44/D44-1</f>
        <v>6.4435302816189477E-2</v>
      </c>
      <c r="F51" s="332">
        <f t="shared" si="36"/>
        <v>0.38638935243841122</v>
      </c>
      <c r="G51" s="332">
        <f>G44/F44-1</f>
        <v>0.40659781933733585</v>
      </c>
      <c r="H51" s="284"/>
      <c r="I51" s="164">
        <f t="shared" ref="I51:N51" si="37">I44/H44-1</f>
        <v>-1.7557739518858528E-2</v>
      </c>
      <c r="J51" s="172">
        <f t="shared" si="37"/>
        <v>0.29565374506938968</v>
      </c>
      <c r="K51" s="172">
        <f t="shared" si="37"/>
        <v>0.3187369404091791</v>
      </c>
      <c r="L51" s="172">
        <f t="shared" si="37"/>
        <v>0.20869015691670656</v>
      </c>
      <c r="M51" s="172">
        <f t="shared" si="37"/>
        <v>0.25643404937896963</v>
      </c>
      <c r="N51" s="172">
        <f t="shared" si="37"/>
        <v>0.25595463833077559</v>
      </c>
      <c r="O51" s="172">
        <f t="shared" ref="O51:R51" si="38">O44/N44-1</f>
        <v>0.14140088828665665</v>
      </c>
      <c r="P51" s="172">
        <f t="shared" si="38"/>
        <v>0.13477644320471382</v>
      </c>
      <c r="Q51" s="172">
        <f t="shared" si="38"/>
        <v>0.10641233962926422</v>
      </c>
      <c r="R51" s="172">
        <f t="shared" si="38"/>
        <v>7.4913894792516089E-2</v>
      </c>
      <c r="S51" s="164">
        <f t="shared" si="36"/>
        <v>9.0251134007666156E-2</v>
      </c>
      <c r="T51" s="164">
        <f t="shared" si="36"/>
        <v>0.10329967238410154</v>
      </c>
      <c r="U51" s="164">
        <f t="shared" si="36"/>
        <v>7.9937186065315524E-2</v>
      </c>
      <c r="V51" s="164">
        <f t="shared" si="36"/>
        <v>6.5679057062926427E-2</v>
      </c>
      <c r="W51" s="164">
        <f t="shared" si="36"/>
        <v>8.0759308021999043E-2</v>
      </c>
      <c r="X51" s="185">
        <f t="shared" si="36"/>
        <v>7.9362027514068512E-2</v>
      </c>
      <c r="Y51" s="172">
        <f t="shared" ref="Y51:AH51" si="39">Y44/X44-1</f>
        <v>4.2986865421492881E-2</v>
      </c>
      <c r="Z51" s="172">
        <f t="shared" si="39"/>
        <v>7.9616933150758573E-2</v>
      </c>
      <c r="AA51" s="172">
        <f t="shared" si="39"/>
        <v>6.0326061431989375E-2</v>
      </c>
      <c r="AB51" s="172">
        <f t="shared" si="39"/>
        <v>5.4674676027090641E-2</v>
      </c>
      <c r="AC51" s="172">
        <f t="shared" si="39"/>
        <v>4.5192681589629746E-2</v>
      </c>
      <c r="AD51" s="172">
        <f t="shared" si="39"/>
        <v>3.0718940626362157E-2</v>
      </c>
      <c r="AE51" s="172">
        <f t="shared" si="39"/>
        <v>3.5071348300044658E-2</v>
      </c>
      <c r="AF51" s="172">
        <f t="shared" si="39"/>
        <v>4.5485996854768951E-2</v>
      </c>
      <c r="AG51" s="172">
        <f t="shared" si="39"/>
        <v>6.0336331925594733E-2</v>
      </c>
      <c r="AH51" s="185">
        <f t="shared" si="39"/>
        <v>5.2238307511296656E-2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541</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6.5273055194546861E-2</v>
      </c>
      <c r="D56" s="336">
        <f t="shared" si="40"/>
        <v>6.383863215727488E-2</v>
      </c>
      <c r="E56" s="336">
        <f t="shared" si="40"/>
        <v>6.2404209120002913E-2</v>
      </c>
      <c r="F56" s="336">
        <f t="shared" si="40"/>
        <v>6.0969786082730924E-2</v>
      </c>
      <c r="G56" s="336">
        <f t="shared" si="40"/>
        <v>5.9535363045458957E-2</v>
      </c>
      <c r="H56" s="396">
        <f t="shared" si="40"/>
        <v>4.5793637087936614E-2</v>
      </c>
      <c r="I56" s="173">
        <f t="shared" si="40"/>
        <v>4.6410431204039704E-2</v>
      </c>
      <c r="J56" s="173">
        <f t="shared" si="40"/>
        <v>4.7027225320142793E-2</v>
      </c>
      <c r="K56" s="173">
        <f t="shared" si="40"/>
        <v>4.7644019436245882E-2</v>
      </c>
      <c r="L56" s="173">
        <f t="shared" si="40"/>
        <v>4.8260813552348972E-2</v>
      </c>
      <c r="M56" s="173">
        <f t="shared" si="40"/>
        <v>4.8877607668452061E-2</v>
      </c>
      <c r="N56" s="178">
        <f>N26</f>
        <v>4.9494401784555137E-2</v>
      </c>
      <c r="O56" s="116">
        <f t="shared" ref="O56:AH56" si="41">O31/O$49</f>
        <v>4.7562923772864252E-2</v>
      </c>
      <c r="P56" s="116">
        <f t="shared" si="41"/>
        <v>4.5631445761173367E-2</v>
      </c>
      <c r="Q56" s="116">
        <f t="shared" si="41"/>
        <v>4.3699967749482482E-2</v>
      </c>
      <c r="R56" s="116">
        <f t="shared" si="41"/>
        <v>4.1768489737791605E-2</v>
      </c>
      <c r="S56" s="116">
        <f t="shared" si="41"/>
        <v>3.9837011726100713E-2</v>
      </c>
      <c r="T56" s="116">
        <f t="shared" si="41"/>
        <v>3.7905533714409828E-2</v>
      </c>
      <c r="U56" s="116">
        <f t="shared" si="41"/>
        <v>3.5974055702718943E-2</v>
      </c>
      <c r="V56" s="116">
        <f t="shared" si="41"/>
        <v>3.4042577691028059E-2</v>
      </c>
      <c r="W56" s="116">
        <f t="shared" si="41"/>
        <v>3.2111099679337174E-2</v>
      </c>
      <c r="X56" s="178">
        <f t="shared" si="41"/>
        <v>3.0179621667646286E-2</v>
      </c>
      <c r="Y56" s="173">
        <f t="shared" si="41"/>
        <v>2.9637643462328611E-2</v>
      </c>
      <c r="Z56" s="173">
        <f t="shared" si="41"/>
        <v>2.9095665257010943E-2</v>
      </c>
      <c r="AA56" s="173">
        <f t="shared" si="41"/>
        <v>2.8553687051693276E-2</v>
      </c>
      <c r="AB56" s="173">
        <f t="shared" si="41"/>
        <v>2.8011708846375601E-2</v>
      </c>
      <c r="AC56" s="173">
        <f t="shared" si="41"/>
        <v>2.7469730641057927E-2</v>
      </c>
      <c r="AD56" s="173">
        <f t="shared" si="41"/>
        <v>2.6927752435740256E-2</v>
      </c>
      <c r="AE56" s="173">
        <f t="shared" si="41"/>
        <v>2.6385774230422588E-2</v>
      </c>
      <c r="AF56" s="173">
        <f t="shared" si="41"/>
        <v>2.584379602510492E-2</v>
      </c>
      <c r="AG56" s="173">
        <f t="shared" si="41"/>
        <v>2.5301817819787242E-2</v>
      </c>
      <c r="AH56" s="178">
        <f t="shared" si="41"/>
        <v>2.4759839614469571E-2</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2.6523088348407295E-5</v>
      </c>
      <c r="D58" s="336">
        <f t="shared" ref="D58:G59" si="44">C58*($N71)</f>
        <v>3.1287980152968473E-5</v>
      </c>
      <c r="E58" s="336">
        <f t="shared" si="44"/>
        <v>3.6908888180487253E-5</v>
      </c>
      <c r="F58" s="336">
        <f t="shared" si="44"/>
        <v>4.3539596358075082E-5</v>
      </c>
      <c r="G58" s="336">
        <f t="shared" si="44"/>
        <v>5.1361516005413276E-5</v>
      </c>
      <c r="H58" s="396">
        <f>H34/H$49</f>
        <v>4.7652988184445361E-6</v>
      </c>
      <c r="I58" s="116">
        <f t="shared" ref="I58:N59" si="45">H58*($N71)</f>
        <v>5.6213881617375825E-6</v>
      </c>
      <c r="J58" s="116">
        <f t="shared" si="45"/>
        <v>6.6312745682626772E-6</v>
      </c>
      <c r="K58" s="116">
        <f t="shared" si="45"/>
        <v>7.8225877905031488E-6</v>
      </c>
      <c r="L58" s="116">
        <f t="shared" si="45"/>
        <v>9.2279212857507738E-6</v>
      </c>
      <c r="M58" s="116">
        <f t="shared" si="45"/>
        <v>1.0885723949227175E-5</v>
      </c>
      <c r="N58" s="178">
        <f t="shared" si="45"/>
        <v>1.2841352047698696E-5</v>
      </c>
      <c r="O58" s="116">
        <f t="shared" ref="O58:W58" si="46">N58*$X71</f>
        <v>1.3372723907948886E-5</v>
      </c>
      <c r="P58" s="116">
        <f t="shared" si="46"/>
        <v>1.3926083799741001E-5</v>
      </c>
      <c r="Q58" s="116">
        <f t="shared" si="46"/>
        <v>1.4502341582191141E-5</v>
      </c>
      <c r="R58" s="116">
        <f t="shared" si="46"/>
        <v>1.5102444764152701E-5</v>
      </c>
      <c r="S58" s="116">
        <f t="shared" si="46"/>
        <v>1.5727380062152862E-5</v>
      </c>
      <c r="T58" s="116">
        <f t="shared" si="46"/>
        <v>1.6378175022796089E-5</v>
      </c>
      <c r="U58" s="116">
        <f t="shared" si="46"/>
        <v>1.7055899712302285E-5</v>
      </c>
      <c r="V58" s="116">
        <f t="shared" si="46"/>
        <v>1.7761668475957583E-5</v>
      </c>
      <c r="W58" s="116">
        <f t="shared" si="46"/>
        <v>1.8496641770370777E-5</v>
      </c>
      <c r="X58" s="178">
        <f t="shared" ref="X58:X66" si="47">X34/X$49</f>
        <v>1.9262028071548053E-5</v>
      </c>
      <c r="Y58" s="173">
        <f>X58*$AH71</f>
        <v>1.9824209795523725E-5</v>
      </c>
      <c r="Z58" s="173">
        <f t="shared" ref="Z58:AG58" si="48">Y58*$AH71</f>
        <v>2.0402799360335176E-5</v>
      </c>
      <c r="AA58" s="173">
        <f t="shared" si="48"/>
        <v>2.0998275645372133E-5</v>
      </c>
      <c r="AB58" s="173">
        <f t="shared" si="48"/>
        <v>2.161113150660248E-5</v>
      </c>
      <c r="AC58" s="173">
        <f t="shared" si="48"/>
        <v>2.2241874184492802E-5</v>
      </c>
      <c r="AD58" s="173">
        <f t="shared" si="48"/>
        <v>2.2891025723834489E-5</v>
      </c>
      <c r="AE58" s="173">
        <f t="shared" si="48"/>
        <v>2.355912340582289E-5</v>
      </c>
      <c r="AF58" s="173">
        <f t="shared" si="48"/>
        <v>2.4246720192747139E-5</v>
      </c>
      <c r="AG58" s="173">
        <f t="shared" si="48"/>
        <v>2.4954385185658701E-5</v>
      </c>
      <c r="AH58" s="178">
        <f t="shared" ref="AH58:AH66" si="49">AH34/AH$49</f>
        <v>2.5682704095397406E-5</v>
      </c>
      <c r="AI58" s="127"/>
    </row>
    <row r="59" spans="1:35">
      <c r="A59" s="9" t="s">
        <v>50</v>
      </c>
      <c r="B59" s="37"/>
      <c r="C59" s="336">
        <f t="shared" ref="C59:C65" si="50">C35/C$49</f>
        <v>4.3312203272949108E-2</v>
      </c>
      <c r="D59" s="336">
        <f t="shared" si="44"/>
        <v>5.3342976812781287E-2</v>
      </c>
      <c r="E59" s="336">
        <f t="shared" si="44"/>
        <v>6.5696800444831657E-2</v>
      </c>
      <c r="F59" s="336">
        <f t="shared" si="44"/>
        <v>8.091167472404498E-2</v>
      </c>
      <c r="G59" s="336">
        <f t="shared" si="44"/>
        <v>9.9650197000799079E-2</v>
      </c>
      <c r="H59" s="396">
        <f>H35/H$49</f>
        <v>5.127628090391427E-2</v>
      </c>
      <c r="I59" s="116">
        <f t="shared" si="45"/>
        <v>6.3151473640489272E-2</v>
      </c>
      <c r="J59" s="116">
        <f t="shared" si="45"/>
        <v>7.777686978583058E-2</v>
      </c>
      <c r="K59" s="116">
        <f t="shared" si="45"/>
        <v>9.5789395321467255E-2</v>
      </c>
      <c r="L59" s="116">
        <f t="shared" si="45"/>
        <v>0.11797348339318162</v>
      </c>
      <c r="M59" s="116">
        <f t="shared" si="45"/>
        <v>0.14529523583705314</v>
      </c>
      <c r="N59" s="178">
        <f t="shared" si="45"/>
        <v>0.17894449625249434</v>
      </c>
      <c r="O59" s="116">
        <f t="shared" ref="O59:V59" si="51">N59*$X72</f>
        <v>0.18634917369627343</v>
      </c>
      <c r="P59" s="116">
        <f t="shared" si="51"/>
        <v>0.19406025479702249</v>
      </c>
      <c r="Q59" s="116">
        <f t="shared" si="51"/>
        <v>0.20209041845962525</v>
      </c>
      <c r="R59" s="116">
        <f t="shared" si="51"/>
        <v>0.21045286823880369</v>
      </c>
      <c r="S59" s="116">
        <f t="shared" si="51"/>
        <v>0.21916135404899389</v>
      </c>
      <c r="T59" s="116">
        <f t="shared" si="51"/>
        <v>0.22823019477257134</v>
      </c>
      <c r="U59" s="116">
        <f t="shared" si="51"/>
        <v>0.23767430180359836</v>
      </c>
      <c r="V59" s="116">
        <f t="shared" si="51"/>
        <v>0.24750920356580619</v>
      </c>
      <c r="W59" s="116">
        <f>V59*$X72</f>
        <v>0.25775107104512468</v>
      </c>
      <c r="X59" s="178">
        <f t="shared" si="47"/>
        <v>0.26841674437874141</v>
      </c>
      <c r="Y59" s="173">
        <f>X59*$AH72</f>
        <v>0.27625075788647124</v>
      </c>
      <c r="Z59" s="173">
        <f t="shared" ref="Z59:AG59" si="52">Y59*$AH72</f>
        <v>0.28431341498266771</v>
      </c>
      <c r="AA59" s="173">
        <f t="shared" si="52"/>
        <v>0.29261138886115357</v>
      </c>
      <c r="AB59" s="173">
        <f t="shared" si="52"/>
        <v>0.30115154747964623</v>
      </c>
      <c r="AC59" s="173">
        <f t="shared" si="52"/>
        <v>0.30994095924413873</v>
      </c>
      <c r="AD59" s="173">
        <f t="shared" si="52"/>
        <v>0.31898689885918469</v>
      </c>
      <c r="AE59" s="173">
        <f t="shared" si="52"/>
        <v>0.32829685334893005</v>
      </c>
      <c r="AF59" s="173">
        <f t="shared" si="52"/>
        <v>0.33787852825387465</v>
      </c>
      <c r="AG59" s="173">
        <f t="shared" si="52"/>
        <v>0.34773985400849239</v>
      </c>
      <c r="AH59" s="178">
        <f t="shared" si="49"/>
        <v>0.35788899250498857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0</v>
      </c>
      <c r="D61" s="336">
        <f t="shared" ref="D61:M61" si="56">C61*($N74)</f>
        <v>0</v>
      </c>
      <c r="E61" s="336">
        <f t="shared" si="56"/>
        <v>0</v>
      </c>
      <c r="F61" s="336">
        <f t="shared" si="56"/>
        <v>0</v>
      </c>
      <c r="G61" s="336">
        <f t="shared" si="56"/>
        <v>0</v>
      </c>
      <c r="H61" s="396">
        <f t="shared" si="53"/>
        <v>1.803873175004619E-7</v>
      </c>
      <c r="I61" s="116">
        <f t="shared" si="56"/>
        <v>2.0338360211060943E-7</v>
      </c>
      <c r="J61" s="116">
        <f t="shared" si="56"/>
        <v>2.29311518019446E-7</v>
      </c>
      <c r="K61" s="116">
        <f t="shared" si="56"/>
        <v>2.5854479786322803E-7</v>
      </c>
      <c r="L61" s="116">
        <f t="shared" si="56"/>
        <v>2.9150481877002282E-7</v>
      </c>
      <c r="M61" s="116">
        <f t="shared" si="56"/>
        <v>3.286666762140627E-7</v>
      </c>
      <c r="N61" s="178">
        <f>M61*($N74)</f>
        <v>3.70566032182203E-7</v>
      </c>
      <c r="O61" s="116">
        <f t="shared" ref="O61:W61" si="57">N61*$X74</f>
        <v>3.8589995972618595E-7</v>
      </c>
      <c r="P61" s="116">
        <f t="shared" si="57"/>
        <v>4.0186840126633708E-7</v>
      </c>
      <c r="Q61" s="116">
        <f t="shared" si="57"/>
        <v>4.1849761282937746E-7</v>
      </c>
      <c r="R61" s="116">
        <f t="shared" si="57"/>
        <v>4.358149369096921E-7</v>
      </c>
      <c r="S61" s="116">
        <f t="shared" si="57"/>
        <v>4.5384884742708376E-7</v>
      </c>
      <c r="T61" s="116">
        <f t="shared" si="57"/>
        <v>4.726289965448671E-7</v>
      </c>
      <c r="U61" s="116">
        <f t="shared" si="57"/>
        <v>4.9218626342528366E-7</v>
      </c>
      <c r="V61" s="116">
        <f t="shared" si="57"/>
        <v>5.1255280500240312E-7</v>
      </c>
      <c r="W61" s="116">
        <f t="shared" si="57"/>
        <v>5.3376210885599451E-7</v>
      </c>
      <c r="X61" s="178">
        <f t="shared" si="47"/>
        <v>5.5584904827330426E-7</v>
      </c>
      <c r="Y61" s="173">
        <f t="shared" si="55"/>
        <v>5.7207206357926262E-7</v>
      </c>
      <c r="Z61" s="173">
        <f t="shared" si="55"/>
        <v>5.8876856395537606E-7</v>
      </c>
      <c r="AA61" s="173">
        <f t="shared" si="55"/>
        <v>6.0595236854114691E-7</v>
      </c>
      <c r="AB61" s="173">
        <f t="shared" si="55"/>
        <v>6.2363769980160679E-7</v>
      </c>
      <c r="AC61" s="173">
        <f t="shared" si="55"/>
        <v>6.4183919529877915E-7</v>
      </c>
      <c r="AD61" s="173">
        <f t="shared" si="55"/>
        <v>6.6057191980670409E-7</v>
      </c>
      <c r="AE61" s="173">
        <f t="shared" si="55"/>
        <v>6.7985137778005165E-7</v>
      </c>
      <c r="AF61" s="173">
        <f t="shared" si="55"/>
        <v>6.9969352618664516E-7</v>
      </c>
      <c r="AG61" s="173">
        <f t="shared" si="55"/>
        <v>7.2011478771451354E-7</v>
      </c>
      <c r="AH61" s="178">
        <f t="shared" si="49"/>
        <v>7.4113206436440579E-7</v>
      </c>
      <c r="AI61" s="127"/>
    </row>
    <row r="62" spans="1:35">
      <c r="A62" s="9" t="s">
        <v>347</v>
      </c>
      <c r="B62" s="37"/>
      <c r="C62" s="339">
        <f t="shared" si="50"/>
        <v>6.0000000000000001E-3</v>
      </c>
      <c r="D62" s="339">
        <f t="shared" ref="D62:N62" si="58">C62*($N75)</f>
        <v>6.9122143034511868E-3</v>
      </c>
      <c r="E62" s="339">
        <f t="shared" si="58"/>
        <v>7.9631177628058623E-3</v>
      </c>
      <c r="F62" s="339">
        <f t="shared" si="58"/>
        <v>9.1737960833554837E-3</v>
      </c>
      <c r="G62" s="339">
        <f t="shared" si="58"/>
        <v>1.0568540750719042E-2</v>
      </c>
      <c r="H62" s="396">
        <f t="shared" si="53"/>
        <v>9.0002296771910951E-3</v>
      </c>
      <c r="I62" s="116">
        <f t="shared" si="58"/>
        <v>1.0368586051504357E-2</v>
      </c>
      <c r="J62" s="116">
        <f t="shared" si="58"/>
        <v>1.1944981468628813E-2</v>
      </c>
      <c r="K62" s="116">
        <f t="shared" si="58"/>
        <v>1.3761045293652574E-2</v>
      </c>
      <c r="L62" s="116">
        <f t="shared" si="58"/>
        <v>1.5853215684870827E-2</v>
      </c>
      <c r="M62" s="116">
        <f t="shared" si="58"/>
        <v>1.8263470702110138E-2</v>
      </c>
      <c r="N62" s="178">
        <f t="shared" si="58"/>
        <v>2.1040170569631231E-2</v>
      </c>
      <c r="O62" s="116">
        <f t="shared" ref="O62:W62" si="59">N62*$X75</f>
        <v>2.1910807441359224E-2</v>
      </c>
      <c r="P62" s="116">
        <f t="shared" si="59"/>
        <v>2.2817471043949676E-2</v>
      </c>
      <c r="Q62" s="116">
        <f t="shared" si="59"/>
        <v>2.3761652154302555E-2</v>
      </c>
      <c r="R62" s="116">
        <f t="shared" si="59"/>
        <v>2.4744903237284305E-2</v>
      </c>
      <c r="S62" s="116">
        <f t="shared" si="59"/>
        <v>2.5768840998360104E-2</v>
      </c>
      <c r="T62" s="116">
        <f t="shared" si="59"/>
        <v>2.6835149041853381E-2</v>
      </c>
      <c r="U62" s="116">
        <f t="shared" si="59"/>
        <v>2.7945580639203459E-2</v>
      </c>
      <c r="V62" s="116">
        <f t="shared" si="59"/>
        <v>2.9101961611772965E-2</v>
      </c>
      <c r="W62" s="116">
        <f t="shared" si="59"/>
        <v>3.030619333294509E-2</v>
      </c>
      <c r="X62" s="178">
        <f t="shared" si="47"/>
        <v>3.1560255854446828E-2</v>
      </c>
      <c r="Y62" s="173">
        <f t="shared" si="55"/>
        <v>3.2481373764744852E-2</v>
      </c>
      <c r="Z62" s="173">
        <f t="shared" si="55"/>
        <v>3.3429375430630438E-2</v>
      </c>
      <c r="AA62" s="173">
        <f t="shared" si="55"/>
        <v>3.4405045481635164E-2</v>
      </c>
      <c r="AB62" s="173">
        <f t="shared" si="55"/>
        <v>3.5409191447495166E-2</v>
      </c>
      <c r="AC62" s="173">
        <f t="shared" si="55"/>
        <v>3.6442644426516686E-2</v>
      </c>
      <c r="AD62" s="173">
        <f t="shared" si="55"/>
        <v>3.750625977344859E-2</v>
      </c>
      <c r="AE62" s="173">
        <f t="shared" si="55"/>
        <v>3.86009178074311E-2</v>
      </c>
      <c r="AF62" s="173">
        <f t="shared" si="55"/>
        <v>3.9727524540606775E-2</v>
      </c>
      <c r="AG62" s="173">
        <f t="shared" si="55"/>
        <v>4.0887012427996673E-2</v>
      </c>
      <c r="AH62" s="178">
        <f t="shared" si="49"/>
        <v>4.2080341139262442E-2</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2.2967719109551488E-7</v>
      </c>
      <c r="I63" s="116">
        <f t="shared" si="60"/>
        <v>2.4973014760493924E-7</v>
      </c>
      <c r="J63" s="116">
        <f t="shared" si="60"/>
        <v>2.7153391386108168E-7</v>
      </c>
      <c r="K63" s="116">
        <f t="shared" si="60"/>
        <v>2.9524135185054069E-7</v>
      </c>
      <c r="L63" s="116">
        <f t="shared" si="60"/>
        <v>3.2101866983411192E-7</v>
      </c>
      <c r="M63" s="116">
        <f t="shared" si="60"/>
        <v>3.490465876007465E-7</v>
      </c>
      <c r="N63" s="178">
        <f t="shared" si="60"/>
        <v>3.795216034590253E-7</v>
      </c>
      <c r="O63" s="116">
        <f t="shared" ref="O63:W63" si="61">N63*$X76</f>
        <v>3.9522611024974893E-7</v>
      </c>
      <c r="P63" s="116">
        <f t="shared" si="61"/>
        <v>4.1158046551099981E-7</v>
      </c>
      <c r="Q63" s="116">
        <f t="shared" si="61"/>
        <v>4.2861155980612217E-7</v>
      </c>
      <c r="R63" s="116">
        <f t="shared" si="61"/>
        <v>4.4634739642308729E-7</v>
      </c>
      <c r="S63" s="116">
        <f t="shared" si="61"/>
        <v>4.6481713741875365E-7</v>
      </c>
      <c r="T63" s="116">
        <f t="shared" si="61"/>
        <v>4.8405115156842686E-7</v>
      </c>
      <c r="U63" s="116">
        <f t="shared" si="61"/>
        <v>5.0408106429955987E-7</v>
      </c>
      <c r="V63" s="116">
        <f t="shared" si="61"/>
        <v>5.2493980969169752E-7</v>
      </c>
      <c r="W63" s="116">
        <f t="shared" si="61"/>
        <v>5.4666168462816474E-7</v>
      </c>
      <c r="X63" s="178">
        <f t="shared" si="47"/>
        <v>5.6928240518853822E-7</v>
      </c>
      <c r="Y63" s="173">
        <f t="shared" si="55"/>
        <v>5.8589748656985143E-7</v>
      </c>
      <c r="Z63" s="173">
        <f t="shared" si="55"/>
        <v>6.0299749586530981E-7</v>
      </c>
      <c r="AA63" s="173">
        <f t="shared" si="55"/>
        <v>6.2059658618536293E-7</v>
      </c>
      <c r="AB63" s="173">
        <f t="shared" si="55"/>
        <v>6.3870932371326883E-7</v>
      </c>
      <c r="AC63" s="173">
        <f t="shared" si="55"/>
        <v>6.5735069976104051E-7</v>
      </c>
      <c r="AD63" s="173">
        <f t="shared" si="55"/>
        <v>6.7653614317725788E-7</v>
      </c>
      <c r="AE63" s="173">
        <f t="shared" si="55"/>
        <v>6.9628153311701394E-7</v>
      </c>
      <c r="AF63" s="173">
        <f t="shared" si="55"/>
        <v>7.1660321218456441E-7</v>
      </c>
      <c r="AG63" s="173">
        <f t="shared" si="55"/>
        <v>7.3751799995955937E-7</v>
      </c>
      <c r="AH63" s="178">
        <f t="shared" si="49"/>
        <v>7.5904320691805114E-7</v>
      </c>
      <c r="AI63" s="127"/>
    </row>
    <row r="64" spans="1:35">
      <c r="A64" s="9" t="s">
        <v>344</v>
      </c>
      <c r="B64" s="37"/>
      <c r="C64" s="336">
        <f t="shared" si="50"/>
        <v>2.6523088348407295E-7</v>
      </c>
      <c r="D64" s="336">
        <f t="shared" ref="D64:N64" si="62">C64*($N77)</f>
        <v>2.8838800825599017E-7</v>
      </c>
      <c r="E64" s="336">
        <f t="shared" si="62"/>
        <v>3.1356696555607276E-7</v>
      </c>
      <c r="F64" s="336">
        <f t="shared" si="62"/>
        <v>3.409442801822916E-7</v>
      </c>
      <c r="G64" s="336">
        <f t="shared" si="62"/>
        <v>3.707118891904897E-7</v>
      </c>
      <c r="H64" s="396">
        <f t="shared" si="53"/>
        <v>2.2967719109551488E-7</v>
      </c>
      <c r="I64" s="116">
        <f t="shared" si="62"/>
        <v>2.4973014760493924E-7</v>
      </c>
      <c r="J64" s="116">
        <f t="shared" si="62"/>
        <v>2.7153391386108168E-7</v>
      </c>
      <c r="K64" s="116">
        <f t="shared" si="62"/>
        <v>2.9524135185054069E-7</v>
      </c>
      <c r="L64" s="116">
        <f t="shared" si="62"/>
        <v>3.2101866983411192E-7</v>
      </c>
      <c r="M64" s="116">
        <f t="shared" si="62"/>
        <v>3.490465876007465E-7</v>
      </c>
      <c r="N64" s="178">
        <f t="shared" si="62"/>
        <v>3.795216034590253E-7</v>
      </c>
      <c r="O64" s="116">
        <f t="shared" ref="O64:W64" si="63">N64*$X77</f>
        <v>3.9522611024974893E-7</v>
      </c>
      <c r="P64" s="116">
        <f t="shared" si="63"/>
        <v>4.1158046551099981E-7</v>
      </c>
      <c r="Q64" s="116">
        <f t="shared" si="63"/>
        <v>4.2861155980612217E-7</v>
      </c>
      <c r="R64" s="116">
        <f t="shared" si="63"/>
        <v>4.4634739642308729E-7</v>
      </c>
      <c r="S64" s="116">
        <f t="shared" si="63"/>
        <v>4.6481713741875365E-7</v>
      </c>
      <c r="T64" s="116">
        <f t="shared" si="63"/>
        <v>4.8405115156842686E-7</v>
      </c>
      <c r="U64" s="116">
        <f t="shared" si="63"/>
        <v>5.0408106429955987E-7</v>
      </c>
      <c r="V64" s="116">
        <f t="shared" si="63"/>
        <v>5.2493980969169752E-7</v>
      </c>
      <c r="W64" s="116">
        <f t="shared" si="63"/>
        <v>5.4666168462816474E-7</v>
      </c>
      <c r="X64" s="178">
        <f t="shared" si="47"/>
        <v>5.6928240518853822E-7</v>
      </c>
      <c r="Y64" s="173">
        <f t="shared" si="55"/>
        <v>5.8589748656985143E-7</v>
      </c>
      <c r="Z64" s="173">
        <f t="shared" si="55"/>
        <v>6.0299749586530981E-7</v>
      </c>
      <c r="AA64" s="173">
        <f t="shared" si="55"/>
        <v>6.2059658618536293E-7</v>
      </c>
      <c r="AB64" s="173">
        <f t="shared" si="55"/>
        <v>6.3870932371326883E-7</v>
      </c>
      <c r="AC64" s="173">
        <f t="shared" si="55"/>
        <v>6.5735069976104051E-7</v>
      </c>
      <c r="AD64" s="173">
        <f t="shared" si="55"/>
        <v>6.7653614317725788E-7</v>
      </c>
      <c r="AE64" s="173">
        <f t="shared" si="55"/>
        <v>6.9628153311701394E-7</v>
      </c>
      <c r="AF64" s="173">
        <f t="shared" si="55"/>
        <v>7.1660321218456441E-7</v>
      </c>
      <c r="AG64" s="173">
        <f t="shared" si="55"/>
        <v>7.3751799995955937E-7</v>
      </c>
      <c r="AH64" s="178">
        <f t="shared" si="49"/>
        <v>7.5904320691805114E-7</v>
      </c>
      <c r="AI64" s="127"/>
    </row>
    <row r="65" spans="1:35">
      <c r="A65" s="9" t="s">
        <v>120</v>
      </c>
      <c r="B65" s="37"/>
      <c r="C65" s="336">
        <f t="shared" si="50"/>
        <v>0</v>
      </c>
      <c r="D65" s="336">
        <v>0</v>
      </c>
      <c r="E65" s="336">
        <v>0</v>
      </c>
      <c r="F65" s="336">
        <v>0</v>
      </c>
      <c r="G65" s="336">
        <v>0</v>
      </c>
      <c r="H65" s="396">
        <f t="shared" si="53"/>
        <v>2.2967719109551486E-5</v>
      </c>
      <c r="I65" s="173">
        <v>0</v>
      </c>
      <c r="J65" s="173">
        <v>0</v>
      </c>
      <c r="K65" s="173">
        <v>0</v>
      </c>
      <c r="L65" s="173">
        <v>0</v>
      </c>
      <c r="M65" s="173">
        <v>0</v>
      </c>
      <c r="N65" s="178">
        <v>0</v>
      </c>
      <c r="O65" s="116">
        <f t="shared" ref="O65:AG65" si="64">O41/O$49</f>
        <v>1.7379223945235647E-4</v>
      </c>
      <c r="P65" s="116">
        <f t="shared" si="64"/>
        <v>1.7942319835867552E-4</v>
      </c>
      <c r="Q65" s="116">
        <f t="shared" si="64"/>
        <v>1.876418583924808E-4</v>
      </c>
      <c r="R65" s="116">
        <f t="shared" si="64"/>
        <v>1.9997065998123828E-4</v>
      </c>
      <c r="S65" s="116">
        <f t="shared" si="64"/>
        <v>2.0837117585575777E-4</v>
      </c>
      <c r="T65" s="116">
        <f t="shared" si="64"/>
        <v>2.1306332476527933E-4</v>
      </c>
      <c r="U65" s="116">
        <f t="shared" si="64"/>
        <v>2.2126004726830684E-4</v>
      </c>
      <c r="V65" s="116">
        <f t="shared" si="64"/>
        <v>2.316599033063658E-4</v>
      </c>
      <c r="W65" s="116">
        <f t="shared" si="64"/>
        <v>2.3809758658866793E-4</v>
      </c>
      <c r="X65" s="178">
        <f t="shared" si="47"/>
        <v>2.440733236553954E-4</v>
      </c>
      <c r="Y65" s="173">
        <f t="shared" si="64"/>
        <v>2.5501416141046141E-4</v>
      </c>
      <c r="Z65" s="173">
        <f t="shared" si="64"/>
        <v>2.5660291516007455E-4</v>
      </c>
      <c r="AA65" s="173">
        <f t="shared" si="64"/>
        <v>2.6217415288359191E-4</v>
      </c>
      <c r="AB65" s="173">
        <f t="shared" si="64"/>
        <v>2.6862905531218375E-4</v>
      </c>
      <c r="AC65" s="173">
        <f t="shared" si="64"/>
        <v>2.7711158924264998E-4</v>
      </c>
      <c r="AD65" s="173">
        <f t="shared" si="64"/>
        <v>2.8928001275669571E-4</v>
      </c>
      <c r="AE65" s="173">
        <f t="shared" si="64"/>
        <v>3.0014304368917381E-4</v>
      </c>
      <c r="AF65" s="173">
        <f t="shared" si="64"/>
        <v>3.0777362862564135E-4</v>
      </c>
      <c r="AG65" s="173">
        <f t="shared" si="64"/>
        <v>3.106763447495063E-4</v>
      </c>
      <c r="AH65" s="178">
        <f t="shared" si="49"/>
        <v>3.1555409675778463E-4</v>
      </c>
      <c r="AI65" s="127"/>
    </row>
    <row r="66" spans="1:35">
      <c r="A66" s="9" t="s">
        <v>53</v>
      </c>
      <c r="B66" s="37"/>
      <c r="C66" s="336">
        <f>C42/C$49</f>
        <v>0</v>
      </c>
      <c r="D66" s="336">
        <f t="shared" ref="D66:N66" si="65">C66*($N79)</f>
        <v>0</v>
      </c>
      <c r="E66" s="336">
        <f t="shared" si="65"/>
        <v>0</v>
      </c>
      <c r="F66" s="336">
        <f t="shared" si="65"/>
        <v>0</v>
      </c>
      <c r="G66" s="336">
        <f t="shared" si="65"/>
        <v>0</v>
      </c>
      <c r="H66" s="396">
        <f t="shared" si="53"/>
        <v>7.4271551606304144E-7</v>
      </c>
      <c r="I66" s="116">
        <f t="shared" si="65"/>
        <v>8.2172488907497997E-7</v>
      </c>
      <c r="J66" s="116">
        <f t="shared" si="65"/>
        <v>9.0913920434102608E-7</v>
      </c>
      <c r="K66" s="116">
        <f t="shared" si="65"/>
        <v>1.0058525716560293E-6</v>
      </c>
      <c r="L66" s="116">
        <f t="shared" si="65"/>
        <v>1.1128542153678099E-6</v>
      </c>
      <c r="M66" s="116">
        <f t="shared" si="65"/>
        <v>1.2312385925732005E-6</v>
      </c>
      <c r="N66" s="178">
        <f t="shared" si="65"/>
        <v>1.3622165876781972E-6</v>
      </c>
      <c r="O66" s="116">
        <f t="shared" ref="O66:W66" si="66">N66*$X79</f>
        <v>1.4185847613385361E-6</v>
      </c>
      <c r="P66" s="116">
        <f t="shared" si="66"/>
        <v>1.4772854355942597E-6</v>
      </c>
      <c r="Q66" s="116">
        <f t="shared" si="66"/>
        <v>1.538415128722867E-6</v>
      </c>
      <c r="R66" s="116">
        <f t="shared" si="66"/>
        <v>1.6020743529034708E-6</v>
      </c>
      <c r="S66" s="116">
        <f t="shared" si="66"/>
        <v>1.6683677794834232E-6</v>
      </c>
      <c r="T66" s="116">
        <f t="shared" si="66"/>
        <v>1.7374044110836338E-6</v>
      </c>
      <c r="U66" s="116">
        <f t="shared" si="66"/>
        <v>1.8092977608255595E-6</v>
      </c>
      <c r="V66" s="116">
        <f t="shared" si="66"/>
        <v>1.884166038974563E-6</v>
      </c>
      <c r="W66" s="116">
        <f t="shared" si="66"/>
        <v>1.9621323473065247E-6</v>
      </c>
      <c r="X66" s="178">
        <f t="shared" si="47"/>
        <v>2.0433248815172957E-6</v>
      </c>
      <c r="Y66" s="173">
        <f t="shared" si="55"/>
        <v>2.1029613798271779E-6</v>
      </c>
      <c r="Z66" s="173">
        <f t="shared" si="55"/>
        <v>2.1643384295113594E-6</v>
      </c>
      <c r="AA66" s="173">
        <f t="shared" si="55"/>
        <v>2.227506830317854E-6</v>
      </c>
      <c r="AB66" s="173">
        <f t="shared" si="55"/>
        <v>2.2925188646365765E-6</v>
      </c>
      <c r="AC66" s="173">
        <f t="shared" si="55"/>
        <v>2.3594283407717424E-6</v>
      </c>
      <c r="AD66" s="173">
        <f t="shared" si="55"/>
        <v>2.428290637477217E-6</v>
      </c>
      <c r="AE66" s="173">
        <f t="shared" si="55"/>
        <v>2.4991627497916713E-6</v>
      </c>
      <c r="AF66" s="173">
        <f t="shared" si="55"/>
        <v>2.5721033362114869E-6</v>
      </c>
      <c r="AG66" s="173">
        <f t="shared" si="55"/>
        <v>2.6471727672404462E-6</v>
      </c>
      <c r="AH66" s="178">
        <f t="shared" si="49"/>
        <v>2.7244331753563945E-6</v>
      </c>
      <c r="AI66" s="127"/>
    </row>
    <row r="67" spans="1:35" s="1" customFormat="1">
      <c r="A67" s="11" t="s">
        <v>540</v>
      </c>
      <c r="B67" s="36"/>
      <c r="C67" s="340">
        <f t="shared" ref="C67:AG67" si="67">SUM(C58:C66)</f>
        <v>4.9338991592180997E-2</v>
      </c>
      <c r="D67" s="340">
        <f t="shared" si="67"/>
        <v>6.0286767484393704E-2</v>
      </c>
      <c r="E67" s="340">
        <f t="shared" si="67"/>
        <v>7.3697140662783572E-2</v>
      </c>
      <c r="F67" s="340">
        <f t="shared" si="67"/>
        <v>9.0129351348038719E-2</v>
      </c>
      <c r="G67" s="340">
        <f t="shared" si="67"/>
        <v>0.11027046997941273</v>
      </c>
      <c r="H67" s="403">
        <f t="shared" si="67"/>
        <v>6.0305626056249104E-2</v>
      </c>
      <c r="I67" s="85">
        <f t="shared" si="67"/>
        <v>7.352720564894176E-2</v>
      </c>
      <c r="J67" s="85">
        <f t="shared" si="67"/>
        <v>8.9730164047577748E-2</v>
      </c>
      <c r="K67" s="85">
        <f t="shared" si="67"/>
        <v>0.10956011808298355</v>
      </c>
      <c r="L67" s="85">
        <f t="shared" si="67"/>
        <v>0.13383797339571202</v>
      </c>
      <c r="M67" s="85">
        <f t="shared" si="67"/>
        <v>0.16357185026155652</v>
      </c>
      <c r="N67" s="183">
        <f>SUM(N58:N66)</f>
        <v>0.20000000000000004</v>
      </c>
      <c r="O67" s="85">
        <f t="shared" si="67"/>
        <v>0.20844974103793454</v>
      </c>
      <c r="P67" s="85">
        <f t="shared" si="67"/>
        <v>0.21707377743789849</v>
      </c>
      <c r="Q67" s="85">
        <f t="shared" si="67"/>
        <v>0.22605702894976365</v>
      </c>
      <c r="R67" s="85">
        <f t="shared" si="67"/>
        <v>0.23541577516491607</v>
      </c>
      <c r="S67" s="85">
        <f t="shared" si="67"/>
        <v>0.24515734545417364</v>
      </c>
      <c r="T67" s="85">
        <f t="shared" si="67"/>
        <v>0.2552979634499235</v>
      </c>
      <c r="U67" s="85">
        <f t="shared" si="67"/>
        <v>0.26586150803593522</v>
      </c>
      <c r="V67" s="85">
        <f t="shared" si="67"/>
        <v>0.27686403334782478</v>
      </c>
      <c r="W67" s="85">
        <f t="shared" si="67"/>
        <v>0.28831744782425428</v>
      </c>
      <c r="X67" s="183">
        <f t="shared" si="67"/>
        <v>0.30024407332365544</v>
      </c>
      <c r="Y67" s="85">
        <f t="shared" si="67"/>
        <v>0.30901081685083859</v>
      </c>
      <c r="Z67" s="85">
        <f t="shared" si="67"/>
        <v>0.31802375522980381</v>
      </c>
      <c r="AA67" s="85">
        <f t="shared" si="67"/>
        <v>0.32730368142368893</v>
      </c>
      <c r="AB67" s="85">
        <f t="shared" si="67"/>
        <v>0.33685517268917203</v>
      </c>
      <c r="AC67" s="85">
        <f t="shared" si="67"/>
        <v>0.34668727310301811</v>
      </c>
      <c r="AD67" s="85">
        <f t="shared" si="67"/>
        <v>0.35680977160595739</v>
      </c>
      <c r="AE67" s="85">
        <f t="shared" si="67"/>
        <v>0.36722604490064997</v>
      </c>
      <c r="AF67" s="85">
        <f t="shared" si="67"/>
        <v>0.37794277814658656</v>
      </c>
      <c r="AG67" s="85">
        <f t="shared" si="67"/>
        <v>0.38896733948997914</v>
      </c>
      <c r="AH67" s="183">
        <f>SUM(AH58:AH66)</f>
        <v>0.40031555409675773</v>
      </c>
      <c r="AI67" s="196"/>
    </row>
    <row r="68" spans="1:35" s="252" customFormat="1">
      <c r="A68" s="10" t="s">
        <v>548</v>
      </c>
      <c r="B68" s="37"/>
      <c r="C68" s="332"/>
      <c r="D68" s="332">
        <f>D67/C67-1</f>
        <v>0.22188892676816807</v>
      </c>
      <c r="E68" s="332">
        <f t="shared" ref="E68:W68" si="68">E67/D67-1</f>
        <v>0.2224430623496505</v>
      </c>
      <c r="F68" s="332">
        <f t="shared" si="68"/>
        <v>0.22296944681265329</v>
      </c>
      <c r="G68" s="332">
        <f t="shared" si="68"/>
        <v>0.22346902901362431</v>
      </c>
      <c r="H68" s="284"/>
      <c r="I68" s="284">
        <f t="shared" si="68"/>
        <v>0.21924288756011645</v>
      </c>
      <c r="J68" s="284">
        <f t="shared" si="68"/>
        <v>0.22036684592635791</v>
      </c>
      <c r="K68" s="284">
        <f t="shared" si="68"/>
        <v>0.22099540601409506</v>
      </c>
      <c r="L68" s="284">
        <f t="shared" si="68"/>
        <v>0.22159391334664158</v>
      </c>
      <c r="M68" s="284">
        <f t="shared" si="68"/>
        <v>0.22216323298569263</v>
      </c>
      <c r="N68" s="283">
        <f t="shared" si="68"/>
        <v>0.22270427142686078</v>
      </c>
      <c r="O68" s="284">
        <f t="shared" si="68"/>
        <v>4.2248705189672497E-2</v>
      </c>
      <c r="P68" s="284">
        <f t="shared" si="68"/>
        <v>4.1372257681982605E-2</v>
      </c>
      <c r="Q68" s="284">
        <f t="shared" si="68"/>
        <v>4.1383402536656622E-2</v>
      </c>
      <c r="R68" s="284">
        <f t="shared" si="68"/>
        <v>4.1399934603370436E-2</v>
      </c>
      <c r="S68" s="284">
        <f t="shared" si="68"/>
        <v>4.1380278286080374E-2</v>
      </c>
      <c r="T68" s="284">
        <f t="shared" si="68"/>
        <v>4.1363712667729979E-2</v>
      </c>
      <c r="U68" s="284">
        <f t="shared" si="68"/>
        <v>4.1377316306260958E-2</v>
      </c>
      <c r="V68" s="284">
        <f t="shared" si="68"/>
        <v>4.138442376698781E-2</v>
      </c>
      <c r="W68" s="284">
        <f t="shared" si="68"/>
        <v>4.136837254711434E-2</v>
      </c>
      <c r="X68" s="284">
        <f>X67/W67-1</f>
        <v>4.1366298118284961E-2</v>
      </c>
      <c r="Y68" s="289">
        <f t="shared" ref="Y68:AG68" si="69">Y67/X67-1</f>
        <v>2.9198722992719306E-2</v>
      </c>
      <c r="Z68" s="289">
        <f t="shared" si="69"/>
        <v>2.9167064346863336E-2</v>
      </c>
      <c r="AA68" s="289">
        <f t="shared" si="69"/>
        <v>2.9179978040255072E-2</v>
      </c>
      <c r="AB68" s="289">
        <f t="shared" si="69"/>
        <v>2.9182352071130069E-2</v>
      </c>
      <c r="AC68" s="289">
        <f t="shared" si="69"/>
        <v>2.9187915789906871E-2</v>
      </c>
      <c r="AD68" s="289">
        <f t="shared" si="69"/>
        <v>2.9197779348339115E-2</v>
      </c>
      <c r="AE68" s="289">
        <f t="shared" si="69"/>
        <v>2.9192791575775034E-2</v>
      </c>
      <c r="AF68" s="289">
        <f t="shared" si="69"/>
        <v>2.918293349491563E-2</v>
      </c>
      <c r="AG68" s="289">
        <f t="shared" si="69"/>
        <v>2.9169921958706269E-2</v>
      </c>
      <c r="AH68" s="283">
        <f>AH67/AG67-1</f>
        <v>2.9175237750445948E-2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545</v>
      </c>
      <c r="B70" s="37"/>
      <c r="C70" s="332"/>
      <c r="D70" s="332"/>
      <c r="E70" s="332"/>
      <c r="F70" s="332"/>
      <c r="G70" s="332"/>
      <c r="H70" s="284"/>
      <c r="I70" s="164"/>
      <c r="J70" s="164"/>
      <c r="K70" s="164"/>
      <c r="L70" s="164"/>
      <c r="M70" s="164"/>
      <c r="N70" s="199" t="s">
        <v>711</v>
      </c>
      <c r="O70" s="164"/>
      <c r="P70" s="164"/>
      <c r="Q70" s="164"/>
      <c r="R70" s="164"/>
      <c r="S70" s="164"/>
      <c r="T70" s="164"/>
      <c r="U70" s="164"/>
      <c r="V70" s="164"/>
      <c r="W70" s="164"/>
      <c r="X70" s="199" t="s">
        <v>546</v>
      </c>
      <c r="Y70" s="20"/>
      <c r="Z70" s="20"/>
      <c r="AA70" s="20"/>
      <c r="AB70" s="20"/>
      <c r="AC70" s="20"/>
      <c r="AD70" s="20"/>
      <c r="AE70" s="20"/>
      <c r="AF70" s="20"/>
      <c r="AG70" s="20"/>
      <c r="AH70" s="279" t="s">
        <v>708</v>
      </c>
      <c r="AI70" s="127"/>
    </row>
    <row r="71" spans="1:35">
      <c r="A71" s="9" t="s">
        <v>121</v>
      </c>
      <c r="B71" s="37"/>
      <c r="C71" s="332"/>
      <c r="D71" s="332"/>
      <c r="E71" s="332"/>
      <c r="F71" s="332"/>
      <c r="G71" s="332"/>
      <c r="H71" s="284"/>
      <c r="I71" s="164"/>
      <c r="J71" s="164"/>
      <c r="K71" s="395"/>
      <c r="L71" s="395"/>
      <c r="M71" s="164"/>
      <c r="N71" s="186">
        <f>(N86/H86)^(1/6)</f>
        <v>1.1796507157073701</v>
      </c>
      <c r="O71" s="164"/>
      <c r="P71" s="164"/>
      <c r="Q71" s="164"/>
      <c r="R71" s="164"/>
      <c r="S71" s="164"/>
      <c r="T71" s="164"/>
      <c r="U71" s="164"/>
      <c r="V71" s="164"/>
      <c r="W71" s="164"/>
      <c r="X71" s="186">
        <f>(X86/N86)^(1/10)</f>
        <v>1.0413797439924106</v>
      </c>
      <c r="Y71" s="20"/>
      <c r="Z71" s="20"/>
      <c r="AA71" s="20"/>
      <c r="AB71" s="20"/>
      <c r="AC71" s="20"/>
      <c r="AD71" s="20"/>
      <c r="AE71" s="20"/>
      <c r="AF71" s="20"/>
      <c r="AG71" s="20"/>
      <c r="AH71" s="186">
        <f>(AH86/X86)^(1/10)</f>
        <v>1.0291860089647606</v>
      </c>
      <c r="AI71" s="127"/>
    </row>
    <row r="72" spans="1:35">
      <c r="A72" s="9" t="s">
        <v>50</v>
      </c>
      <c r="B72" s="37"/>
      <c r="C72" s="332"/>
      <c r="D72" s="332"/>
      <c r="E72" s="332"/>
      <c r="F72" s="332"/>
      <c r="G72" s="332"/>
      <c r="H72" s="284"/>
      <c r="I72" s="164"/>
      <c r="J72" s="164"/>
      <c r="K72" s="395"/>
      <c r="L72" s="395"/>
      <c r="M72" s="164"/>
      <c r="N72" s="186">
        <f>(N87/H87)^(1/6)</f>
        <v>1.2315923176805221</v>
      </c>
      <c r="O72" s="164"/>
      <c r="P72" s="164"/>
      <c r="Q72" s="164"/>
      <c r="R72" s="164"/>
      <c r="S72" s="164"/>
      <c r="T72" s="164"/>
      <c r="U72" s="164"/>
      <c r="V72" s="164"/>
      <c r="W72" s="164"/>
      <c r="X72" s="186">
        <f>(X87/N87)^(1/10)</f>
        <v>1.0413797439924106</v>
      </c>
      <c r="Y72" s="20"/>
      <c r="Z72" s="20"/>
      <c r="AA72" s="20"/>
      <c r="AB72" s="20"/>
      <c r="AC72" s="20"/>
      <c r="AD72" s="20"/>
      <c r="AE72" s="20"/>
      <c r="AF72" s="20"/>
      <c r="AG72" s="20"/>
      <c r="AH72" s="186">
        <f>(AH87/X87)^(1/10)</f>
        <v>1.0291860089647606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1.1274828237860384</v>
      </c>
      <c r="O74" s="164"/>
      <c r="P74" s="164"/>
      <c r="Q74" s="164"/>
      <c r="R74" s="164"/>
      <c r="S74" s="164"/>
      <c r="T74" s="164"/>
      <c r="U74" s="164"/>
      <c r="V74" s="164"/>
      <c r="W74" s="164"/>
      <c r="X74" s="186">
        <f>(X89/N89)^(1/10)</f>
        <v>1.0413797439924106</v>
      </c>
      <c r="AH74" s="186">
        <f>(AH89/X89)^(1/10)</f>
        <v>1.0291860089647606</v>
      </c>
      <c r="AI74" s="127"/>
    </row>
    <row r="75" spans="1:35">
      <c r="A75" s="9" t="s">
        <v>347</v>
      </c>
      <c r="B75" s="37"/>
      <c r="C75" s="332"/>
      <c r="D75" s="332"/>
      <c r="E75" s="332"/>
      <c r="F75" s="332"/>
      <c r="G75" s="332"/>
      <c r="H75" s="284"/>
      <c r="I75" s="164"/>
      <c r="J75" s="164"/>
      <c r="K75" s="395"/>
      <c r="L75" s="395"/>
      <c r="M75" s="164"/>
      <c r="N75" s="179">
        <f>(N90/H90)^(1/6)</f>
        <v>1.1520357172418645</v>
      </c>
      <c r="O75" s="164"/>
      <c r="P75" s="164"/>
      <c r="Q75" s="164"/>
      <c r="R75" s="164"/>
      <c r="S75" s="164"/>
      <c r="T75" s="164"/>
      <c r="U75" s="164"/>
      <c r="V75" s="164"/>
      <c r="W75" s="164"/>
      <c r="X75" s="186">
        <f>(X90/N90)^(1/10)</f>
        <v>1.0413797439924106</v>
      </c>
      <c r="AH75" s="186">
        <f>(AH90/X90)^(1/10)</f>
        <v>1.0291860089647606</v>
      </c>
      <c r="AI75" s="127"/>
    </row>
    <row r="76" spans="1:35">
      <c r="A76" s="9" t="s">
        <v>348</v>
      </c>
      <c r="B76" s="37"/>
      <c r="C76" s="332"/>
      <c r="D76" s="332"/>
      <c r="E76" s="332"/>
      <c r="F76" s="332"/>
      <c r="G76" s="332"/>
      <c r="H76" s="284"/>
      <c r="I76" s="164"/>
      <c r="J76" s="164"/>
      <c r="K76" s="395"/>
      <c r="L76" s="395"/>
      <c r="M76" s="164"/>
      <c r="N76" s="179">
        <f>(N91/H91)^(1/6)</f>
        <v>1.0873093075275595</v>
      </c>
      <c r="O76" s="164"/>
      <c r="P76" s="164"/>
      <c r="Q76" s="164"/>
      <c r="R76" s="164"/>
      <c r="S76" s="164"/>
      <c r="T76" s="164"/>
      <c r="U76" s="164"/>
      <c r="V76" s="164"/>
      <c r="W76" s="164"/>
      <c r="X76" s="186">
        <f>(X91/N91)^(1/10)</f>
        <v>1.0413797439924106</v>
      </c>
      <c r="AH76" s="186">
        <f>(AH91/X91)^(1/10)</f>
        <v>1.0291860089647606</v>
      </c>
      <c r="AI76" s="127"/>
    </row>
    <row r="77" spans="1:35">
      <c r="A77" s="9" t="s">
        <v>344</v>
      </c>
      <c r="B77" s="37"/>
      <c r="C77" s="332"/>
      <c r="D77" s="332"/>
      <c r="E77" s="332"/>
      <c r="F77" s="332"/>
      <c r="G77" s="332"/>
      <c r="H77" s="284"/>
      <c r="I77" s="164"/>
      <c r="J77" s="164"/>
      <c r="K77" s="395"/>
      <c r="L77" s="395"/>
      <c r="M77" s="164"/>
      <c r="N77" s="179">
        <f>(N92/H92)^(1/6)</f>
        <v>1.0873093075275595</v>
      </c>
      <c r="O77" s="164"/>
      <c r="P77" s="164"/>
      <c r="Q77" s="164"/>
      <c r="R77" s="164"/>
      <c r="S77" s="164"/>
      <c r="T77" s="164"/>
      <c r="U77" s="164"/>
      <c r="V77" s="164"/>
      <c r="W77" s="164"/>
      <c r="X77" s="186">
        <f>(X92/N92)^(1/10)</f>
        <v>1.0413797439924106</v>
      </c>
      <c r="AH77" s="186">
        <f>(AH92/X92)^(1/10)</f>
        <v>1.0291860089647606</v>
      </c>
      <c r="AI77" s="127"/>
    </row>
    <row r="78" spans="1:35">
      <c r="A78" s="9" t="s">
        <v>120</v>
      </c>
      <c r="B78" s="37"/>
      <c r="C78" s="332"/>
      <c r="D78" s="332"/>
      <c r="E78" s="332"/>
      <c r="F78" s="332"/>
      <c r="G78" s="332"/>
      <c r="H78" s="284"/>
      <c r="I78" s="164"/>
      <c r="J78" s="164"/>
      <c r="K78" s="395"/>
      <c r="L78" s="395"/>
      <c r="M78" s="164"/>
      <c r="N78" s="186">
        <f t="shared" ref="N78:N79" si="70">(N93/H93)^(1/6)</f>
        <v>1.39141985778321</v>
      </c>
      <c r="O78" s="164"/>
      <c r="P78" s="164"/>
      <c r="Q78" s="164"/>
      <c r="R78" s="164"/>
      <c r="S78" s="164"/>
      <c r="T78" s="164"/>
      <c r="U78" s="164"/>
      <c r="V78" s="164"/>
      <c r="W78" s="164"/>
      <c r="X78" s="186">
        <f t="shared" ref="X78:X79" si="71">(X93/N93)^(1/10)</f>
        <v>1.0388798585894419</v>
      </c>
      <c r="AH78" s="186">
        <f t="shared" ref="AH78:AH79" si="72">(AH93/X93)^(1/10)</f>
        <v>1.0260188761561149</v>
      </c>
      <c r="AI78" s="127"/>
    </row>
    <row r="79" spans="1:35">
      <c r="A79" s="9" t="s">
        <v>53</v>
      </c>
      <c r="B79" s="37"/>
      <c r="C79" s="332"/>
      <c r="D79" s="332"/>
      <c r="E79" s="332"/>
      <c r="F79" s="332"/>
      <c r="G79" s="332"/>
      <c r="H79" s="284"/>
      <c r="I79" s="164"/>
      <c r="J79" s="164"/>
      <c r="K79" s="395"/>
      <c r="L79" s="395"/>
      <c r="M79" s="164"/>
      <c r="N79" s="186">
        <f t="shared" si="70"/>
        <v>1.1063790526832513</v>
      </c>
      <c r="O79" s="164"/>
      <c r="P79" s="164"/>
      <c r="Q79" s="164"/>
      <c r="R79" s="164"/>
      <c r="S79" s="164"/>
      <c r="T79" s="164"/>
      <c r="U79" s="164"/>
      <c r="V79" s="164"/>
      <c r="W79" s="164"/>
      <c r="X79" s="186">
        <f t="shared" si="71"/>
        <v>1.0413797439924106</v>
      </c>
      <c r="AH79" s="186">
        <f t="shared" si="72"/>
        <v>1.0291860089647606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547</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6.5273055194546861E-2</v>
      </c>
      <c r="D84" s="336">
        <f t="shared" si="73"/>
        <v>6.383863215727488E-2</v>
      </c>
      <c r="E84" s="336">
        <f t="shared" si="73"/>
        <v>6.2404209120002913E-2</v>
      </c>
      <c r="F84" s="336">
        <f t="shared" si="73"/>
        <v>6.0969786082730924E-2</v>
      </c>
      <c r="G84" s="336">
        <f t="shared" si="73"/>
        <v>5.9535363045458957E-2</v>
      </c>
      <c r="H84" s="396">
        <f t="shared" si="73"/>
        <v>4.5793637087936614E-2</v>
      </c>
      <c r="I84" s="116">
        <f t="shared" si="73"/>
        <v>4.6410431204039704E-2</v>
      </c>
      <c r="J84" s="116">
        <f t="shared" si="73"/>
        <v>4.7027225320142793E-2</v>
      </c>
      <c r="K84" s="116">
        <f t="shared" si="73"/>
        <v>4.7644019436245882E-2</v>
      </c>
      <c r="L84" s="116">
        <f t="shared" si="73"/>
        <v>4.8260813552348972E-2</v>
      </c>
      <c r="M84" s="116">
        <f t="shared" si="73"/>
        <v>4.8877607668452061E-2</v>
      </c>
      <c r="N84" s="178">
        <f t="shared" si="73"/>
        <v>4.9494401784555137E-2</v>
      </c>
      <c r="O84" s="116">
        <f t="shared" si="73"/>
        <v>4.7562923772864252E-2</v>
      </c>
      <c r="P84" s="116">
        <f t="shared" si="73"/>
        <v>4.5631445761173367E-2</v>
      </c>
      <c r="Q84" s="116">
        <f t="shared" si="73"/>
        <v>4.3699967749482482E-2</v>
      </c>
      <c r="R84" s="116">
        <f t="shared" si="73"/>
        <v>4.1768489737791605E-2</v>
      </c>
      <c r="S84" s="116">
        <f t="shared" si="73"/>
        <v>3.9837011726100713E-2</v>
      </c>
      <c r="T84" s="116">
        <f t="shared" si="73"/>
        <v>3.7905533714409828E-2</v>
      </c>
      <c r="U84" s="116">
        <f t="shared" si="73"/>
        <v>3.5974055702718943E-2</v>
      </c>
      <c r="V84" s="116">
        <f t="shared" si="73"/>
        <v>3.4042577691028059E-2</v>
      </c>
      <c r="W84" s="116">
        <f t="shared" si="73"/>
        <v>3.2111099679337174E-2</v>
      </c>
      <c r="X84" s="178">
        <f t="shared" si="73"/>
        <v>3.0179621667646286E-2</v>
      </c>
      <c r="Y84" s="173">
        <f t="shared" si="73"/>
        <v>2.9637643462328611E-2</v>
      </c>
      <c r="Z84" s="173">
        <f t="shared" si="73"/>
        <v>2.9095665257010943E-2</v>
      </c>
      <c r="AA84" s="173">
        <f t="shared" si="73"/>
        <v>2.8553687051693276E-2</v>
      </c>
      <c r="AB84" s="173">
        <f t="shared" si="73"/>
        <v>2.8011708846375601E-2</v>
      </c>
      <c r="AC84" s="173">
        <f t="shared" si="73"/>
        <v>2.7469730641057927E-2</v>
      </c>
      <c r="AD84" s="173">
        <f t="shared" si="73"/>
        <v>2.6927752435740256E-2</v>
      </c>
      <c r="AE84" s="173">
        <f t="shared" si="73"/>
        <v>2.6385774230422588E-2</v>
      </c>
      <c r="AF84" s="173">
        <f t="shared" si="73"/>
        <v>2.584379602510492E-2</v>
      </c>
      <c r="AG84" s="173">
        <f t="shared" si="73"/>
        <v>2.5301817819787242E-2</v>
      </c>
      <c r="AH84" s="178">
        <f t="shared" si="73"/>
        <v>2.4759839614469571E-2</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2.6523088348407295E-5</v>
      </c>
      <c r="D86" s="336">
        <f t="shared" si="75"/>
        <v>3.1287980152968473E-5</v>
      </c>
      <c r="E86" s="336">
        <f t="shared" si="75"/>
        <v>3.6908888180487253E-5</v>
      </c>
      <c r="F86" s="336">
        <f t="shared" si="75"/>
        <v>4.3539596358075082E-5</v>
      </c>
      <c r="G86" s="336">
        <f t="shared" si="75"/>
        <v>5.1361516005413276E-5</v>
      </c>
      <c r="H86" s="409">
        <f t="shared" si="75"/>
        <v>4.7652988184445361E-6</v>
      </c>
      <c r="I86" s="396">
        <f t="shared" si="75"/>
        <v>6.1856837941152272E-6</v>
      </c>
      <c r="J86" s="396">
        <f t="shared" si="75"/>
        <v>6.6312745682626772E-6</v>
      </c>
      <c r="K86" s="396">
        <f t="shared" si="75"/>
        <v>7.8225877905031488E-6</v>
      </c>
      <c r="L86" s="396">
        <f t="shared" si="75"/>
        <v>9.2279212857507738E-6</v>
      </c>
      <c r="M86" s="396">
        <f t="shared" si="75"/>
        <v>1.0885723949227175E-5</v>
      </c>
      <c r="N86" s="397">
        <f>N34/N$49</f>
        <v>1.2841352047698705E-5</v>
      </c>
      <c r="O86" s="396">
        <f t="shared" si="75"/>
        <v>1.3372723907948888E-5</v>
      </c>
      <c r="P86" s="396">
        <f t="shared" si="75"/>
        <v>1.3926083799741001E-5</v>
      </c>
      <c r="Q86" s="396">
        <f t="shared" si="75"/>
        <v>1.4502341582191141E-5</v>
      </c>
      <c r="R86" s="396">
        <f t="shared" si="75"/>
        <v>1.5102444764152699E-5</v>
      </c>
      <c r="S86" s="396">
        <f t="shared" si="75"/>
        <v>1.5727380062152862E-5</v>
      </c>
      <c r="T86" s="396">
        <f t="shared" si="75"/>
        <v>1.6378175022796089E-5</v>
      </c>
      <c r="U86" s="396">
        <f t="shared" si="75"/>
        <v>1.7055899712302285E-5</v>
      </c>
      <c r="V86" s="396">
        <f t="shared" si="75"/>
        <v>1.7761668475957583E-5</v>
      </c>
      <c r="W86" s="396">
        <f t="shared" si="75"/>
        <v>1.8496641770370777E-5</v>
      </c>
      <c r="X86" s="397">
        <f t="shared" si="75"/>
        <v>1.9262028071548053E-5</v>
      </c>
      <c r="Y86" s="396">
        <f>Y34/Y$49</f>
        <v>1.9824209795523725E-5</v>
      </c>
      <c r="Z86" s="396">
        <f t="shared" si="75"/>
        <v>2.0402799360335176E-5</v>
      </c>
      <c r="AA86" s="396">
        <f t="shared" si="75"/>
        <v>2.0998275645372133E-5</v>
      </c>
      <c r="AB86" s="396">
        <f t="shared" si="75"/>
        <v>2.161113150660248E-5</v>
      </c>
      <c r="AC86" s="396">
        <f t="shared" si="75"/>
        <v>2.2241874184492802E-5</v>
      </c>
      <c r="AD86" s="396">
        <f t="shared" si="75"/>
        <v>2.2891025723834489E-5</v>
      </c>
      <c r="AE86" s="396">
        <f t="shared" si="75"/>
        <v>2.355912340582289E-5</v>
      </c>
      <c r="AF86" s="396">
        <f t="shared" si="75"/>
        <v>2.4246720192747139E-5</v>
      </c>
      <c r="AG86" s="396">
        <f t="shared" si="75"/>
        <v>2.4954385185658701E-5</v>
      </c>
      <c r="AH86" s="397">
        <f t="shared" si="75"/>
        <v>2.5682704095397406E-5</v>
      </c>
      <c r="AI86" s="292"/>
    </row>
    <row r="87" spans="1:35">
      <c r="A87" s="9" t="s">
        <v>50</v>
      </c>
      <c r="B87" s="37"/>
      <c r="C87" s="410">
        <f t="shared" ref="C87:AH87" si="76">C35/C$49</f>
        <v>4.3312203272949108E-2</v>
      </c>
      <c r="D87" s="336">
        <f t="shared" si="76"/>
        <v>5.8907228229937394E-2</v>
      </c>
      <c r="E87" s="336">
        <f t="shared" si="76"/>
        <v>6.5696800444831657E-2</v>
      </c>
      <c r="F87" s="336">
        <f t="shared" si="76"/>
        <v>8.091167472404498E-2</v>
      </c>
      <c r="G87" s="336">
        <f t="shared" si="76"/>
        <v>9.9650197000799079E-2</v>
      </c>
      <c r="H87" s="409">
        <f t="shared" si="76"/>
        <v>5.127628090391427E-2</v>
      </c>
      <c r="I87" s="116">
        <f t="shared" si="76"/>
        <v>6.7142674356583179E-2</v>
      </c>
      <c r="J87" s="116">
        <f>J35/J$49</f>
        <v>8.1537664297419737E-2</v>
      </c>
      <c r="K87" s="116">
        <f t="shared" si="76"/>
        <v>0.10586723938761218</v>
      </c>
      <c r="L87" s="116">
        <f t="shared" si="76"/>
        <v>0.11797348339318163</v>
      </c>
      <c r="M87" s="116">
        <f t="shared" si="76"/>
        <v>0.14529523583705314</v>
      </c>
      <c r="N87" s="178">
        <f t="shared" si="76"/>
        <v>0.17894449625249428</v>
      </c>
      <c r="O87" s="116">
        <f t="shared" si="76"/>
        <v>0.18634917369627346</v>
      </c>
      <c r="P87" s="116">
        <f t="shared" si="76"/>
        <v>0.19406025479702249</v>
      </c>
      <c r="Q87" s="116">
        <f t="shared" si="76"/>
        <v>0.20209041845962525</v>
      </c>
      <c r="R87" s="116">
        <f t="shared" si="76"/>
        <v>0.21045286823880369</v>
      </c>
      <c r="S87" s="116">
        <f t="shared" si="76"/>
        <v>0.21916135404899389</v>
      </c>
      <c r="T87" s="116">
        <f t="shared" si="76"/>
        <v>0.22823019477257137</v>
      </c>
      <c r="U87" s="116">
        <f t="shared" si="76"/>
        <v>0.23767430180359836</v>
      </c>
      <c r="V87" s="116">
        <f t="shared" si="76"/>
        <v>0.24750920356580619</v>
      </c>
      <c r="W87" s="116">
        <f t="shared" si="76"/>
        <v>0.25775107104512468</v>
      </c>
      <c r="X87" s="178">
        <f t="shared" si="76"/>
        <v>0.26841674437874141</v>
      </c>
      <c r="Y87" s="173">
        <f t="shared" si="76"/>
        <v>0.27625075788647124</v>
      </c>
      <c r="Z87" s="173">
        <f t="shared" si="76"/>
        <v>0.28431341498266771</v>
      </c>
      <c r="AA87" s="173">
        <f t="shared" si="76"/>
        <v>0.29261138886115357</v>
      </c>
      <c r="AB87" s="173">
        <f t="shared" si="76"/>
        <v>0.30115154747964623</v>
      </c>
      <c r="AC87" s="173">
        <f t="shared" si="76"/>
        <v>0.30994095924413873</v>
      </c>
      <c r="AD87" s="173">
        <f t="shared" si="76"/>
        <v>0.31898689885918469</v>
      </c>
      <c r="AE87" s="173">
        <f t="shared" si="76"/>
        <v>0.32829685334893005</v>
      </c>
      <c r="AF87" s="173">
        <f t="shared" si="76"/>
        <v>0.33787852825387465</v>
      </c>
      <c r="AG87" s="173">
        <f t="shared" si="76"/>
        <v>0.34773985400849239</v>
      </c>
      <c r="AH87" s="178">
        <f t="shared" si="76"/>
        <v>0.35788899250498857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0</v>
      </c>
      <c r="D89" s="336">
        <f t="shared" si="78"/>
        <v>0</v>
      </c>
      <c r="E89" s="336">
        <f t="shared" si="78"/>
        <v>1.8775764672712584E-7</v>
      </c>
      <c r="F89" s="336">
        <f t="shared" si="78"/>
        <v>1.9438114253550284E-7</v>
      </c>
      <c r="G89" s="336">
        <f t="shared" si="78"/>
        <v>2.0173309556722935E-7</v>
      </c>
      <c r="H89" s="409">
        <f t="shared" si="78"/>
        <v>1.803873175004619E-7</v>
      </c>
      <c r="I89" s="116">
        <f t="shared" si="78"/>
        <v>2.6396965268722389E-7</v>
      </c>
      <c r="J89" s="116">
        <f t="shared" si="78"/>
        <v>2.29311518019446E-7</v>
      </c>
      <c r="K89" s="116">
        <f t="shared" si="78"/>
        <v>2.5854479786322803E-7</v>
      </c>
      <c r="L89" s="116">
        <f t="shared" si="78"/>
        <v>2.9150481877002282E-7</v>
      </c>
      <c r="M89" s="116">
        <f t="shared" si="78"/>
        <v>3.286666762140627E-7</v>
      </c>
      <c r="N89" s="178">
        <f t="shared" si="78"/>
        <v>3.7056603218220295E-7</v>
      </c>
      <c r="O89" s="116">
        <f t="shared" si="78"/>
        <v>3.8589995972618601E-7</v>
      </c>
      <c r="P89" s="116">
        <f t="shared" si="78"/>
        <v>4.0186840126633713E-7</v>
      </c>
      <c r="Q89" s="116">
        <f t="shared" si="78"/>
        <v>4.1849761282937746E-7</v>
      </c>
      <c r="R89" s="116">
        <f t="shared" si="78"/>
        <v>4.358149369096921E-7</v>
      </c>
      <c r="S89" s="116">
        <f t="shared" si="78"/>
        <v>4.5384884742708376E-7</v>
      </c>
      <c r="T89" s="116">
        <f t="shared" si="78"/>
        <v>4.726289965448671E-7</v>
      </c>
      <c r="U89" s="116">
        <f t="shared" si="78"/>
        <v>4.9218626342528366E-7</v>
      </c>
      <c r="V89" s="116">
        <f t="shared" si="78"/>
        <v>5.1255280500240312E-7</v>
      </c>
      <c r="W89" s="116">
        <f t="shared" si="78"/>
        <v>5.3376210885599451E-7</v>
      </c>
      <c r="X89" s="178">
        <f t="shared" si="78"/>
        <v>5.5584904827330426E-7</v>
      </c>
      <c r="Y89" s="173">
        <f t="shared" si="78"/>
        <v>5.7207206357926262E-7</v>
      </c>
      <c r="Z89" s="173">
        <f t="shared" si="78"/>
        <v>5.8876856395537606E-7</v>
      </c>
      <c r="AA89" s="173">
        <f t="shared" si="78"/>
        <v>6.0595236854114691E-7</v>
      </c>
      <c r="AB89" s="173">
        <f t="shared" si="78"/>
        <v>6.2363769980160679E-7</v>
      </c>
      <c r="AC89" s="173">
        <f t="shared" si="78"/>
        <v>6.4183919529877915E-7</v>
      </c>
      <c r="AD89" s="173">
        <f t="shared" si="78"/>
        <v>6.6057191980670409E-7</v>
      </c>
      <c r="AE89" s="173">
        <f t="shared" si="78"/>
        <v>6.7985137778005165E-7</v>
      </c>
      <c r="AF89" s="173">
        <f t="shared" si="78"/>
        <v>6.9969352618664516E-7</v>
      </c>
      <c r="AG89" s="173">
        <f t="shared" si="78"/>
        <v>7.2011478771451354E-7</v>
      </c>
      <c r="AH89" s="178">
        <f t="shared" si="78"/>
        <v>7.4113206436440579E-7</v>
      </c>
      <c r="AI89" s="127"/>
    </row>
    <row r="90" spans="1:35" s="252" customFormat="1">
      <c r="A90" s="10" t="s">
        <v>347</v>
      </c>
      <c r="B90" s="37"/>
      <c r="C90" s="410">
        <f t="shared" ref="C90:AH90" si="79">C38/C$49</f>
        <v>6.0000000000000001E-3</v>
      </c>
      <c r="D90" s="336">
        <f t="shared" si="79"/>
        <v>6.9122143034511868E-3</v>
      </c>
      <c r="E90" s="336">
        <f t="shared" si="79"/>
        <v>7.9631177628058623E-3</v>
      </c>
      <c r="F90" s="336">
        <f t="shared" si="79"/>
        <v>9.1737960833554837E-3</v>
      </c>
      <c r="G90" s="336">
        <f t="shared" si="79"/>
        <v>1.0568540750719042E-2</v>
      </c>
      <c r="H90" s="409">
        <f t="shared" si="79"/>
        <v>9.0002296771910951E-3</v>
      </c>
      <c r="I90" s="396">
        <f t="shared" si="79"/>
        <v>1.0368586051504357E-2</v>
      </c>
      <c r="J90" s="396">
        <f t="shared" si="79"/>
        <v>1.2000280143784387E-2</v>
      </c>
      <c r="K90" s="396">
        <f t="shared" si="79"/>
        <v>1.3761045293652574E-2</v>
      </c>
      <c r="L90" s="396">
        <f t="shared" si="79"/>
        <v>1.5853215684870827E-2</v>
      </c>
      <c r="M90" s="396">
        <f t="shared" si="79"/>
        <v>1.8263470702110138E-2</v>
      </c>
      <c r="N90" s="397">
        <f t="shared" si="79"/>
        <v>2.1040170569631225E-2</v>
      </c>
      <c r="O90" s="396">
        <f t="shared" si="79"/>
        <v>2.1910807441359224E-2</v>
      </c>
      <c r="P90" s="396">
        <f t="shared" si="79"/>
        <v>2.2817471043949676E-2</v>
      </c>
      <c r="Q90" s="396">
        <f t="shared" si="79"/>
        <v>2.3761652154302555E-2</v>
      </c>
      <c r="R90" s="396">
        <f t="shared" si="79"/>
        <v>2.4744903237284305E-2</v>
      </c>
      <c r="S90" s="396">
        <f t="shared" si="79"/>
        <v>2.5768840998360104E-2</v>
      </c>
      <c r="T90" s="396">
        <f t="shared" si="79"/>
        <v>2.6835149041853381E-2</v>
      </c>
      <c r="U90" s="396">
        <f t="shared" si="79"/>
        <v>2.7945580639203455E-2</v>
      </c>
      <c r="V90" s="396">
        <f t="shared" si="79"/>
        <v>2.9101961611772965E-2</v>
      </c>
      <c r="W90" s="396">
        <f t="shared" si="79"/>
        <v>3.030619333294509E-2</v>
      </c>
      <c r="X90" s="397">
        <f t="shared" si="79"/>
        <v>3.1560255854446828E-2</v>
      </c>
      <c r="Y90" s="396">
        <f t="shared" si="79"/>
        <v>3.2481373764744852E-2</v>
      </c>
      <c r="Z90" s="396">
        <f t="shared" si="79"/>
        <v>3.3429375430630438E-2</v>
      </c>
      <c r="AA90" s="396">
        <f t="shared" si="79"/>
        <v>3.4405045481635164E-2</v>
      </c>
      <c r="AB90" s="396">
        <f t="shared" si="79"/>
        <v>3.5409191447495166E-2</v>
      </c>
      <c r="AC90" s="396">
        <f t="shared" si="79"/>
        <v>3.6442644426516686E-2</v>
      </c>
      <c r="AD90" s="396">
        <f t="shared" si="79"/>
        <v>3.750625977344859E-2</v>
      </c>
      <c r="AE90" s="396">
        <f t="shared" si="79"/>
        <v>3.86009178074311E-2</v>
      </c>
      <c r="AF90" s="396">
        <f t="shared" si="79"/>
        <v>3.9727524540606775E-2</v>
      </c>
      <c r="AG90" s="396">
        <f t="shared" si="79"/>
        <v>4.0887012427996673E-2</v>
      </c>
      <c r="AH90" s="397">
        <f t="shared" si="79"/>
        <v>4.2080341139262442E-2</v>
      </c>
      <c r="AI90" s="292"/>
    </row>
    <row r="91" spans="1:35" s="252" customFormat="1">
      <c r="A91" s="10" t="s">
        <v>348</v>
      </c>
      <c r="B91" s="37"/>
      <c r="C91" s="410">
        <f t="shared" ref="C91:AH91" si="80">C39/C$49</f>
        <v>0</v>
      </c>
      <c r="D91" s="336">
        <f t="shared" si="80"/>
        <v>0</v>
      </c>
      <c r="E91" s="336">
        <f t="shared" si="80"/>
        <v>2.992086976977818E-7</v>
      </c>
      <c r="F91" s="336">
        <f t="shared" si="80"/>
        <v>2.6393877565539992E-7</v>
      </c>
      <c r="G91" s="336">
        <f t="shared" si="80"/>
        <v>2.295752991184131E-7</v>
      </c>
      <c r="H91" s="409">
        <f t="shared" si="80"/>
        <v>2.2967719109551488E-7</v>
      </c>
      <c r="I91" s="396">
        <f t="shared" si="80"/>
        <v>3.0074608721639324E-7</v>
      </c>
      <c r="J91" s="396">
        <f t="shared" si="80"/>
        <v>2.8014378438691553E-7</v>
      </c>
      <c r="K91" s="396">
        <f t="shared" si="80"/>
        <v>2.9524135185054069E-7</v>
      </c>
      <c r="L91" s="396">
        <f t="shared" si="80"/>
        <v>3.2101866983411192E-7</v>
      </c>
      <c r="M91" s="396">
        <f t="shared" si="80"/>
        <v>3.490465876007465E-7</v>
      </c>
      <c r="N91" s="397">
        <f t="shared" si="80"/>
        <v>3.7952160345902552E-7</v>
      </c>
      <c r="O91" s="396">
        <f t="shared" si="80"/>
        <v>3.9522611024974893E-7</v>
      </c>
      <c r="P91" s="396">
        <f t="shared" si="80"/>
        <v>4.1158046551099981E-7</v>
      </c>
      <c r="Q91" s="396">
        <f t="shared" si="80"/>
        <v>4.2861155980612217E-7</v>
      </c>
      <c r="R91" s="396">
        <f t="shared" si="80"/>
        <v>4.4634739642308729E-7</v>
      </c>
      <c r="S91" s="396">
        <f t="shared" si="80"/>
        <v>4.6481713741875365E-7</v>
      </c>
      <c r="T91" s="396">
        <f t="shared" si="80"/>
        <v>4.8405115156842686E-7</v>
      </c>
      <c r="U91" s="396">
        <f t="shared" si="80"/>
        <v>5.0408106429955987E-7</v>
      </c>
      <c r="V91" s="396">
        <f t="shared" si="80"/>
        <v>5.2493980969169752E-7</v>
      </c>
      <c r="W91" s="396">
        <f t="shared" si="80"/>
        <v>5.4666168462816474E-7</v>
      </c>
      <c r="X91" s="397">
        <f t="shared" si="80"/>
        <v>5.6928240518853822E-7</v>
      </c>
      <c r="Y91" s="396">
        <f t="shared" si="80"/>
        <v>5.8589748656985143E-7</v>
      </c>
      <c r="Z91" s="396">
        <f t="shared" si="80"/>
        <v>6.0299749586530981E-7</v>
      </c>
      <c r="AA91" s="396">
        <f t="shared" si="80"/>
        <v>6.2059658618536293E-7</v>
      </c>
      <c r="AB91" s="396">
        <f t="shared" si="80"/>
        <v>6.3870932371326883E-7</v>
      </c>
      <c r="AC91" s="396">
        <f t="shared" si="80"/>
        <v>6.5735069976104051E-7</v>
      </c>
      <c r="AD91" s="396">
        <f t="shared" si="80"/>
        <v>6.7653614317725788E-7</v>
      </c>
      <c r="AE91" s="396">
        <f t="shared" si="80"/>
        <v>6.9628153311701394E-7</v>
      </c>
      <c r="AF91" s="396">
        <f t="shared" si="80"/>
        <v>7.1660321218456441E-7</v>
      </c>
      <c r="AG91" s="396">
        <f t="shared" si="80"/>
        <v>7.3751799995955937E-7</v>
      </c>
      <c r="AH91" s="397">
        <f t="shared" si="80"/>
        <v>7.5904320691805114E-7</v>
      </c>
      <c r="AI91" s="292"/>
    </row>
    <row r="92" spans="1:35">
      <c r="A92" s="9" t="s">
        <v>344</v>
      </c>
      <c r="B92" s="37"/>
      <c r="C92" s="410">
        <f t="shared" ref="C92:AH92" si="81">C40/C$49</f>
        <v>2.6523088348407295E-7</v>
      </c>
      <c r="D92" s="336">
        <f t="shared" si="81"/>
        <v>2.8838800825599017E-7</v>
      </c>
      <c r="E92" s="336">
        <f t="shared" si="81"/>
        <v>3.1356696555607276E-7</v>
      </c>
      <c r="F92" s="336">
        <f t="shared" si="81"/>
        <v>3.409442801822916E-7</v>
      </c>
      <c r="G92" s="336">
        <f t="shared" si="81"/>
        <v>3.7071188919048975E-7</v>
      </c>
      <c r="H92" s="409">
        <f t="shared" si="81"/>
        <v>2.2967719109551488E-7</v>
      </c>
      <c r="I92" s="116">
        <f t="shared" si="81"/>
        <v>3.0074608721639324E-7</v>
      </c>
      <c r="J92" s="116">
        <f t="shared" si="81"/>
        <v>2.8014378438691553E-7</v>
      </c>
      <c r="K92" s="116">
        <f t="shared" si="81"/>
        <v>2.9524135185054069E-7</v>
      </c>
      <c r="L92" s="116">
        <f t="shared" si="81"/>
        <v>3.2101866983411192E-7</v>
      </c>
      <c r="M92" s="116">
        <f t="shared" si="81"/>
        <v>3.490465876007465E-7</v>
      </c>
      <c r="N92" s="178">
        <f t="shared" si="81"/>
        <v>3.7952160345902552E-7</v>
      </c>
      <c r="O92" s="116">
        <f t="shared" si="81"/>
        <v>3.9522611024974893E-7</v>
      </c>
      <c r="P92" s="116">
        <f t="shared" si="81"/>
        <v>4.1158046551099981E-7</v>
      </c>
      <c r="Q92" s="116">
        <f t="shared" si="81"/>
        <v>4.2861155980612217E-7</v>
      </c>
      <c r="R92" s="116">
        <f t="shared" si="81"/>
        <v>4.4634739642308729E-7</v>
      </c>
      <c r="S92" s="116">
        <f t="shared" si="81"/>
        <v>4.6481713741875365E-7</v>
      </c>
      <c r="T92" s="116">
        <f t="shared" si="81"/>
        <v>4.8405115156842686E-7</v>
      </c>
      <c r="U92" s="116">
        <f t="shared" si="81"/>
        <v>5.0408106429955987E-7</v>
      </c>
      <c r="V92" s="116">
        <f t="shared" si="81"/>
        <v>5.2493980969169752E-7</v>
      </c>
      <c r="W92" s="116">
        <f t="shared" si="81"/>
        <v>5.4666168462816474E-7</v>
      </c>
      <c r="X92" s="178">
        <f t="shared" si="81"/>
        <v>5.6928240518853822E-7</v>
      </c>
      <c r="Y92" s="173">
        <f t="shared" si="81"/>
        <v>5.8589748656985143E-7</v>
      </c>
      <c r="Z92" s="173">
        <f t="shared" si="81"/>
        <v>6.0299749586530981E-7</v>
      </c>
      <c r="AA92" s="173">
        <f t="shared" si="81"/>
        <v>6.2059658618536293E-7</v>
      </c>
      <c r="AB92" s="173">
        <f t="shared" si="81"/>
        <v>6.3870932371326883E-7</v>
      </c>
      <c r="AC92" s="173">
        <f t="shared" si="81"/>
        <v>6.5735069976104051E-7</v>
      </c>
      <c r="AD92" s="173">
        <f t="shared" si="81"/>
        <v>6.7653614317725788E-7</v>
      </c>
      <c r="AE92" s="173">
        <f t="shared" si="81"/>
        <v>6.9628153311701394E-7</v>
      </c>
      <c r="AF92" s="173">
        <f t="shared" si="81"/>
        <v>7.1660321218456441E-7</v>
      </c>
      <c r="AG92" s="173">
        <f t="shared" si="81"/>
        <v>7.3751799995955937E-7</v>
      </c>
      <c r="AH92" s="178">
        <f t="shared" si="81"/>
        <v>7.5904320691805114E-7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2.2967719109551486E-5</v>
      </c>
      <c r="I93" s="116">
        <f t="shared" si="82"/>
        <v>6.014921744327865E-5</v>
      </c>
      <c r="J93" s="116">
        <f t="shared" si="82"/>
        <v>8.4043135316074651E-5</v>
      </c>
      <c r="K93" s="116">
        <f t="shared" si="82"/>
        <v>1.0867488578980679E-4</v>
      </c>
      <c r="L93" s="116">
        <f t="shared" si="82"/>
        <v>1.2573264393627931E-4</v>
      </c>
      <c r="M93" s="116">
        <f t="shared" si="82"/>
        <v>1.4675756126267036E-4</v>
      </c>
      <c r="N93" s="178">
        <f t="shared" si="82"/>
        <v>1.6667369024513744E-4</v>
      </c>
      <c r="O93" s="116">
        <f t="shared" si="82"/>
        <v>1.7379223945235647E-4</v>
      </c>
      <c r="P93" s="116">
        <f t="shared" si="82"/>
        <v>1.7942319835867552E-4</v>
      </c>
      <c r="Q93" s="116">
        <f t="shared" si="82"/>
        <v>1.876418583924808E-4</v>
      </c>
      <c r="R93" s="116">
        <f t="shared" si="82"/>
        <v>1.9997065998123828E-4</v>
      </c>
      <c r="S93" s="116">
        <f t="shared" si="82"/>
        <v>2.0837117585575777E-4</v>
      </c>
      <c r="T93" s="116">
        <f t="shared" si="82"/>
        <v>2.1306332476527933E-4</v>
      </c>
      <c r="U93" s="116">
        <f t="shared" si="82"/>
        <v>2.2126004726830684E-4</v>
      </c>
      <c r="V93" s="116">
        <f t="shared" si="82"/>
        <v>2.316599033063658E-4</v>
      </c>
      <c r="W93" s="116">
        <f t="shared" si="82"/>
        <v>2.3809758658866793E-4</v>
      </c>
      <c r="X93" s="178">
        <f t="shared" si="82"/>
        <v>2.440733236553954E-4</v>
      </c>
      <c r="Y93" s="173">
        <f t="shared" si="82"/>
        <v>2.5501416141046141E-4</v>
      </c>
      <c r="Z93" s="173">
        <f t="shared" si="82"/>
        <v>2.5660291516007455E-4</v>
      </c>
      <c r="AA93" s="173">
        <f t="shared" si="82"/>
        <v>2.6217415288359191E-4</v>
      </c>
      <c r="AB93" s="173">
        <f t="shared" si="82"/>
        <v>2.6862905531218375E-4</v>
      </c>
      <c r="AC93" s="173">
        <f t="shared" si="82"/>
        <v>2.7711158924264998E-4</v>
      </c>
      <c r="AD93" s="173">
        <f t="shared" si="82"/>
        <v>2.8928001275669571E-4</v>
      </c>
      <c r="AE93" s="173">
        <f t="shared" si="82"/>
        <v>3.0014304368917381E-4</v>
      </c>
      <c r="AF93" s="173">
        <f t="shared" si="82"/>
        <v>3.0777362862564135E-4</v>
      </c>
      <c r="AG93" s="173">
        <f t="shared" si="82"/>
        <v>3.106763447495063E-4</v>
      </c>
      <c r="AH93" s="178">
        <f t="shared" si="82"/>
        <v>3.1555409675778463E-4</v>
      </c>
      <c r="AI93" s="127"/>
    </row>
    <row r="94" spans="1:35">
      <c r="A94" s="9" t="s">
        <v>53</v>
      </c>
      <c r="B94" s="37"/>
      <c r="C94" s="410">
        <f t="shared" ref="C94:AH94" si="83">C42/C$49</f>
        <v>0</v>
      </c>
      <c r="D94" s="336">
        <f t="shared" si="83"/>
        <v>0</v>
      </c>
      <c r="E94" s="336">
        <f t="shared" si="83"/>
        <v>7.1817008144645366E-7</v>
      </c>
      <c r="F94" s="336">
        <f t="shared" si="83"/>
        <v>7.230948518875789E-7</v>
      </c>
      <c r="G94" s="336">
        <f t="shared" si="83"/>
        <v>7.400909599923434E-7</v>
      </c>
      <c r="H94" s="409">
        <f t="shared" si="83"/>
        <v>7.4271551606304144E-7</v>
      </c>
      <c r="I94" s="116">
        <f t="shared" si="83"/>
        <v>1.0405564998434817E-6</v>
      </c>
      <c r="J94" s="116">
        <f t="shared" si="83"/>
        <v>1.0055603139473937E-6</v>
      </c>
      <c r="K94" s="116">
        <f t="shared" si="83"/>
        <v>1.0058525716560293E-6</v>
      </c>
      <c r="L94" s="116">
        <f t="shared" si="83"/>
        <v>1.1128542153678099E-6</v>
      </c>
      <c r="M94" s="116">
        <f t="shared" si="83"/>
        <v>1.2312385925732005E-6</v>
      </c>
      <c r="N94" s="178">
        <f t="shared" si="83"/>
        <v>1.3622165876781975E-6</v>
      </c>
      <c r="O94" s="116">
        <f t="shared" si="83"/>
        <v>1.4185847613385361E-6</v>
      </c>
      <c r="P94" s="116">
        <f t="shared" si="83"/>
        <v>1.4772854355942597E-6</v>
      </c>
      <c r="Q94" s="116">
        <f t="shared" si="83"/>
        <v>1.538415128722867E-6</v>
      </c>
      <c r="R94" s="116">
        <f t="shared" si="83"/>
        <v>1.6020743529034708E-6</v>
      </c>
      <c r="S94" s="116">
        <f t="shared" si="83"/>
        <v>1.6683677794834232E-6</v>
      </c>
      <c r="T94" s="116">
        <f t="shared" si="83"/>
        <v>1.7374044110836338E-6</v>
      </c>
      <c r="U94" s="116">
        <f t="shared" si="83"/>
        <v>1.8092977608255595E-6</v>
      </c>
      <c r="V94" s="116">
        <f t="shared" si="83"/>
        <v>1.884166038974563E-6</v>
      </c>
      <c r="W94" s="116">
        <f t="shared" si="83"/>
        <v>1.9621323473065247E-6</v>
      </c>
      <c r="X94" s="178">
        <f t="shared" si="83"/>
        <v>2.0433248815172957E-6</v>
      </c>
      <c r="Y94" s="173">
        <f t="shared" si="83"/>
        <v>2.1029613798271779E-6</v>
      </c>
      <c r="Z94" s="173">
        <f t="shared" si="83"/>
        <v>2.1643384295113594E-6</v>
      </c>
      <c r="AA94" s="173">
        <f t="shared" si="83"/>
        <v>2.227506830317854E-6</v>
      </c>
      <c r="AB94" s="173">
        <f t="shared" si="83"/>
        <v>2.2925188646365765E-6</v>
      </c>
      <c r="AC94" s="173">
        <f t="shared" si="83"/>
        <v>2.3594283407717424E-6</v>
      </c>
      <c r="AD94" s="173">
        <f t="shared" si="83"/>
        <v>2.428290637477217E-6</v>
      </c>
      <c r="AE94" s="173">
        <f t="shared" si="83"/>
        <v>2.4991627497916713E-6</v>
      </c>
      <c r="AF94" s="173">
        <f t="shared" si="83"/>
        <v>2.5721033362114869E-6</v>
      </c>
      <c r="AG94" s="173">
        <f t="shared" si="83"/>
        <v>2.6471727672404462E-6</v>
      </c>
      <c r="AH94" s="178">
        <f t="shared" si="83"/>
        <v>2.7244331753563945E-6</v>
      </c>
      <c r="AI94" s="127"/>
    </row>
    <row r="95" spans="1:35" s="378" customFormat="1">
      <c r="A95" s="373" t="s">
        <v>540</v>
      </c>
      <c r="B95" s="374"/>
      <c r="C95" s="375">
        <f>SUM(C86:C94)</f>
        <v>4.9338991592180997E-2</v>
      </c>
      <c r="D95" s="375">
        <f>SUM(D86:D94)</f>
        <v>6.5851018901549804E-2</v>
      </c>
      <c r="E95" s="375">
        <f>SUM(E86:E94)</f>
        <v>7.3698345799209433E-2</v>
      </c>
      <c r="F95" s="375">
        <f>SUM(F86:F94)</f>
        <v>9.0130532762808788E-2</v>
      </c>
      <c r="G95" s="375">
        <f t="shared" ref="G95:AH95" si="84">SUM(G86:G94)</f>
        <v>0.1102716413787674</v>
      </c>
      <c r="H95" s="375">
        <f t="shared" si="84"/>
        <v>6.0305626056249104E-2</v>
      </c>
      <c r="I95" s="375">
        <f t="shared" si="84"/>
        <v>7.7579501327651887E-2</v>
      </c>
      <c r="J95" s="375">
        <f t="shared" si="84"/>
        <v>9.3630414010489216E-2</v>
      </c>
      <c r="K95" s="375">
        <f t="shared" si="84"/>
        <v>0.11974663703491828</v>
      </c>
      <c r="L95" s="375">
        <f t="shared" si="84"/>
        <v>0.1339637060396483</v>
      </c>
      <c r="M95" s="375">
        <f t="shared" si="84"/>
        <v>0.16371860782281919</v>
      </c>
      <c r="N95" s="376">
        <f t="shared" si="84"/>
        <v>0.20016667369024513</v>
      </c>
      <c r="O95" s="375">
        <f t="shared" si="84"/>
        <v>0.20844974103793457</v>
      </c>
      <c r="P95" s="375">
        <f t="shared" si="84"/>
        <v>0.21707377743789849</v>
      </c>
      <c r="Q95" s="375">
        <f t="shared" si="84"/>
        <v>0.22605702894976365</v>
      </c>
      <c r="R95" s="375">
        <f t="shared" si="84"/>
        <v>0.23541577516491607</v>
      </c>
      <c r="S95" s="375">
        <f t="shared" si="84"/>
        <v>0.24515734545417364</v>
      </c>
      <c r="T95" s="375">
        <f t="shared" si="84"/>
        <v>0.2552979634499235</v>
      </c>
      <c r="U95" s="375">
        <f t="shared" si="84"/>
        <v>0.26586150803593522</v>
      </c>
      <c r="V95" s="375">
        <f t="shared" si="84"/>
        <v>0.27686403334782478</v>
      </c>
      <c r="W95" s="375">
        <f t="shared" si="84"/>
        <v>0.28831744782425428</v>
      </c>
      <c r="X95" s="376">
        <f t="shared" si="84"/>
        <v>0.30024407332365544</v>
      </c>
      <c r="Y95" s="375">
        <f t="shared" si="84"/>
        <v>0.30901081685083859</v>
      </c>
      <c r="Z95" s="375">
        <f t="shared" si="84"/>
        <v>0.31802375522980381</v>
      </c>
      <c r="AA95" s="375">
        <f t="shared" si="84"/>
        <v>0.32730368142368893</v>
      </c>
      <c r="AB95" s="375">
        <f t="shared" si="84"/>
        <v>0.33685517268917203</v>
      </c>
      <c r="AC95" s="375">
        <f t="shared" si="84"/>
        <v>0.34668727310301811</v>
      </c>
      <c r="AD95" s="375">
        <f t="shared" si="84"/>
        <v>0.35680977160595739</v>
      </c>
      <c r="AE95" s="375">
        <f t="shared" si="84"/>
        <v>0.36722604490064997</v>
      </c>
      <c r="AF95" s="375">
        <f t="shared" si="84"/>
        <v>0.37794277814658656</v>
      </c>
      <c r="AG95" s="375">
        <f t="shared" si="84"/>
        <v>0.38896733948997914</v>
      </c>
      <c r="AH95" s="376">
        <f t="shared" si="84"/>
        <v>0.40031555409675773</v>
      </c>
      <c r="AI95" s="377"/>
    </row>
    <row r="96" spans="1:35">
      <c r="A96" s="10" t="s">
        <v>543</v>
      </c>
      <c r="B96" s="37"/>
      <c r="C96" s="332"/>
      <c r="D96" s="332">
        <f>D95/C95-1</f>
        <v>0.33466487207220408</v>
      </c>
      <c r="E96" s="332">
        <f t="shared" ref="E96:O96" si="85">E95/D95-1</f>
        <v>0.11916788879746454</v>
      </c>
      <c r="F96" s="332">
        <f t="shared" si="85"/>
        <v>0.22296547887748686</v>
      </c>
      <c r="G96" s="332">
        <f t="shared" si="85"/>
        <v>0.22346598870066359</v>
      </c>
      <c r="H96" s="284"/>
      <c r="I96" s="164">
        <f t="shared" si="85"/>
        <v>0.28643886816282871</v>
      </c>
      <c r="J96" s="164">
        <f t="shared" si="85"/>
        <v>0.20689631163066347</v>
      </c>
      <c r="K96" s="164">
        <f t="shared" si="85"/>
        <v>0.27892884273162899</v>
      </c>
      <c r="L96" s="164">
        <f t="shared" si="85"/>
        <v>0.11872624865936166</v>
      </c>
      <c r="M96" s="164">
        <f t="shared" si="85"/>
        <v>0.22211166488903</v>
      </c>
      <c r="N96" s="164">
        <f t="shared" si="85"/>
        <v>0.2226262875804017</v>
      </c>
      <c r="O96" s="172">
        <f t="shared" si="85"/>
        <v>4.1380851242536876E-2</v>
      </c>
      <c r="P96" s="172">
        <f t="shared" ref="P96:AH96" si="86">P95/O95-1</f>
        <v>4.1372257681982383E-2</v>
      </c>
      <c r="Q96" s="172">
        <f t="shared" si="86"/>
        <v>4.1383402536656622E-2</v>
      </c>
      <c r="R96" s="172">
        <f t="shared" si="86"/>
        <v>4.1399934603370436E-2</v>
      </c>
      <c r="S96" s="172">
        <f t="shared" si="86"/>
        <v>4.1380278286080374E-2</v>
      </c>
      <c r="T96" s="172">
        <f t="shared" si="86"/>
        <v>4.1363712667729979E-2</v>
      </c>
      <c r="U96" s="172">
        <f t="shared" si="86"/>
        <v>4.1377316306260958E-2</v>
      </c>
      <c r="V96" s="172">
        <f t="shared" si="86"/>
        <v>4.138442376698781E-2</v>
      </c>
      <c r="W96" s="172">
        <f t="shared" si="86"/>
        <v>4.136837254711434E-2</v>
      </c>
      <c r="X96" s="185">
        <f t="shared" si="86"/>
        <v>4.1366298118284961E-2</v>
      </c>
      <c r="Y96" s="172">
        <f t="shared" si="86"/>
        <v>2.9198722992719306E-2</v>
      </c>
      <c r="Z96" s="172">
        <f t="shared" si="86"/>
        <v>2.9167064346863336E-2</v>
      </c>
      <c r="AA96" s="172">
        <f t="shared" si="86"/>
        <v>2.9179978040255072E-2</v>
      </c>
      <c r="AB96" s="172">
        <f t="shared" si="86"/>
        <v>2.9182352071130069E-2</v>
      </c>
      <c r="AC96" s="172">
        <f t="shared" si="86"/>
        <v>2.9187915789906871E-2</v>
      </c>
      <c r="AD96" s="172">
        <f t="shared" si="86"/>
        <v>2.9197779348339115E-2</v>
      </c>
      <c r="AE96" s="172">
        <f t="shared" si="86"/>
        <v>2.9192791575775034E-2</v>
      </c>
      <c r="AF96" s="172">
        <f t="shared" si="86"/>
        <v>2.918293349491563E-2</v>
      </c>
      <c r="AG96" s="172">
        <f t="shared" si="86"/>
        <v>2.9169921958706269E-2</v>
      </c>
      <c r="AH96" s="185">
        <f t="shared" si="86"/>
        <v>2.9175237750445948E-2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369.14849999999996</v>
      </c>
      <c r="D102" s="331">
        <f>D31*Inputs!$C$48</f>
        <v>336.49343010099591</v>
      </c>
      <c r="E102" s="331">
        <f>E31*Inputs!$C$48</f>
        <v>312.84623207896249</v>
      </c>
      <c r="F102" s="331">
        <f>F31*Inputs!$C$48</f>
        <v>346.49959596501338</v>
      </c>
      <c r="G102" s="331">
        <f>G31*Inputs!$C$48</f>
        <v>388.99239121594974</v>
      </c>
      <c r="H102" s="402">
        <f>H31*Inputs!$C$48</f>
        <v>299.07391023142094</v>
      </c>
      <c r="I102" s="14">
        <f>I31*Inputs!$C$48</f>
        <v>231.47648386849869</v>
      </c>
      <c r="J102" s="14">
        <f>J31*Inputs!$C$48</f>
        <v>251.80225980951261</v>
      </c>
      <c r="K102" s="14">
        <f>K31*Inputs!$C$48</f>
        <v>263.04524227463054</v>
      </c>
      <c r="L102" s="14">
        <f>L31*Inputs!$C$48</f>
        <v>287.87758716507614</v>
      </c>
      <c r="M102" s="14">
        <f>M31*Inputs!$C$48</f>
        <v>299.74501159005172</v>
      </c>
      <c r="N102" s="182">
        <f>N31*Inputs!$C$48</f>
        <v>311.80159146502757</v>
      </c>
      <c r="O102" s="14">
        <f>O31*Inputs!$C$48</f>
        <v>328.41229681653203</v>
      </c>
      <c r="P102" s="14">
        <f>P31*Inputs!$C$48</f>
        <v>343.33604762990461</v>
      </c>
      <c r="Q102" s="14">
        <f>Q31*Inputs!$C$48</f>
        <v>349.3354424529108</v>
      </c>
      <c r="R102" s="14">
        <f>R31*Inputs!$C$48</f>
        <v>344.64059914500552</v>
      </c>
      <c r="S102" s="14">
        <f>S31*Inputs!$C$48</f>
        <v>344.12927225893884</v>
      </c>
      <c r="T102" s="14">
        <f>T31*Inputs!$C$48</f>
        <v>346.91935284746125</v>
      </c>
      <c r="U102" s="14">
        <f>U31*Inputs!$C$48</f>
        <v>341.43315934530614</v>
      </c>
      <c r="V102" s="14">
        <f>V31*Inputs!$C$48</f>
        <v>330.63900446991317</v>
      </c>
      <c r="W102" s="14">
        <f>W31*Inputs!$C$48</f>
        <v>323.67669212686235</v>
      </c>
      <c r="X102" s="187">
        <f>X31*Inputs!$C$48</f>
        <v>315.30703191945008</v>
      </c>
      <c r="Y102" s="158">
        <f>Y31*Inputs!$C$48</f>
        <v>313.79291607059957</v>
      </c>
      <c r="Z102" s="158">
        <f>Z31*Inputs!$C$48</f>
        <v>323.1555102589237</v>
      </c>
      <c r="AA102" s="158">
        <f>AA31*Inputs!$C$48</f>
        <v>326.73343353230638</v>
      </c>
      <c r="AB102" s="158">
        <f>AB31*Inputs!$C$48</f>
        <v>328.47110586581857</v>
      </c>
      <c r="AC102" s="158">
        <f>AC31*Inputs!$C$48</f>
        <v>327.12493679257244</v>
      </c>
      <c r="AD102" s="158">
        <f>AD31*Inputs!$C$48</f>
        <v>321.1447103379374</v>
      </c>
      <c r="AE102" s="158">
        <f>AE31*Inputs!$C$48</f>
        <v>316.47838997691741</v>
      </c>
      <c r="AF102" s="158">
        <f>AF31*Inputs!$C$48</f>
        <v>314.88804134035962</v>
      </c>
      <c r="AG102" s="158">
        <f>AG31*Inputs!$C$48</f>
        <v>317.6202217028532</v>
      </c>
      <c r="AH102" s="187">
        <f>AH31*Inputs!$C$48</f>
        <v>317.78180498658969</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0.21</v>
      </c>
      <c r="D104" s="331">
        <f>D34*Inputs!$C$46</f>
        <v>0.23088652074081553</v>
      </c>
      <c r="E104" s="331">
        <f>E34*Inputs!$C$46</f>
        <v>0.25904549491843815</v>
      </c>
      <c r="F104" s="331">
        <f>F34*Inputs!$C$46</f>
        <v>0.34641803624691109</v>
      </c>
      <c r="G104" s="331">
        <f>G34*Inputs!$C$46</f>
        <v>0.46982050780530604</v>
      </c>
      <c r="H104" s="402">
        <f>H34*Inputs!$C$46</f>
        <v>4.3570401880141003E-2</v>
      </c>
      <c r="I104" s="14">
        <f>I34*Inputs!$C$46</f>
        <v>4.3192368977673312E-2</v>
      </c>
      <c r="J104" s="14">
        <f>J34*Inputs!$C$46</f>
        <v>4.9709032894759586E-2</v>
      </c>
      <c r="K104" s="14">
        <f>K34*Inputs!$C$46</f>
        <v>6.0464510234056044E-2</v>
      </c>
      <c r="L104" s="14">
        <f>L34*Inputs!$C$46</f>
        <v>7.7062861693649037E-2</v>
      </c>
      <c r="M104" s="14">
        <f>M34*Inputs!$C$46</f>
        <v>9.346034410776953E-2</v>
      </c>
      <c r="N104" s="182">
        <f>N34*Inputs!$C$46</f>
        <v>0.11325595228829351</v>
      </c>
      <c r="O104" s="14">
        <f>O34*Inputs!$C$46</f>
        <v>0.12927030709856882</v>
      </c>
      <c r="P104" s="14">
        <f>P34*Inputs!$C$46</f>
        <v>0.14669395386038633</v>
      </c>
      <c r="Q104" s="14">
        <f>Q34*Inputs!$C$46</f>
        <v>0.16230343050056781</v>
      </c>
      <c r="R104" s="14">
        <f>R34*Inputs!$C$46</f>
        <v>0.17445883015271282</v>
      </c>
      <c r="S104" s="14">
        <f>S34*Inputs!$C$46</f>
        <v>0.19020383982504679</v>
      </c>
      <c r="T104" s="14">
        <f>T34*Inputs!$C$46</f>
        <v>0.20985506473951179</v>
      </c>
      <c r="U104" s="14">
        <f>U34*Inputs!$C$46</f>
        <v>0.22663081642282268</v>
      </c>
      <c r="V104" s="14">
        <f>V34*Inputs!$C$46</f>
        <v>0.24151462942326521</v>
      </c>
      <c r="W104" s="14">
        <f>W34*Inputs!$C$46</f>
        <v>0.26102203402763818</v>
      </c>
      <c r="X104" s="187">
        <f>X34*Inputs!$C$46</f>
        <v>0.28174090959860804</v>
      </c>
      <c r="Y104" s="158">
        <f>Y34*Inputs!$C$46</f>
        <v>0.29384843811268285</v>
      </c>
      <c r="Z104" s="158">
        <f>Z34*Inputs!$C$46</f>
        <v>0.31724958930008168</v>
      </c>
      <c r="AA104" s="158">
        <f>AA34*Inputs!$C$46</f>
        <v>0.33638997872426218</v>
      </c>
      <c r="AB104" s="158">
        <f>AB34*Inputs!$C$46</f>
        <v>0.35478325244214315</v>
      </c>
      <c r="AC104" s="158">
        <f>AC34*Inputs!$C$46</f>
        <v>0.37081617197315492</v>
      </c>
      <c r="AD104" s="158">
        <f>AD34*Inputs!$C$46</f>
        <v>0.38220288084373177</v>
      </c>
      <c r="AE104" s="158">
        <f>AE34*Inputs!$C$46</f>
        <v>0.39560464405868967</v>
      </c>
      <c r="AF104" s="158">
        <f>AF34*Inputs!$C$46</f>
        <v>0.41360035159723624</v>
      </c>
      <c r="AG104" s="158">
        <f>AG34*Inputs!$C$46</f>
        <v>0.43856233477818723</v>
      </c>
      <c r="AH104" s="187">
        <f>AH34*Inputs!$C$46</f>
        <v>0.4614769185921237</v>
      </c>
    </row>
    <row r="105" spans="1:36">
      <c r="A105" s="10" t="s">
        <v>50</v>
      </c>
      <c r="B105" s="35">
        <v>1</v>
      </c>
      <c r="C105" s="331">
        <f>C35*Inputs!$C$49</f>
        <v>408.25</v>
      </c>
      <c r="D105" s="331">
        <f>D35*Inputs!$C$49</f>
        <v>517.5</v>
      </c>
      <c r="E105" s="331">
        <f>E35*Inputs!$C$49</f>
        <v>548.92121243739086</v>
      </c>
      <c r="F105" s="331">
        <f>F35*Inputs!$C$49</f>
        <v>766.38677400780773</v>
      </c>
      <c r="G105" s="331">
        <f>G35*Inputs!$C$49</f>
        <v>1085.1580873842215</v>
      </c>
      <c r="H105" s="402">
        <f>H35*Inputs!$C$49</f>
        <v>558.13423025743793</v>
      </c>
      <c r="I105" s="14">
        <f>I35*Inputs!$C$49</f>
        <v>558.13423025743793</v>
      </c>
      <c r="J105" s="14">
        <f>J35*Inputs!$C$49</f>
        <v>727.64120463944926</v>
      </c>
      <c r="K105" s="14">
        <f>K35*Inputs!$C$49</f>
        <v>974.16471725008296</v>
      </c>
      <c r="L105" s="14">
        <f>L35*Inputs!$C$49</f>
        <v>1172.8605207428272</v>
      </c>
      <c r="M105" s="14">
        <f>M35*Inputs!$C$49</f>
        <v>1485.0536618382487</v>
      </c>
      <c r="N105" s="182">
        <f>N35*Inputs!$C$49</f>
        <v>1878.8380336530108</v>
      </c>
      <c r="O105" s="14">
        <f>O35*Inputs!$C$49</f>
        <v>2144.5051204068218</v>
      </c>
      <c r="P105" s="14">
        <f>P35*Inputs!$C$49</f>
        <v>2433.551387376594</v>
      </c>
      <c r="Q105" s="14">
        <f>Q35*Inputs!$C$49</f>
        <v>2692.501824898301</v>
      </c>
      <c r="R105" s="14">
        <f>R35*Inputs!$C$49</f>
        <v>2894.1515105816493</v>
      </c>
      <c r="S105" s="14">
        <f>S35*Inputs!$C$49</f>
        <v>3155.3503475073562</v>
      </c>
      <c r="T105" s="14">
        <f>T35*Inputs!$C$49</f>
        <v>3481.3505976591787</v>
      </c>
      <c r="U105" s="14">
        <f>U35*Inputs!$C$49</f>
        <v>3759.6487327142927</v>
      </c>
      <c r="V105" s="14">
        <f>V35*Inputs!$C$49</f>
        <v>4006.5609115976363</v>
      </c>
      <c r="W105" s="14">
        <f>W35*Inputs!$C$49</f>
        <v>4330.1752821276541</v>
      </c>
      <c r="X105" s="187">
        <f>X35*Inputs!$C$49</f>
        <v>4673.8871193489949</v>
      </c>
      <c r="Y105" s="158">
        <f>Y35*Inputs!$C$49</f>
        <v>4874.742655911673</v>
      </c>
      <c r="Z105" s="158">
        <f>Z35*Inputs!$C$49</f>
        <v>5262.9515932241347</v>
      </c>
      <c r="AA105" s="158">
        <f>AA35*Inputs!$C$49</f>
        <v>5580.4774353762496</v>
      </c>
      <c r="AB105" s="158">
        <f>AB35*Inputs!$C$49</f>
        <v>5885.6091439206057</v>
      </c>
      <c r="AC105" s="158">
        <f>AC35*Inputs!$C$49</f>
        <v>6151.5842065705929</v>
      </c>
      <c r="AD105" s="158">
        <f>AD35*Inputs!$C$49</f>
        <v>6340.4818430472706</v>
      </c>
      <c r="AE105" s="158">
        <f>AE35*Inputs!$C$49</f>
        <v>6562.8078394962668</v>
      </c>
      <c r="AF105" s="158">
        <f>AF35*Inputs!$C$49</f>
        <v>6861.3441996855427</v>
      </c>
      <c r="AG105" s="158">
        <f>AG35*Inputs!$C$49</f>
        <v>7275.446261857026</v>
      </c>
      <c r="AH105" s="187">
        <f>AH35*Inputs!$C$49</f>
        <v>7655.5833824682459</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0</v>
      </c>
      <c r="D107" s="331">
        <f>D37*Inputs!$C$52</f>
        <v>0</v>
      </c>
      <c r="E107" s="331">
        <f>E37*Inputs!$C$52</f>
        <v>9.4127100000000003E-4</v>
      </c>
      <c r="F107" s="331">
        <f>F37*Inputs!$C$52</f>
        <v>1.1046945000000002E-3</v>
      </c>
      <c r="G107" s="331">
        <f>G37*Inputs!$C$52</f>
        <v>1.3180845000000001E-3</v>
      </c>
      <c r="H107" s="402">
        <f>H37*Inputs!$C$52</f>
        <v>1.1780924999999999E-3</v>
      </c>
      <c r="I107" s="14">
        <f>I37*Inputs!$C$52</f>
        <v>1.3165740000000003E-3</v>
      </c>
      <c r="J107" s="14">
        <f>J37*Inputs!$C$52</f>
        <v>1.2278240539297664E-3</v>
      </c>
      <c r="K107" s="14">
        <f>K37*Inputs!$C$52</f>
        <v>1.4274399976639959E-3</v>
      </c>
      <c r="L107" s="14">
        <f>L37*Inputs!$C$52</f>
        <v>1.7388373236493541E-3</v>
      </c>
      <c r="M107" s="14">
        <f>M37*Inputs!$C$52</f>
        <v>2.0155691198985391E-3</v>
      </c>
      <c r="N107" s="182">
        <f>N37*Inputs!$C$52</f>
        <v>2.334467624848575E-3</v>
      </c>
      <c r="O107" s="14">
        <f>O37*Inputs!$C$52</f>
        <v>2.6645605875765944E-3</v>
      </c>
      <c r="P107" s="14">
        <f>P37*Inputs!$C$52</f>
        <v>3.023702323180234E-3</v>
      </c>
      <c r="Q107" s="14">
        <f>Q37*Inputs!$C$52</f>
        <v>3.345449808597831E-3</v>
      </c>
      <c r="R107" s="14">
        <f>R37*Inputs!$C$52</f>
        <v>3.5960007631542501E-3</v>
      </c>
      <c r="S107" s="14">
        <f>S37*Inputs!$C$52</f>
        <v>3.9205418984354081E-3</v>
      </c>
      <c r="T107" s="14">
        <f>T37*Inputs!$C$52</f>
        <v>4.3255991817352816E-3</v>
      </c>
      <c r="U107" s="14">
        <f>U37*Inputs!$C$52</f>
        <v>4.6713862984026702E-3</v>
      </c>
      <c r="V107" s="14">
        <f>V37*Inputs!$C$52</f>
        <v>4.9781761746238154E-3</v>
      </c>
      <c r="W107" s="14">
        <f>W37*Inputs!$C$52</f>
        <v>5.3802689880576744E-3</v>
      </c>
      <c r="X107" s="187">
        <f>X37*Inputs!$C$52</f>
        <v>5.8073330254565618E-3</v>
      </c>
      <c r="Y107" s="158">
        <f>Y37*Inputs!$C$52</f>
        <v>6.0568972449254951E-3</v>
      </c>
      <c r="Z107" s="158">
        <f>Z37*Inputs!$C$52</f>
        <v>6.5392491984202694E-3</v>
      </c>
      <c r="AA107" s="158">
        <f>AA37*Inputs!$C$52</f>
        <v>6.933776978505537E-3</v>
      </c>
      <c r="AB107" s="158">
        <f>AB37*Inputs!$C$52</f>
        <v>7.3129049725916325E-3</v>
      </c>
      <c r="AC107" s="158">
        <f>AC37*Inputs!$C$52</f>
        <v>7.6433805972340807E-3</v>
      </c>
      <c r="AD107" s="158">
        <f>AD37*Inputs!$C$52</f>
        <v>7.8780870534940883E-3</v>
      </c>
      <c r="AE107" s="158">
        <f>AE37*Inputs!$C$52</f>
        <v>8.1543284492802195E-3</v>
      </c>
      <c r="AF107" s="158">
        <f>AF37*Inputs!$C$52</f>
        <v>8.5252616831295331E-3</v>
      </c>
      <c r="AG107" s="158">
        <f>AG37*Inputs!$C$52</f>
        <v>9.0397860009297209E-3</v>
      </c>
      <c r="AH107" s="187">
        <f>AH37*Inputs!$C$52</f>
        <v>9.5121086733341402E-3</v>
      </c>
    </row>
    <row r="108" spans="1:36">
      <c r="A108" s="9" t="s">
        <v>347</v>
      </c>
      <c r="B108" s="35">
        <v>1</v>
      </c>
      <c r="C108" s="331">
        <f>C38*Inputs!$C$54</f>
        <v>178.71221999999997</v>
      </c>
      <c r="D108" s="331">
        <f>D38*Inputs!$C$54</f>
        <v>191.88721639238702</v>
      </c>
      <c r="E108" s="331">
        <f>E38*Inputs!$C$54</f>
        <v>210.25000546510751</v>
      </c>
      <c r="F108" s="331">
        <f>F38*Inputs!$C$54</f>
        <v>274.58257650300499</v>
      </c>
      <c r="G108" s="331">
        <f>G38*Inputs!$C$54</f>
        <v>363.6779403154178</v>
      </c>
      <c r="H108" s="402">
        <f>H38*Inputs!$C$54</f>
        <v>309.57281439514315</v>
      </c>
      <c r="I108" s="14">
        <f>I38*Inputs!$C$54</f>
        <v>272.36207980304368</v>
      </c>
      <c r="J108" s="14">
        <f>J38*Inputs!$C$54</f>
        <v>338.405556073171</v>
      </c>
      <c r="K108" s="14">
        <f>K38*Inputs!$C$54</f>
        <v>400.13755535062933</v>
      </c>
      <c r="L108" s="14">
        <f>L38*Inputs!$C$54</f>
        <v>498.04251302450444</v>
      </c>
      <c r="M108" s="14">
        <f>M38*Inputs!$C$54</f>
        <v>589.876599087518</v>
      </c>
      <c r="N108" s="182">
        <f>N38*Inputs!$C$54</f>
        <v>698.08344123739209</v>
      </c>
      <c r="O108" s="14">
        <f>O38*Inputs!$C$54</f>
        <v>796.79221273486326</v>
      </c>
      <c r="P108" s="14">
        <f>P38*Inputs!$C$54</f>
        <v>904.18753319831183</v>
      </c>
      <c r="Q108" s="14">
        <f>Q38*Inputs!$C$54</f>
        <v>1000.4007294915622</v>
      </c>
      <c r="R108" s="14">
        <f>R38*Inputs!$C$54</f>
        <v>1075.3237957617159</v>
      </c>
      <c r="S108" s="14">
        <f>S38*Inputs!$C$54</f>
        <v>1172.3723862534587</v>
      </c>
      <c r="T108" s="14">
        <f>T38*Inputs!$C$54</f>
        <v>1293.497982177106</v>
      </c>
      <c r="U108" s="14">
        <f>U38*Inputs!$C$54</f>
        <v>1396.8998275354813</v>
      </c>
      <c r="V108" s="14">
        <f>V38*Inputs!$C$54</f>
        <v>1488.6402013361856</v>
      </c>
      <c r="W108" s="14">
        <f>W38*Inputs!$C$54</f>
        <v>1608.8793222008153</v>
      </c>
      <c r="X108" s="187">
        <f>X38*Inputs!$C$54</f>
        <v>1736.5856693280266</v>
      </c>
      <c r="Y108" s="158">
        <f>Y38*Inputs!$C$54</f>
        <v>1811.2136689979288</v>
      </c>
      <c r="Z108" s="158">
        <f>Z38*Inputs!$C$54</f>
        <v>1955.4529413695268</v>
      </c>
      <c r="AA108" s="158">
        <f>AA38*Inputs!$C$54</f>
        <v>2073.4298657244049</v>
      </c>
      <c r="AB108" s="158">
        <f>AB38*Inputs!$C$54</f>
        <v>2186.8017420202768</v>
      </c>
      <c r="AC108" s="158">
        <f>AC38*Inputs!$C$54</f>
        <v>2285.6249421537304</v>
      </c>
      <c r="AD108" s="158">
        <f>AD38*Inputs!$C$54</f>
        <v>2355.8099766012506</v>
      </c>
      <c r="AE108" s="158">
        <f>AE38*Inputs!$C$54</f>
        <v>2438.4153390102124</v>
      </c>
      <c r="AF108" s="158">
        <f>AF38*Inputs!$C$54</f>
        <v>2549.3367095182484</v>
      </c>
      <c r="AG108" s="158">
        <f>AG38*Inputs!$C$54</f>
        <v>2703.1965885532268</v>
      </c>
      <c r="AH108" s="187">
        <f>AH38*Inputs!$C$54</f>
        <v>2844.4367724036692</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2.3E-3</v>
      </c>
      <c r="J109" s="14">
        <f>J39*Inputs!$C$55</f>
        <v>2.3E-3</v>
      </c>
      <c r="K109" s="14">
        <f>K39*Inputs!$C$55</f>
        <v>2.4994003143270324E-3</v>
      </c>
      <c r="L109" s="14">
        <f>L39*Inputs!$C$55</f>
        <v>2.9361624694404982E-3</v>
      </c>
      <c r="M109" s="14">
        <f>M39*Inputs!$C$55</f>
        <v>3.2821769913912615E-3</v>
      </c>
      <c r="N109" s="182">
        <f>N39*Inputs!$C$55</f>
        <v>3.6660241977624149E-3</v>
      </c>
      <c r="O109" s="14">
        <f>O39*Inputs!$C$55</f>
        <v>4.1843988267318321E-3</v>
      </c>
      <c r="P109" s="14">
        <f>P39*Inputs!$C$55</f>
        <v>4.7483913529656179E-3</v>
      </c>
      <c r="Q109" s="14">
        <f>Q39*Inputs!$C$55</f>
        <v>5.2536603293073351E-3</v>
      </c>
      <c r="R109" s="14">
        <f>R39*Inputs!$C$55</f>
        <v>5.6471229982256428E-3</v>
      </c>
      <c r="S109" s="14">
        <f>S39*Inputs!$C$55</f>
        <v>6.1567790938792215E-3</v>
      </c>
      <c r="T109" s="14">
        <f>T39*Inputs!$C$55</f>
        <v>6.7928769288849921E-3</v>
      </c>
      <c r="U109" s="14">
        <f>U39*Inputs!$C$55</f>
        <v>7.3358974974651048E-3</v>
      </c>
      <c r="V109" s="14">
        <f>V39*Inputs!$C$55</f>
        <v>7.8176771965638246E-3</v>
      </c>
      <c r="W109" s="14">
        <f>W39*Inputs!$C$55</f>
        <v>8.449119658264493E-3</v>
      </c>
      <c r="X109" s="187">
        <f>X39*Inputs!$C$55</f>
        <v>9.1197766759217886E-3</v>
      </c>
      <c r="Y109" s="158">
        <f>Y39*Inputs!$C$55</f>
        <v>9.511689786101736E-3</v>
      </c>
      <c r="Z109" s="158">
        <f>Z39*Inputs!$C$55</f>
        <v>1.0269170384473501E-2</v>
      </c>
      <c r="AA109" s="158">
        <f>AA39*Inputs!$C$55</f>
        <v>1.0888732794800736E-2</v>
      </c>
      <c r="AB109" s="158">
        <f>AB39*Inputs!$C$55</f>
        <v>1.1484111537934478E-2</v>
      </c>
      <c r="AC109" s="158">
        <f>AC39*Inputs!$C$55</f>
        <v>1.2003087095279573E-2</v>
      </c>
      <c r="AD109" s="158">
        <f>AD39*Inputs!$C$55</f>
        <v>1.2371667725339095E-2</v>
      </c>
      <c r="AE109" s="158">
        <f>AE39*Inputs!$C$55</f>
        <v>1.2805474401686263E-2</v>
      </c>
      <c r="AF109" s="158">
        <f>AF39*Inputs!$C$55</f>
        <v>1.3387984176750741E-2</v>
      </c>
      <c r="AG109" s="158">
        <f>AG39*Inputs!$C$55</f>
        <v>1.4195987928576185E-2</v>
      </c>
      <c r="AH109" s="187">
        <f>AH39*Inputs!$C$55</f>
        <v>1.493771864600206E-2</v>
      </c>
    </row>
    <row r="110" spans="1:36">
      <c r="A110" s="9" t="s">
        <v>344</v>
      </c>
      <c r="B110" s="35">
        <v>1</v>
      </c>
      <c r="C110" s="331">
        <f>C40*Inputs!$C$51</f>
        <v>2.7000000000000001E-3</v>
      </c>
      <c r="D110" s="331">
        <f>D40*Inputs!$C$51</f>
        <v>2.7361677447311837E-3</v>
      </c>
      <c r="E110" s="331">
        <f>E40*Inputs!$C$51</f>
        <v>2.8295661640710154E-3</v>
      </c>
      <c r="F110" s="331">
        <f>F40*Inputs!$C$51</f>
        <v>3.4877389811569879E-3</v>
      </c>
      <c r="G110" s="331">
        <f>G40*Inputs!$C$51</f>
        <v>4.3598858616669157E-3</v>
      </c>
      <c r="H110" s="402">
        <f>H40*Inputs!$C$51</f>
        <v>2.7000000000000001E-3</v>
      </c>
      <c r="I110" s="14">
        <f>I40*Inputs!$C$51</f>
        <v>2.7000000000000001E-3</v>
      </c>
      <c r="J110" s="14">
        <f>J40*Inputs!$C$51</f>
        <v>2.7000000000000001E-3</v>
      </c>
      <c r="K110" s="14">
        <f>K40*Inputs!$C$51</f>
        <v>2.9340786298621686E-3</v>
      </c>
      <c r="L110" s="14">
        <f>L40*Inputs!$C$51</f>
        <v>3.4467994206475415E-3</v>
      </c>
      <c r="M110" s="14">
        <f>M40*Inputs!$C$51</f>
        <v>3.852990381198438E-3</v>
      </c>
      <c r="N110" s="182">
        <f>N40*Inputs!$C$51</f>
        <v>4.3035936234602258E-3</v>
      </c>
      <c r="O110" s="14">
        <f>O40*Inputs!$C$51</f>
        <v>4.9121203618156294E-3</v>
      </c>
      <c r="P110" s="14">
        <f>P40*Inputs!$C$51</f>
        <v>5.574198544785725E-3</v>
      </c>
      <c r="Q110" s="14">
        <f>Q40*Inputs!$C$51</f>
        <v>6.167340386578176E-3</v>
      </c>
      <c r="R110" s="14">
        <f>R40*Inputs!$C$51</f>
        <v>6.6292313457431461E-3</v>
      </c>
      <c r="S110" s="14">
        <f>S40*Inputs!$C$51</f>
        <v>7.2275232841190864E-3</v>
      </c>
      <c r="T110" s="14">
        <f>T40*Inputs!$C$51</f>
        <v>7.9742468295606432E-3</v>
      </c>
      <c r="U110" s="14">
        <f>U40*Inputs!$C$51</f>
        <v>8.6117057578938196E-3</v>
      </c>
      <c r="V110" s="14">
        <f>V40*Inputs!$C$51</f>
        <v>9.1772732307488381E-3</v>
      </c>
      <c r="W110" s="14">
        <f>W40*Inputs!$C$51</f>
        <v>9.9185317727452735E-3</v>
      </c>
      <c r="X110" s="187">
        <f>X40*Inputs!$C$51</f>
        <v>1.0705824793473404E-2</v>
      </c>
      <c r="Y110" s="158">
        <f>Y40*Inputs!$C$51</f>
        <v>1.1165896705423778E-2</v>
      </c>
      <c r="Z110" s="158">
        <f>Z40*Inputs!$C$51</f>
        <v>1.2055113060034111E-2</v>
      </c>
      <c r="AA110" s="158">
        <f>AA40*Inputs!$C$51</f>
        <v>1.2782425454766082E-2</v>
      </c>
      <c r="AB110" s="158">
        <f>AB40*Inputs!$C$51</f>
        <v>1.3481348327140475E-2</v>
      </c>
      <c r="AC110" s="158">
        <f>AC40*Inputs!$C$51</f>
        <v>1.4090580503154281E-2</v>
      </c>
      <c r="AD110" s="158">
        <f>AD40*Inputs!$C$51</f>
        <v>1.4523262112354589E-2</v>
      </c>
      <c r="AE110" s="158">
        <f>AE40*Inputs!$C$51</f>
        <v>1.5032513428066482E-2</v>
      </c>
      <c r="AF110" s="158">
        <f>AF40*Inputs!$C$51</f>
        <v>1.5716329250968261E-2</v>
      </c>
      <c r="AG110" s="158">
        <f>AG40*Inputs!$C$51</f>
        <v>1.666485539441552E-2</v>
      </c>
      <c r="AH110" s="187">
        <f>AH40*Inputs!$C$51</f>
        <v>1.7535582758350245E-2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v>
      </c>
      <c r="E112" s="331">
        <f>E42*Inputs!$C$57</f>
        <v>4.0803932099999999E-3</v>
      </c>
      <c r="F112" s="331">
        <f>F42*Inputs!$C$57</f>
        <v>4.6573726999999997E-3</v>
      </c>
      <c r="G112" s="331">
        <f>G42*Inputs!$C$57</f>
        <v>5.4803571499999993E-3</v>
      </c>
      <c r="H112" s="402">
        <f>H42*Inputs!$C$57</f>
        <v>5.4973520500000003E-3</v>
      </c>
      <c r="I112" s="14">
        <f>I42*Inputs!$C$57</f>
        <v>5.8818589000000001E-3</v>
      </c>
      <c r="J112" s="14">
        <f>J42*Inputs!$C$57</f>
        <v>6.1020541199999995E-3</v>
      </c>
      <c r="K112" s="14">
        <f>K42*Inputs!$C$57</f>
        <v>6.2938161264693426E-3</v>
      </c>
      <c r="L112" s="14">
        <f>L42*Inputs!$C$57</f>
        <v>7.5233133850428624E-3</v>
      </c>
      <c r="M112" s="14">
        <f>M42*Inputs!$C$57</f>
        <v>8.5574014287201801E-3</v>
      </c>
      <c r="N112" s="182">
        <f>N42*Inputs!$C$57</f>
        <v>9.7258165758068553E-3</v>
      </c>
      <c r="O112" s="14">
        <f>O42*Inputs!$C$57</f>
        <v>1.1101043875720942E-2</v>
      </c>
      <c r="P112" s="14">
        <f>P42*Inputs!$C$57</f>
        <v>1.2597293645055177E-2</v>
      </c>
      <c r="Q112" s="14">
        <f>Q42*Inputs!$C$57</f>
        <v>1.3937752169127286E-2</v>
      </c>
      <c r="R112" s="14">
        <f>R42*Inputs!$C$57</f>
        <v>1.4981593000746064E-2</v>
      </c>
      <c r="S112" s="14">
        <f>S42*Inputs!$C$57</f>
        <v>1.6333690378088531E-2</v>
      </c>
      <c r="T112" s="14">
        <f>T42*Inputs!$C$57</f>
        <v>1.8021232667446575E-2</v>
      </c>
      <c r="U112" s="14">
        <f>U42*Inputs!$C$57</f>
        <v>1.9461844666168248E-2</v>
      </c>
      <c r="V112" s="14">
        <f>V42*Inputs!$C$57</f>
        <v>2.073998707074963E-2</v>
      </c>
      <c r="W112" s="14">
        <f>W42*Inputs!$C$57</f>
        <v>2.2415178839648761E-2</v>
      </c>
      <c r="X112" s="187">
        <f>X42*Inputs!$C$57</f>
        <v>2.4194405267830451E-2</v>
      </c>
      <c r="Y112" s="158">
        <f>Y42*Inputs!$C$57</f>
        <v>2.5234135181667523E-2</v>
      </c>
      <c r="Z112" s="158">
        <f>Z42*Inputs!$C$57</f>
        <v>2.7243701120701097E-2</v>
      </c>
      <c r="AA112" s="158">
        <f>AA42*Inputs!$C$57</f>
        <v>2.8887375585202817E-2</v>
      </c>
      <c r="AB112" s="158">
        <f>AB42*Inputs!$C$57</f>
        <v>3.0466891741257513E-2</v>
      </c>
      <c r="AC112" s="158">
        <f>AC42*Inputs!$C$57</f>
        <v>3.1843713280282342E-2</v>
      </c>
      <c r="AD112" s="158">
        <f>AD42*Inputs!$C$57</f>
        <v>3.2821543051166628E-2</v>
      </c>
      <c r="AE112" s="158">
        <f>AE42*Inputs!$C$57</f>
        <v>3.3972414931960029E-2</v>
      </c>
      <c r="AF112" s="158">
        <f>AF42*Inputs!$C$57</f>
        <v>3.5517790226904759E-2</v>
      </c>
      <c r="AG112" s="158">
        <f>AG42*Inputs!$C$57</f>
        <v>3.7661392085183418E-2</v>
      </c>
      <c r="AH112" s="187">
        <f>AH42*Inputs!$C$57</f>
        <v>3.9629174215680192E-2</v>
      </c>
      <c r="AI112" s="31" t="s">
        <v>0</v>
      </c>
    </row>
    <row r="113" spans="1:35" s="20" customFormat="1">
      <c r="A113" s="10" t="s">
        <v>383</v>
      </c>
      <c r="B113" s="37"/>
      <c r="C113" s="334">
        <f>SUM(C100:C112)</f>
        <v>956.32341999999994</v>
      </c>
      <c r="D113" s="334">
        <f t="shared" ref="D113:AH113" si="87">SUM(D100:D112)</f>
        <v>1046.1142691818686</v>
      </c>
      <c r="E113" s="334">
        <f t="shared" si="87"/>
        <v>1072.2866467067536</v>
      </c>
      <c r="F113" s="334">
        <f t="shared" si="87"/>
        <v>1387.8269143182542</v>
      </c>
      <c r="G113" s="334">
        <f t="shared" si="87"/>
        <v>1838.3116977509062</v>
      </c>
      <c r="H113" s="404">
        <f t="shared" si="87"/>
        <v>1166.8362007304322</v>
      </c>
      <c r="I113" s="19">
        <f t="shared" si="87"/>
        <v>1062.0281847308581</v>
      </c>
      <c r="J113" s="19">
        <f t="shared" si="87"/>
        <v>1317.9110594332017</v>
      </c>
      <c r="K113" s="19">
        <f t="shared" si="87"/>
        <v>1637.4211341206453</v>
      </c>
      <c r="L113" s="19">
        <f t="shared" si="87"/>
        <v>1958.8733289067002</v>
      </c>
      <c r="M113" s="19">
        <f t="shared" si="87"/>
        <v>2374.7864409978479</v>
      </c>
      <c r="N113" s="182">
        <f t="shared" si="87"/>
        <v>2888.8563522097397</v>
      </c>
      <c r="O113" s="19">
        <f t="shared" si="87"/>
        <v>3269.8617623889677</v>
      </c>
      <c r="P113" s="19">
        <f t="shared" si="87"/>
        <v>3681.2476057445369</v>
      </c>
      <c r="Q113" s="19">
        <f t="shared" si="87"/>
        <v>4042.4290044759682</v>
      </c>
      <c r="R113" s="19">
        <f t="shared" si="87"/>
        <v>4314.3212182666311</v>
      </c>
      <c r="S113" s="19">
        <f t="shared" si="87"/>
        <v>4672.0758483942327</v>
      </c>
      <c r="T113" s="19">
        <f t="shared" si="87"/>
        <v>5122.0149017040931</v>
      </c>
      <c r="U113" s="19">
        <f t="shared" si="87"/>
        <v>5498.2484312457236</v>
      </c>
      <c r="V113" s="19">
        <f t="shared" si="87"/>
        <v>5826.1243451468308</v>
      </c>
      <c r="W113" s="19">
        <f t="shared" si="87"/>
        <v>6263.0384815886191</v>
      </c>
      <c r="X113" s="182">
        <f t="shared" si="87"/>
        <v>6726.1113888458331</v>
      </c>
      <c r="Y113" s="206">
        <f t="shared" si="87"/>
        <v>7000.0950580372319</v>
      </c>
      <c r="Z113" s="206">
        <f t="shared" si="87"/>
        <v>7541.9334016756502</v>
      </c>
      <c r="AA113" s="206">
        <f t="shared" si="87"/>
        <v>7981.036616922499</v>
      </c>
      <c r="AB113" s="206">
        <f t="shared" si="87"/>
        <v>8401.2995203157207</v>
      </c>
      <c r="AC113" s="206">
        <f t="shared" si="87"/>
        <v>8764.7704824503453</v>
      </c>
      <c r="AD113" s="206">
        <f t="shared" si="87"/>
        <v>9017.8863274272444</v>
      </c>
      <c r="AE113" s="206">
        <f t="shared" si="87"/>
        <v>9318.167137858667</v>
      </c>
      <c r="AF113" s="206">
        <f t="shared" si="87"/>
        <v>9726.0556982610869</v>
      </c>
      <c r="AG113" s="206">
        <f t="shared" si="87"/>
        <v>10296.779196469295</v>
      </c>
      <c r="AH113" s="182">
        <f t="shared" si="87"/>
        <v>10818.34505136139</v>
      </c>
      <c r="AI113" s="31" t="s">
        <v>0</v>
      </c>
    </row>
    <row r="114" spans="1:35" s="20" customFormat="1">
      <c r="A114" s="10" t="s">
        <v>384</v>
      </c>
      <c r="B114" s="37"/>
      <c r="C114" s="334">
        <f>SUM(C101:C103)</f>
        <v>369.14849999999996</v>
      </c>
      <c r="D114" s="334">
        <f t="shared" ref="D114:AH114" si="88">SUM(D101:D103)</f>
        <v>336.49343010099591</v>
      </c>
      <c r="E114" s="334">
        <f t="shared" si="88"/>
        <v>312.84623207896249</v>
      </c>
      <c r="F114" s="334">
        <f t="shared" si="88"/>
        <v>346.49959596501338</v>
      </c>
      <c r="G114" s="334">
        <f t="shared" si="88"/>
        <v>388.99239121594974</v>
      </c>
      <c r="H114" s="404">
        <f t="shared" si="88"/>
        <v>299.07391023142094</v>
      </c>
      <c r="I114" s="19">
        <f t="shared" si="88"/>
        <v>231.47648386849869</v>
      </c>
      <c r="J114" s="19">
        <f t="shared" si="88"/>
        <v>251.80225980951261</v>
      </c>
      <c r="K114" s="19">
        <f t="shared" si="88"/>
        <v>263.04524227463054</v>
      </c>
      <c r="L114" s="19">
        <f t="shared" si="88"/>
        <v>287.87758716507614</v>
      </c>
      <c r="M114" s="19">
        <f t="shared" si="88"/>
        <v>299.74501159005172</v>
      </c>
      <c r="N114" s="182">
        <f t="shared" si="88"/>
        <v>311.80159146502757</v>
      </c>
      <c r="O114" s="19">
        <f t="shared" si="88"/>
        <v>328.41229681653203</v>
      </c>
      <c r="P114" s="19">
        <f t="shared" si="88"/>
        <v>343.33604762990461</v>
      </c>
      <c r="Q114" s="19">
        <f t="shared" si="88"/>
        <v>349.3354424529108</v>
      </c>
      <c r="R114" s="19">
        <f t="shared" si="88"/>
        <v>344.64059914500552</v>
      </c>
      <c r="S114" s="19">
        <f t="shared" si="88"/>
        <v>344.12927225893884</v>
      </c>
      <c r="T114" s="19">
        <f t="shared" si="88"/>
        <v>346.91935284746125</v>
      </c>
      <c r="U114" s="19">
        <f t="shared" si="88"/>
        <v>341.43315934530614</v>
      </c>
      <c r="V114" s="19">
        <f t="shared" si="88"/>
        <v>330.63900446991317</v>
      </c>
      <c r="W114" s="19">
        <f t="shared" si="88"/>
        <v>323.67669212686235</v>
      </c>
      <c r="X114" s="182">
        <f t="shared" si="88"/>
        <v>315.30703191945008</v>
      </c>
      <c r="Y114" s="206">
        <f t="shared" si="88"/>
        <v>313.79291607059957</v>
      </c>
      <c r="Z114" s="206">
        <f t="shared" si="88"/>
        <v>323.1555102589237</v>
      </c>
      <c r="AA114" s="206">
        <f t="shared" si="88"/>
        <v>326.73343353230638</v>
      </c>
      <c r="AB114" s="206">
        <f t="shared" si="88"/>
        <v>328.47110586581857</v>
      </c>
      <c r="AC114" s="206">
        <f t="shared" si="88"/>
        <v>327.12493679257244</v>
      </c>
      <c r="AD114" s="206">
        <f t="shared" si="88"/>
        <v>321.1447103379374</v>
      </c>
      <c r="AE114" s="206">
        <f t="shared" si="88"/>
        <v>316.47838997691741</v>
      </c>
      <c r="AF114" s="206">
        <f t="shared" si="88"/>
        <v>314.88804134035962</v>
      </c>
      <c r="AG114" s="206">
        <f t="shared" si="88"/>
        <v>317.6202217028532</v>
      </c>
      <c r="AH114" s="182">
        <f t="shared" si="88"/>
        <v>317.78180498658969</v>
      </c>
      <c r="AI114" s="31"/>
    </row>
    <row r="115" spans="1:35" s="20" customFormat="1">
      <c r="A115" s="10" t="s">
        <v>385</v>
      </c>
      <c r="B115" s="37"/>
      <c r="C115" s="334">
        <f>SUMPRODUCT($B104:$B112,C104:C112)</f>
        <v>587.17491999999993</v>
      </c>
      <c r="D115" s="334">
        <f t="shared" ref="D115:AH115" si="89">SUMPRODUCT($B104:$B112,D104:D112)</f>
        <v>709.62083908087254</v>
      </c>
      <c r="E115" s="334">
        <f t="shared" si="89"/>
        <v>759.4404146277908</v>
      </c>
      <c r="F115" s="334">
        <f t="shared" si="89"/>
        <v>1041.3273183532408</v>
      </c>
      <c r="G115" s="334">
        <f t="shared" si="89"/>
        <v>1449.3193065349565</v>
      </c>
      <c r="H115" s="404">
        <f t="shared" si="89"/>
        <v>867.76229049901133</v>
      </c>
      <c r="I115" s="19">
        <f t="shared" si="89"/>
        <v>830.55170086235933</v>
      </c>
      <c r="J115" s="19">
        <f t="shared" si="89"/>
        <v>1066.108799623689</v>
      </c>
      <c r="K115" s="19">
        <f t="shared" si="89"/>
        <v>1374.3758918460146</v>
      </c>
      <c r="L115" s="19">
        <f t="shared" si="89"/>
        <v>1670.995741741624</v>
      </c>
      <c r="M115" s="19">
        <f t="shared" si="89"/>
        <v>2075.0414294077959</v>
      </c>
      <c r="N115" s="182">
        <f t="shared" si="89"/>
        <v>2577.0547607447124</v>
      </c>
      <c r="O115" s="19">
        <f t="shared" si="89"/>
        <v>2941.4494655724357</v>
      </c>
      <c r="P115" s="19">
        <f t="shared" si="89"/>
        <v>3337.9115581146325</v>
      </c>
      <c r="Q115" s="19">
        <f t="shared" si="89"/>
        <v>3693.0935620230575</v>
      </c>
      <c r="R115" s="19">
        <f t="shared" si="89"/>
        <v>3969.6806191216256</v>
      </c>
      <c r="S115" s="19">
        <f t="shared" si="89"/>
        <v>4327.946576135294</v>
      </c>
      <c r="T115" s="19">
        <f t="shared" si="89"/>
        <v>4775.0955488566324</v>
      </c>
      <c r="U115" s="19">
        <f t="shared" si="89"/>
        <v>5156.8152719004174</v>
      </c>
      <c r="V115" s="19">
        <f t="shared" si="89"/>
        <v>5495.4853406769171</v>
      </c>
      <c r="W115" s="19">
        <f t="shared" si="89"/>
        <v>5939.3617894617564</v>
      </c>
      <c r="X115" s="182">
        <f t="shared" si="89"/>
        <v>6410.8043569263828</v>
      </c>
      <c r="Y115" s="206">
        <f t="shared" si="89"/>
        <v>6686.3021419666329</v>
      </c>
      <c r="Z115" s="206">
        <f t="shared" si="89"/>
        <v>7218.7778914167257</v>
      </c>
      <c r="AA115" s="206">
        <f t="shared" si="89"/>
        <v>7654.3031833901923</v>
      </c>
      <c r="AB115" s="206">
        <f t="shared" si="89"/>
        <v>8072.8284144499039</v>
      </c>
      <c r="AC115" s="206">
        <f t="shared" si="89"/>
        <v>8437.6455456577733</v>
      </c>
      <c r="AD115" s="206">
        <f t="shared" si="89"/>
        <v>8696.7416170893066</v>
      </c>
      <c r="AE115" s="206">
        <f t="shared" si="89"/>
        <v>9001.6887478817498</v>
      </c>
      <c r="AF115" s="206">
        <f t="shared" si="89"/>
        <v>9411.1676569207266</v>
      </c>
      <c r="AG115" s="206">
        <f t="shared" si="89"/>
        <v>9979.158974766442</v>
      </c>
      <c r="AH115" s="182">
        <f t="shared" si="89"/>
        <v>10500.563246374801</v>
      </c>
    </row>
    <row r="116" spans="1:35" s="20" customFormat="1">
      <c r="A116" s="10" t="s">
        <v>142</v>
      </c>
      <c r="B116" s="37"/>
      <c r="C116" s="334">
        <f>C47*Inputs!$C$60</f>
        <v>2569.1652139999992</v>
      </c>
      <c r="D116" s="334">
        <f>D47*Inputs!$C$60</f>
        <v>766.82824496373291</v>
      </c>
      <c r="E116" s="334">
        <f>E47*Inputs!$C$60</f>
        <v>799.26242448036737</v>
      </c>
      <c r="F116" s="334">
        <f>F47*Inputs!$C$60</f>
        <v>777.32661031133455</v>
      </c>
      <c r="G116" s="334">
        <f>G47*Inputs!$C$60</f>
        <v>692.5034582413648</v>
      </c>
      <c r="H116" s="404">
        <f>H47*Inputs!$C$60</f>
        <v>781.71277782052368</v>
      </c>
      <c r="I116" s="19">
        <f>I47*Inputs!$C$60</f>
        <v>872.16265966747608</v>
      </c>
      <c r="J116" s="19">
        <f>J47*Inputs!$C$60</f>
        <v>863.60851365358633</v>
      </c>
      <c r="K116" s="19">
        <f>K47*Inputs!$C$60</f>
        <v>886.03339999398042</v>
      </c>
      <c r="L116" s="19">
        <f>L47*Inputs!$C$60</f>
        <v>877.56910960846085</v>
      </c>
      <c r="M116" s="19">
        <f>M47*Inputs!$C$60</f>
        <v>842.25458310822944</v>
      </c>
      <c r="N116" s="182">
        <f>N47*Inputs!$C$60</f>
        <v>798.68862072382046</v>
      </c>
      <c r="O116" s="19">
        <f>O47*Inputs!$C$60</f>
        <v>760.16422968112545</v>
      </c>
      <c r="P116" s="19">
        <f>P47*Inputs!$C$60</f>
        <v>740.64254093953457</v>
      </c>
      <c r="Q116" s="19">
        <f>Q47*Inputs!$C$60</f>
        <v>736.49558231824392</v>
      </c>
      <c r="R116" s="19">
        <f>R47*Inputs!$C$60</f>
        <v>736.37557992700442</v>
      </c>
      <c r="S116" s="19">
        <f>S47*Inputs!$C$60</f>
        <v>731.60605802256691</v>
      </c>
      <c r="T116" s="19">
        <f>T47*Inputs!$C$60</f>
        <v>723.42274495454649</v>
      </c>
      <c r="U116" s="19">
        <f>U47*Inputs!$C$60</f>
        <v>717.83700035845516</v>
      </c>
      <c r="V116" s="19">
        <f>V47*Inputs!$C$60</f>
        <v>709.18671223941669</v>
      </c>
      <c r="W116" s="19">
        <f>W47*Inputs!$C$60</f>
        <v>694.08643297609296</v>
      </c>
      <c r="X116" s="182">
        <f>X47*Inputs!$C$60</f>
        <v>682.15169556135754</v>
      </c>
      <c r="Y116" s="206">
        <f>Y47*Inputs!$C$60</f>
        <v>682.42180278166552</v>
      </c>
      <c r="Z116" s="206">
        <f>Z47*Inputs!$C$60</f>
        <v>680.50584315992489</v>
      </c>
      <c r="AA116" s="206">
        <f>AA47*Inputs!$C$60</f>
        <v>680.16439513052228</v>
      </c>
      <c r="AB116" s="206">
        <f>AB47*Inputs!$C$60</f>
        <v>681.14236119933378</v>
      </c>
      <c r="AC116" s="206">
        <f>AC47*Inputs!$C$60</f>
        <v>674.10665680252566</v>
      </c>
      <c r="AD116" s="206">
        <f>AD47*Inputs!$C$60</f>
        <v>668.1707055779375</v>
      </c>
      <c r="AE116" s="206">
        <f>AE47*Inputs!$C$60</f>
        <v>658.70733156722747</v>
      </c>
      <c r="AF116" s="206">
        <f>AF47*Inputs!$C$60</f>
        <v>648.1074270634997</v>
      </c>
      <c r="AG116" s="206">
        <f>AG47*Inputs!$C$60</f>
        <v>634.58077384676847</v>
      </c>
      <c r="AH116" s="182">
        <f>AH47*Inputs!$C$60</f>
        <v>618.697532306325</v>
      </c>
      <c r="AI116" s="31"/>
    </row>
    <row r="117" spans="1:35" s="20" customFormat="1">
      <c r="A117" s="10" t="s">
        <v>222</v>
      </c>
      <c r="B117" s="37"/>
      <c r="C117" s="334">
        <f>C48*Inputs!$C$61</f>
        <v>1101.0708059999997</v>
      </c>
      <c r="D117" s="334">
        <f>D48*Inputs!$C$61</f>
        <v>2596.0593778334865</v>
      </c>
      <c r="E117" s="334">
        <f>E48*Inputs!$C$61</f>
        <v>2375.2191348225865</v>
      </c>
      <c r="F117" s="334">
        <f>F48*Inputs!$C$61</f>
        <v>2759.1161166200241</v>
      </c>
      <c r="G117" s="334">
        <f>G48*Inputs!$C$61</f>
        <v>3283.1289788780346</v>
      </c>
      <c r="H117" s="404">
        <f>H48*Inputs!$C$61</f>
        <v>3497.2304483911953</v>
      </c>
      <c r="I117" s="19">
        <f>I48*Inputs!$C$61</f>
        <v>2329.575642103126</v>
      </c>
      <c r="J117" s="19">
        <f>J48*Inputs!$C$61</f>
        <v>2508.3157326210649</v>
      </c>
      <c r="K117" s="19">
        <f>K48*Inputs!$C$61</f>
        <v>2482.6463521981336</v>
      </c>
      <c r="L117" s="19">
        <f>L48*Inputs!$C$61</f>
        <v>2697.29426055465</v>
      </c>
      <c r="M117" s="19">
        <f>M48*Inputs!$C$61</f>
        <v>2696.4893662158511</v>
      </c>
      <c r="N117" s="182">
        <f>N48*Inputs!$C$61</f>
        <v>2665.3508295219813</v>
      </c>
      <c r="O117" s="19">
        <f>O48*Inputs!$C$61</f>
        <v>3004.6846401058892</v>
      </c>
      <c r="P117" s="19">
        <f>P48*Inputs!$C$61</f>
        <v>3325.1871175538458</v>
      </c>
      <c r="Q117" s="19">
        <f>Q48*Inputs!$C$61</f>
        <v>3542.0295984147392</v>
      </c>
      <c r="R117" s="19">
        <f>R48*Inputs!$C$61</f>
        <v>3634.972341382349</v>
      </c>
      <c r="S117" s="19">
        <f>S48*Inputs!$C$61</f>
        <v>3795.5166353421937</v>
      </c>
      <c r="T117" s="19">
        <f>T48*Inputs!$C$61</f>
        <v>4017.9987574638208</v>
      </c>
      <c r="U117" s="19">
        <f>U48*Inputs!$C$61</f>
        <v>4139.1575228831589</v>
      </c>
      <c r="V117" s="19">
        <f>V48*Inputs!$C$61</f>
        <v>4196.5648976827315</v>
      </c>
      <c r="W117" s="19">
        <f>W48*Inputs!$C$61</f>
        <v>4326.9343939903683</v>
      </c>
      <c r="X117" s="182">
        <f>X48*Inputs!$C$61</f>
        <v>4445.575197906589</v>
      </c>
      <c r="Y117" s="206">
        <f>Y48*Inputs!$C$61</f>
        <v>4450.1743667251903</v>
      </c>
      <c r="Z117" s="206">
        <f>Z48*Inputs!$C$61</f>
        <v>4634.810843757291</v>
      </c>
      <c r="AA117" s="206">
        <f>AA48*Inputs!$C$61</f>
        <v>4722.7579799339765</v>
      </c>
      <c r="AB117" s="206">
        <f>AB48*Inputs!$C$61</f>
        <v>4778.1916036587909</v>
      </c>
      <c r="AC117" s="206">
        <f>AC48*Inputs!$C$61</f>
        <v>4789.0315818193767</v>
      </c>
      <c r="AD117" s="206">
        <f>AD48*Inputs!$C$61</f>
        <v>4719.2563591356911</v>
      </c>
      <c r="AE117" s="206">
        <f>AE48*Inputs!$C$61</f>
        <v>4672.6543774613201</v>
      </c>
      <c r="AF117" s="206">
        <f>AF48*Inputs!$C$61</f>
        <v>4676.8322932595174</v>
      </c>
      <c r="AG117" s="206">
        <f>AG48*Inputs!$C$61</f>
        <v>4755.1856383241056</v>
      </c>
      <c r="AH117" s="182">
        <f>AH48*Inputs!$C$61</f>
        <v>4790.1943082585494</v>
      </c>
      <c r="AI117" s="31"/>
    </row>
    <row r="118" spans="1:35" s="20" customFormat="1">
      <c r="A118" s="10" t="s">
        <v>58</v>
      </c>
      <c r="B118" s="37"/>
      <c r="C118" s="334">
        <f>SUM(C113,C116,C117)</f>
        <v>4626.5594399999991</v>
      </c>
      <c r="D118" s="334">
        <f>SUM(D113,D116,D117)</f>
        <v>4409.0018919790882</v>
      </c>
      <c r="E118" s="334">
        <f t="shared" ref="E118:AH118" si="90">SUM(E113,E116,E117)</f>
        <v>4246.7682060097077</v>
      </c>
      <c r="F118" s="334">
        <f t="shared" si="90"/>
        <v>4924.2696412496134</v>
      </c>
      <c r="G118" s="334">
        <f t="shared" si="90"/>
        <v>5813.9441348703058</v>
      </c>
      <c r="H118" s="404">
        <f t="shared" si="90"/>
        <v>5445.7794269421511</v>
      </c>
      <c r="I118" s="19">
        <f t="shared" si="90"/>
        <v>4263.7664865014603</v>
      </c>
      <c r="J118" s="19">
        <f t="shared" si="90"/>
        <v>4689.835305707853</v>
      </c>
      <c r="K118" s="19">
        <f t="shared" si="90"/>
        <v>5006.100886312759</v>
      </c>
      <c r="L118" s="19">
        <f t="shared" si="90"/>
        <v>5533.736699069811</v>
      </c>
      <c r="M118" s="19">
        <f t="shared" si="90"/>
        <v>5913.5303903219283</v>
      </c>
      <c r="N118" s="182">
        <f t="shared" si="90"/>
        <v>6352.8958024555413</v>
      </c>
      <c r="O118" s="19">
        <f t="shared" si="90"/>
        <v>7034.710632175982</v>
      </c>
      <c r="P118" s="19">
        <f t="shared" si="90"/>
        <v>7747.0772642379179</v>
      </c>
      <c r="Q118" s="19">
        <f t="shared" si="90"/>
        <v>8320.9541852089515</v>
      </c>
      <c r="R118" s="19">
        <f t="shared" si="90"/>
        <v>8685.6691395759844</v>
      </c>
      <c r="S118" s="19">
        <f t="shared" si="90"/>
        <v>9199.1985417589931</v>
      </c>
      <c r="T118" s="19">
        <f t="shared" si="90"/>
        <v>9863.4364041224617</v>
      </c>
      <c r="U118" s="19">
        <f t="shared" si="90"/>
        <v>10355.242954487338</v>
      </c>
      <c r="V118" s="19">
        <f t="shared" si="90"/>
        <v>10731.875955068979</v>
      </c>
      <c r="W118" s="19">
        <f t="shared" si="90"/>
        <v>11284.059308555081</v>
      </c>
      <c r="X118" s="182">
        <f t="shared" si="90"/>
        <v>11853.83828231378</v>
      </c>
      <c r="Y118" s="206">
        <f t="shared" si="90"/>
        <v>12132.691227544088</v>
      </c>
      <c r="Z118" s="206">
        <f t="shared" si="90"/>
        <v>12857.250088592868</v>
      </c>
      <c r="AA118" s="206">
        <f t="shared" si="90"/>
        <v>13383.958991986998</v>
      </c>
      <c r="AB118" s="206">
        <f t="shared" si="90"/>
        <v>13860.633485173847</v>
      </c>
      <c r="AC118" s="206">
        <f t="shared" si="90"/>
        <v>14227.908721072246</v>
      </c>
      <c r="AD118" s="206">
        <f t="shared" si="90"/>
        <v>14405.313392140873</v>
      </c>
      <c r="AE118" s="206">
        <f t="shared" si="90"/>
        <v>14649.528846887215</v>
      </c>
      <c r="AF118" s="206">
        <f t="shared" si="90"/>
        <v>15050.995418584105</v>
      </c>
      <c r="AG118" s="206">
        <f t="shared" si="90"/>
        <v>15686.545608640168</v>
      </c>
      <c r="AH118" s="182">
        <f t="shared" si="90"/>
        <v>16227.236891926264</v>
      </c>
      <c r="AI118" s="31"/>
    </row>
    <row r="119" spans="1:35" s="1" customFormat="1">
      <c r="A119" s="1" t="s">
        <v>335</v>
      </c>
      <c r="B119" s="13"/>
      <c r="C119" s="341">
        <f>C118-'Output - Jobs vs Yr (BAU)'!C55</f>
        <v>-5.7439800000011019</v>
      </c>
      <c r="D119" s="341">
        <f>D118-'Output - Jobs vs Yr (BAU)'!D55</f>
        <v>26.037091979088473</v>
      </c>
      <c r="E119" s="341">
        <f>E118-'Output - Jobs vs Yr (BAU)'!E55</f>
        <v>90.982789404267351</v>
      </c>
      <c r="F119" s="341">
        <f>F118-'Output - Jobs vs Yr (BAU)'!F55</f>
        <v>277.81847229319192</v>
      </c>
      <c r="G119" s="341">
        <f>G118-'Output - Jobs vs Yr (BAU)'!G55</f>
        <v>450.572562902551</v>
      </c>
      <c r="H119" s="405">
        <f>H118-'Output - Jobs vs Yr (BAU)'!H55</f>
        <v>71.752056711718069</v>
      </c>
      <c r="I119" s="15">
        <f>I118-'Output - Jobs vs Yr (BAU)'!I55</f>
        <v>82.798520637931688</v>
      </c>
      <c r="J119" s="15">
        <f>J118-'Output - Jobs vs Yr (BAU)'!J55</f>
        <v>82.783764130427699</v>
      </c>
      <c r="K119" s="15">
        <f>K118-'Output - Jobs vs Yr (BAU)'!K55</f>
        <v>128.80371377209394</v>
      </c>
      <c r="L119" s="15">
        <f>L118-'Output - Jobs vs Yr (BAU)'!L55</f>
        <v>214.55693496560616</v>
      </c>
      <c r="M119" s="15">
        <f>M118-'Output - Jobs vs Yr (BAU)'!M55</f>
        <v>440.29669517445836</v>
      </c>
      <c r="N119" s="182">
        <f>N118-'Output - Jobs vs Yr (BAU)'!N55</f>
        <v>707.97312153830626</v>
      </c>
      <c r="O119" s="15">
        <f>O118-'Output - Jobs vs Yr (BAU)'!O55</f>
        <v>859.07149302965445</v>
      </c>
      <c r="P119" s="15">
        <f>P118-'Output - Jobs vs Yr (BAU)'!P55</f>
        <v>997.36557326026195</v>
      </c>
      <c r="Q119" s="15">
        <f>Q118-'Output - Jobs vs Yr (BAU)'!Q55</f>
        <v>1100.6366215414928</v>
      </c>
      <c r="R119" s="15">
        <f>R118-'Output - Jobs vs Yr (BAU)'!R55</f>
        <v>1160.5024859949608</v>
      </c>
      <c r="S119" s="15">
        <f>S118-'Output - Jobs vs Yr (BAU)'!S55</f>
        <v>1201.3412071608509</v>
      </c>
      <c r="T119" s="15">
        <f>T118-'Output - Jobs vs Yr (BAU)'!T55</f>
        <v>1297.2978152856413</v>
      </c>
      <c r="U119" s="15">
        <f>U118-'Output - Jobs vs Yr (BAU)'!U55</f>
        <v>1391.0882686061232</v>
      </c>
      <c r="V119" s="15">
        <f>V118-'Output - Jobs vs Yr (BAU)'!V55</f>
        <v>1507.7526938764258</v>
      </c>
      <c r="W119" s="15">
        <f>W118-'Output - Jobs vs Yr (BAU)'!W55</f>
        <v>1717.7850263821474</v>
      </c>
      <c r="X119" s="190">
        <f>X118-'Output - Jobs vs Yr (BAU)'!X55</f>
        <v>1906.5461208730449</v>
      </c>
      <c r="Y119" s="130">
        <f>Y118-'Output - Jobs vs Yr (BAU)'!Y55</f>
        <v>1915.7557671738214</v>
      </c>
      <c r="Z119" s="130">
        <f>Z118-'Output - Jobs vs Yr (BAU)'!Z55</f>
        <v>1974.3833990611038</v>
      </c>
      <c r="AA119" s="130">
        <f>AA118-'Output - Jobs vs Yr (BAU)'!AA55</f>
        <v>2013.6514820668217</v>
      </c>
      <c r="AB119" s="130">
        <f>AB118-'Output - Jobs vs Yr (BAU)'!AB55</f>
        <v>2055.3220872476813</v>
      </c>
      <c r="AC119" s="130">
        <f>AC118-'Output - Jobs vs Yr (BAU)'!AC55</f>
        <v>2210.8061448492008</v>
      </c>
      <c r="AD119" s="130">
        <f>AD118-'Output - Jobs vs Yr (BAU)'!AD55</f>
        <v>2311.2297480097568</v>
      </c>
      <c r="AE119" s="130">
        <f>AE118-'Output - Jobs vs Yr (BAU)'!AE55</f>
        <v>2436.4747817920997</v>
      </c>
      <c r="AF119" s="130">
        <f>AF118-'Output - Jobs vs Yr (BAU)'!AF55</f>
        <v>2595.8991908209282</v>
      </c>
      <c r="AG119" s="130">
        <f>AG118-'Output - Jobs vs Yr (BAU)'!AG55</f>
        <v>2827.5526228503186</v>
      </c>
      <c r="AH119" s="190">
        <f>AH118-'Output - Jobs vs Yr (BAU)'!AH55</f>
        <v>3087.993478588518</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2901.5102854050983</v>
      </c>
    </row>
    <row r="124" spans="1:35" hidden="1">
      <c r="W124" s="2" t="s">
        <v>137</v>
      </c>
      <c r="X124" s="187">
        <f>SUM(X101,X106,X111)</f>
        <v>0</v>
      </c>
    </row>
    <row r="125" spans="1:35" hidden="1">
      <c r="W125" s="2" t="s">
        <v>132</v>
      </c>
      <c r="X125" s="187">
        <f>SUM(X121:X124)</f>
        <v>2901.5102854050983</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332.23364999999995</v>
      </c>
      <c r="D129" s="331">
        <f>D102*Inputs!$H48</f>
        <v>302.84408709089632</v>
      </c>
      <c r="E129" s="331">
        <f>E102*Inputs!$H48</f>
        <v>281.56160887106626</v>
      </c>
      <c r="F129" s="331">
        <f>F102*Inputs!$H48</f>
        <v>311.84963636851205</v>
      </c>
      <c r="G129" s="331">
        <f>G102*Inputs!$H48</f>
        <v>350.09315209435476</v>
      </c>
      <c r="H129" s="402">
        <f>H102*Inputs!$H48</f>
        <v>269.16651920827883</v>
      </c>
      <c r="I129" s="14">
        <f>I102*Inputs!$H48</f>
        <v>208.32883548164884</v>
      </c>
      <c r="J129" s="14">
        <f>J102*Inputs!$H48</f>
        <v>226.62203382856134</v>
      </c>
      <c r="K129" s="14">
        <f>K102*Inputs!$H48</f>
        <v>236.74071804716749</v>
      </c>
      <c r="L129" s="14">
        <f>L102*Inputs!$H48</f>
        <v>259.08982844856854</v>
      </c>
      <c r="M129" s="14">
        <f>M102*Inputs!$H48</f>
        <v>269.77051043104655</v>
      </c>
      <c r="N129" s="182">
        <f>N102*Inputs!$H48</f>
        <v>280.6214323185248</v>
      </c>
      <c r="O129" s="14">
        <f>O102*Inputs!$H48</f>
        <v>295.57106713487883</v>
      </c>
      <c r="P129" s="14">
        <f>P102*Inputs!$H48</f>
        <v>309.00244286691418</v>
      </c>
      <c r="Q129" s="14">
        <f>Q102*Inputs!$H48</f>
        <v>314.40189820761975</v>
      </c>
      <c r="R129" s="14">
        <f>R102*Inputs!$H48</f>
        <v>310.176539230505</v>
      </c>
      <c r="S129" s="14">
        <f>S102*Inputs!$H48</f>
        <v>309.71634503304495</v>
      </c>
      <c r="T129" s="14">
        <f>T102*Inputs!$H48</f>
        <v>312.22741756271512</v>
      </c>
      <c r="U129" s="14">
        <f>U102*Inputs!$H48</f>
        <v>307.28984341077552</v>
      </c>
      <c r="V129" s="14">
        <f>V102*Inputs!$H48</f>
        <v>297.57510402292189</v>
      </c>
      <c r="W129" s="14">
        <f>W102*Inputs!$H48</f>
        <v>291.30902291417613</v>
      </c>
      <c r="X129" s="187">
        <f>X102*Inputs!$H48</f>
        <v>283.77632872750507</v>
      </c>
      <c r="Y129" s="158">
        <f>Y102*Inputs!$H48</f>
        <v>282.41362446353963</v>
      </c>
      <c r="Z129" s="158">
        <f>Z102*Inputs!$H48</f>
        <v>290.83995923303132</v>
      </c>
      <c r="AA129" s="158">
        <f>AA102*Inputs!$H48</f>
        <v>294.06009017907576</v>
      </c>
      <c r="AB129" s="158">
        <f>AB102*Inputs!$H48</f>
        <v>295.62399527923674</v>
      </c>
      <c r="AC129" s="158">
        <f>AC102*Inputs!$H48</f>
        <v>294.41244311331519</v>
      </c>
      <c r="AD129" s="158">
        <f>AD102*Inputs!$H48</f>
        <v>289.03023930414366</v>
      </c>
      <c r="AE129" s="158">
        <f>AE102*Inputs!$H48</f>
        <v>284.83055097922568</v>
      </c>
      <c r="AF129" s="158">
        <f>AF102*Inputs!$H48</f>
        <v>283.39923720632368</v>
      </c>
      <c r="AG129" s="158">
        <f>AG102*Inputs!$H48</f>
        <v>285.85819953256788</v>
      </c>
      <c r="AH129" s="187">
        <f>AH102*Inputs!$H48</f>
        <v>286.00362448793072</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0.189</v>
      </c>
      <c r="D131" s="330">
        <f>Inputs!$H46*'Output -Jobs vs Yr'!D104</f>
        <v>0.20779786866673397</v>
      </c>
      <c r="E131" s="330">
        <f>Inputs!$H46*'Output -Jobs vs Yr'!E104</f>
        <v>0.23314094542659433</v>
      </c>
      <c r="F131" s="330">
        <f>Inputs!$H46*'Output -Jobs vs Yr'!F104</f>
        <v>0.31177623262221998</v>
      </c>
      <c r="G131" s="330">
        <f>Inputs!$H46*'Output -Jobs vs Yr'!G104</f>
        <v>0.42283845702477546</v>
      </c>
      <c r="H131" s="286">
        <f>Inputs!$H46*'Output -Jobs vs Yr'!H104</f>
        <v>3.9213361692126907E-2</v>
      </c>
      <c r="I131" s="40">
        <f>Inputs!$H46*'Output -Jobs vs Yr'!I104</f>
        <v>3.8873132079905982E-2</v>
      </c>
      <c r="J131" s="40">
        <f>Inputs!$H46*'Output -Jobs vs Yr'!J104</f>
        <v>4.473812960528363E-2</v>
      </c>
      <c r="K131" s="40">
        <f>Inputs!$H46*'Output -Jobs vs Yr'!K104</f>
        <v>5.4418059210650439E-2</v>
      </c>
      <c r="L131" s="40">
        <f>Inputs!$H46*'Output -Jobs vs Yr'!L104</f>
        <v>6.9356575524284134E-2</v>
      </c>
      <c r="M131" s="40">
        <f>Inputs!$H46*'Output -Jobs vs Yr'!M104</f>
        <v>8.4114309696992573E-2</v>
      </c>
      <c r="N131" s="177">
        <f>Inputs!$H46*'Output -Jobs vs Yr'!N104</f>
        <v>0.10193035705946416</v>
      </c>
      <c r="O131" s="40">
        <f>Inputs!$H46*'Output -Jobs vs Yr'!O104</f>
        <v>0.11634327638871195</v>
      </c>
      <c r="P131" s="40">
        <f>Inputs!$H46*'Output -Jobs vs Yr'!P104</f>
        <v>0.13202455847434771</v>
      </c>
      <c r="Q131" s="40">
        <f>Inputs!$H46*'Output -Jobs vs Yr'!Q104</f>
        <v>0.14607308745051104</v>
      </c>
      <c r="R131" s="40">
        <f>Inputs!$H46*'Output -Jobs vs Yr'!R104</f>
        <v>0.15701294713744154</v>
      </c>
      <c r="S131" s="40">
        <f>Inputs!$H46*'Output -Jobs vs Yr'!S104</f>
        <v>0.17118345584254213</v>
      </c>
      <c r="T131" s="40">
        <f>Inputs!$H46*'Output -Jobs vs Yr'!T104</f>
        <v>0.18886955826556062</v>
      </c>
      <c r="U131" s="40">
        <f>Inputs!$H46*'Output -Jobs vs Yr'!U104</f>
        <v>0.20396773478054042</v>
      </c>
      <c r="V131" s="40">
        <f>Inputs!$H46*'Output -Jobs vs Yr'!V104</f>
        <v>0.2173631664809387</v>
      </c>
      <c r="W131" s="40">
        <f>Inputs!$H46*'Output -Jobs vs Yr'!W104</f>
        <v>0.23491983062487437</v>
      </c>
      <c r="X131" s="184">
        <f>Inputs!$H46*'Output -Jobs vs Yr'!X104</f>
        <v>0.25356681863874725</v>
      </c>
      <c r="Y131" s="271">
        <f>Inputs!$H46*'Output -Jobs vs Yr'!Y104</f>
        <v>0.26446359430141458</v>
      </c>
      <c r="Z131" s="271">
        <f>Inputs!$H46*'Output -Jobs vs Yr'!Z104</f>
        <v>0.28552463037007353</v>
      </c>
      <c r="AA131" s="271">
        <f>Inputs!$H46*'Output -Jobs vs Yr'!AA104</f>
        <v>0.30275098085183599</v>
      </c>
      <c r="AB131" s="271">
        <f>Inputs!$H46*'Output -Jobs vs Yr'!AB104</f>
        <v>0.31930492719792886</v>
      </c>
      <c r="AC131" s="271">
        <f>Inputs!$H46*'Output -Jobs vs Yr'!AC104</f>
        <v>0.33373455477583941</v>
      </c>
      <c r="AD131" s="271">
        <f>Inputs!$H46*'Output -Jobs vs Yr'!AD104</f>
        <v>0.34398259275935861</v>
      </c>
      <c r="AE131" s="271">
        <f>Inputs!$H46*'Output -Jobs vs Yr'!AE104</f>
        <v>0.3560441796528207</v>
      </c>
      <c r="AF131" s="271">
        <f>Inputs!$H46*'Output -Jobs vs Yr'!AF104</f>
        <v>0.3722403164375126</v>
      </c>
      <c r="AG131" s="271">
        <f>Inputs!$H46*'Output -Jobs vs Yr'!AG104</f>
        <v>0.39470610130036854</v>
      </c>
      <c r="AH131" s="184">
        <f>Inputs!$H46*'Output -Jobs vs Yr'!AH104</f>
        <v>0.41532922673291134</v>
      </c>
    </row>
    <row r="132" spans="1:35">
      <c r="A132" s="10" t="s">
        <v>50</v>
      </c>
      <c r="B132" s="35">
        <v>1</v>
      </c>
      <c r="C132" s="331">
        <f>C105*Inputs!$H49</f>
        <v>367.42500000000001</v>
      </c>
      <c r="D132" s="331">
        <f>D105*Inputs!$H49</f>
        <v>465.75</v>
      </c>
      <c r="E132" s="331">
        <f>E105*Inputs!$H49</f>
        <v>494.02909119365177</v>
      </c>
      <c r="F132" s="331">
        <f>F105*Inputs!$H49</f>
        <v>689.74809660702692</v>
      </c>
      <c r="G132" s="331">
        <f>G105*Inputs!$H49</f>
        <v>976.64227864579937</v>
      </c>
      <c r="H132" s="402">
        <f>H105*Inputs!$H49</f>
        <v>502.32080723169418</v>
      </c>
      <c r="I132" s="14">
        <f>I105*Inputs!$H49</f>
        <v>502.32080723169418</v>
      </c>
      <c r="J132" s="14">
        <f>J105*Inputs!$H49</f>
        <v>654.87708417550436</v>
      </c>
      <c r="K132" s="14">
        <f>K105*Inputs!$H49</f>
        <v>876.74824552507471</v>
      </c>
      <c r="L132" s="14">
        <f>L105*Inputs!$H49</f>
        <v>1055.5744686685446</v>
      </c>
      <c r="M132" s="14">
        <f>M105*Inputs!$H49</f>
        <v>1336.5482956544238</v>
      </c>
      <c r="N132" s="182">
        <f>N105*Inputs!$H49</f>
        <v>1690.9542302877098</v>
      </c>
      <c r="O132" s="14">
        <f>O105*Inputs!$H49</f>
        <v>1930.0546083661397</v>
      </c>
      <c r="P132" s="14">
        <f>P105*Inputs!$H49</f>
        <v>2190.1962486389348</v>
      </c>
      <c r="Q132" s="14">
        <f>Q105*Inputs!$H49</f>
        <v>2423.2516424084711</v>
      </c>
      <c r="R132" s="14">
        <f>R105*Inputs!$H49</f>
        <v>2604.7363595234842</v>
      </c>
      <c r="S132" s="14">
        <f>S105*Inputs!$H49</f>
        <v>2839.8153127566206</v>
      </c>
      <c r="T132" s="14">
        <f>T105*Inputs!$H49</f>
        <v>3133.2155378932607</v>
      </c>
      <c r="U132" s="14">
        <f>U105*Inputs!$H49</f>
        <v>3383.6838594428636</v>
      </c>
      <c r="V132" s="14">
        <f>V105*Inputs!$H49</f>
        <v>3605.9048204378728</v>
      </c>
      <c r="W132" s="14">
        <f>W105*Inputs!$H49</f>
        <v>3897.1577539148889</v>
      </c>
      <c r="X132" s="187">
        <f>X105*Inputs!$H49</f>
        <v>4206.4984074140957</v>
      </c>
      <c r="Y132" s="158">
        <f>Y105*Inputs!$H49</f>
        <v>4387.2683903205061</v>
      </c>
      <c r="Z132" s="158">
        <f>Z105*Inputs!$H49</f>
        <v>4736.6564339017214</v>
      </c>
      <c r="AA132" s="158">
        <f>AA105*Inputs!$H49</f>
        <v>5022.4296918386244</v>
      </c>
      <c r="AB132" s="158">
        <f>AB105*Inputs!$H49</f>
        <v>5297.0482295285456</v>
      </c>
      <c r="AC132" s="158">
        <f>AC105*Inputs!$H49</f>
        <v>5536.4257859135341</v>
      </c>
      <c r="AD132" s="158">
        <f>AD105*Inputs!$H49</f>
        <v>5706.4336587425432</v>
      </c>
      <c r="AE132" s="158">
        <f>AE105*Inputs!$H49</f>
        <v>5906.5270555466404</v>
      </c>
      <c r="AF132" s="158">
        <f>AF105*Inputs!$H49</f>
        <v>6175.2097797169881</v>
      </c>
      <c r="AG132" s="158">
        <f>AG105*Inputs!$H49</f>
        <v>6547.9016356713237</v>
      </c>
      <c r="AH132" s="187">
        <f>AH105*Inputs!$H49</f>
        <v>6890.025044221421</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0</v>
      </c>
      <c r="D134" s="331">
        <f>D107*Inputs!$H52</f>
        <v>0</v>
      </c>
      <c r="E134" s="331">
        <f>E107*Inputs!$H52</f>
        <v>8.4714390000000005E-4</v>
      </c>
      <c r="F134" s="331">
        <f>F107*Inputs!$H52</f>
        <v>9.9422505000000029E-4</v>
      </c>
      <c r="G134" s="331">
        <f>G107*Inputs!$H52</f>
        <v>1.1862760500000002E-3</v>
      </c>
      <c r="H134" s="402">
        <f>H107*Inputs!$H52</f>
        <v>1.0602832499999998E-3</v>
      </c>
      <c r="I134" s="14">
        <f>I107*Inputs!$H52</f>
        <v>1.1849166000000003E-3</v>
      </c>
      <c r="J134" s="14">
        <f>J107*Inputs!$H52</f>
        <v>1.1050416485367898E-3</v>
      </c>
      <c r="K134" s="14">
        <f>K107*Inputs!$H52</f>
        <v>1.2846959978975963E-3</v>
      </c>
      <c r="L134" s="14">
        <f>L107*Inputs!$H52</f>
        <v>1.5649535912844188E-3</v>
      </c>
      <c r="M134" s="14">
        <f>M107*Inputs!$H52</f>
        <v>1.8140122079086851E-3</v>
      </c>
      <c r="N134" s="182">
        <f>N107*Inputs!$H52</f>
        <v>2.1010208623637176E-3</v>
      </c>
      <c r="O134" s="14">
        <f>O107*Inputs!$H52</f>
        <v>2.3981045288189351E-3</v>
      </c>
      <c r="P134" s="14">
        <f>P107*Inputs!$H52</f>
        <v>2.7213320908622105E-3</v>
      </c>
      <c r="Q134" s="14">
        <f>Q107*Inputs!$H52</f>
        <v>3.0109048277380478E-3</v>
      </c>
      <c r="R134" s="14">
        <f>R107*Inputs!$H52</f>
        <v>3.2364006868388254E-3</v>
      </c>
      <c r="S134" s="14">
        <f>S107*Inputs!$H52</f>
        <v>3.5284877085918673E-3</v>
      </c>
      <c r="T134" s="14">
        <f>T107*Inputs!$H52</f>
        <v>3.8930392635617536E-3</v>
      </c>
      <c r="U134" s="14">
        <f>U107*Inputs!$H52</f>
        <v>4.2042476685624037E-3</v>
      </c>
      <c r="V134" s="14">
        <f>V107*Inputs!$H52</f>
        <v>4.4803585571614336E-3</v>
      </c>
      <c r="W134" s="14">
        <f>W107*Inputs!$H52</f>
        <v>4.8422420892519072E-3</v>
      </c>
      <c r="X134" s="187">
        <f>X107*Inputs!$H52</f>
        <v>5.2265997229109058E-3</v>
      </c>
      <c r="Y134" s="158">
        <f>Y107*Inputs!$H52</f>
        <v>5.4512075204329455E-3</v>
      </c>
      <c r="Z134" s="158">
        <f>Z107*Inputs!$H52</f>
        <v>5.8853242785782429E-3</v>
      </c>
      <c r="AA134" s="158">
        <f>AA107*Inputs!$H52</f>
        <v>6.2403992806549834E-3</v>
      </c>
      <c r="AB134" s="158">
        <f>AB107*Inputs!$H52</f>
        <v>6.5816144753324691E-3</v>
      </c>
      <c r="AC134" s="158">
        <f>AC107*Inputs!$H52</f>
        <v>6.8790425375106724E-3</v>
      </c>
      <c r="AD134" s="158">
        <f>AD107*Inputs!$H52</f>
        <v>7.09027834814468E-3</v>
      </c>
      <c r="AE134" s="158">
        <f>AE107*Inputs!$H52</f>
        <v>7.3388956043521974E-3</v>
      </c>
      <c r="AF134" s="158">
        <f>AF107*Inputs!$H52</f>
        <v>7.67273551481658E-3</v>
      </c>
      <c r="AG134" s="158">
        <f>AG107*Inputs!$H52</f>
        <v>8.1358074008367493E-3</v>
      </c>
      <c r="AH134" s="187">
        <f>AH107*Inputs!$H52</f>
        <v>8.5608978060007258E-3</v>
      </c>
    </row>
    <row r="135" spans="1:35">
      <c r="A135" s="9" t="s">
        <v>347</v>
      </c>
      <c r="B135" s="35">
        <v>1</v>
      </c>
      <c r="C135" s="331">
        <f>C108*Inputs!$H54</f>
        <v>160.84099799999998</v>
      </c>
      <c r="D135" s="331">
        <f>D108*Inputs!$H54</f>
        <v>172.69849475314831</v>
      </c>
      <c r="E135" s="331">
        <f>E108*Inputs!$H54</f>
        <v>189.22500491859677</v>
      </c>
      <c r="F135" s="331">
        <f>F108*Inputs!$H54</f>
        <v>247.1243188527045</v>
      </c>
      <c r="G135" s="331">
        <f>G108*Inputs!$H54</f>
        <v>327.31014628387601</v>
      </c>
      <c r="H135" s="402">
        <f>H108*Inputs!$H54</f>
        <v>278.61553295562885</v>
      </c>
      <c r="I135" s="14">
        <f>I108*Inputs!$H54</f>
        <v>245.12587182273933</v>
      </c>
      <c r="J135" s="14">
        <f>J108*Inputs!$H54</f>
        <v>304.56500046585393</v>
      </c>
      <c r="K135" s="14">
        <f>K108*Inputs!$H54</f>
        <v>360.12379981556643</v>
      </c>
      <c r="L135" s="14">
        <f>L108*Inputs!$H54</f>
        <v>448.23826172205401</v>
      </c>
      <c r="M135" s="14">
        <f>M108*Inputs!$H54</f>
        <v>530.88893917876624</v>
      </c>
      <c r="N135" s="182">
        <f>N108*Inputs!$H54</f>
        <v>628.27509711365292</v>
      </c>
      <c r="O135" s="14">
        <f>O108*Inputs!$H54</f>
        <v>717.11299146137696</v>
      </c>
      <c r="P135" s="14">
        <f>P108*Inputs!$H54</f>
        <v>813.7687798784807</v>
      </c>
      <c r="Q135" s="14">
        <f>Q108*Inputs!$H54</f>
        <v>900.36065654240599</v>
      </c>
      <c r="R135" s="14">
        <f>R108*Inputs!$H54</f>
        <v>967.79141618554434</v>
      </c>
      <c r="S135" s="14">
        <f>S108*Inputs!$H54</f>
        <v>1055.1351476281129</v>
      </c>
      <c r="T135" s="14">
        <f>T108*Inputs!$H54</f>
        <v>1164.1481839593955</v>
      </c>
      <c r="U135" s="14">
        <f>U108*Inputs!$H54</f>
        <v>1257.2098447819333</v>
      </c>
      <c r="V135" s="14">
        <f>V108*Inputs!$H54</f>
        <v>1339.7761812025669</v>
      </c>
      <c r="W135" s="14">
        <f>W108*Inputs!$H54</f>
        <v>1447.9913899807339</v>
      </c>
      <c r="X135" s="187">
        <f>X108*Inputs!$H54</f>
        <v>1562.927102395224</v>
      </c>
      <c r="Y135" s="158">
        <f>Y108*Inputs!$H54</f>
        <v>1630.0923020981361</v>
      </c>
      <c r="Z135" s="158">
        <f>Z108*Inputs!$H54</f>
        <v>1759.9076472325742</v>
      </c>
      <c r="AA135" s="158">
        <f>AA108*Inputs!$H54</f>
        <v>1866.0868791519645</v>
      </c>
      <c r="AB135" s="158">
        <f>AB108*Inputs!$H54</f>
        <v>1968.1215678182491</v>
      </c>
      <c r="AC135" s="158">
        <f>AC108*Inputs!$H54</f>
        <v>2057.0624479383573</v>
      </c>
      <c r="AD135" s="158">
        <f>AD108*Inputs!$H54</f>
        <v>2120.2289789411257</v>
      </c>
      <c r="AE135" s="158">
        <f>AE108*Inputs!$H54</f>
        <v>2194.5738051091912</v>
      </c>
      <c r="AF135" s="158">
        <f>AF108*Inputs!$H54</f>
        <v>2294.4030385664237</v>
      </c>
      <c r="AG135" s="158">
        <f>AG108*Inputs!$H54</f>
        <v>2432.876929697904</v>
      </c>
      <c r="AH135" s="187">
        <f>AH108*Inputs!$H54</f>
        <v>2559.9930951633023</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2.0700000000000002E-3</v>
      </c>
      <c r="J136" s="14">
        <f>J109*Inputs!$H55</f>
        <v>2.0700000000000002E-3</v>
      </c>
      <c r="K136" s="14">
        <f>K109*Inputs!$H55</f>
        <v>2.2494602828943291E-3</v>
      </c>
      <c r="L136" s="14">
        <f>L109*Inputs!$H55</f>
        <v>2.6425462224964483E-3</v>
      </c>
      <c r="M136" s="14">
        <f>M109*Inputs!$H55</f>
        <v>2.9539592922521356E-3</v>
      </c>
      <c r="N136" s="187">
        <f>N109*Inputs!$H55</f>
        <v>3.2994217779861736E-3</v>
      </c>
      <c r="O136" s="14">
        <f>O109*Inputs!$H55</f>
        <v>3.7659589440586488E-3</v>
      </c>
      <c r="P136" s="14">
        <f>P109*Inputs!$H55</f>
        <v>4.2735522176690563E-3</v>
      </c>
      <c r="Q136" s="14">
        <f>Q109*Inputs!$H55</f>
        <v>4.7282942963766022E-3</v>
      </c>
      <c r="R136" s="14">
        <f>R109*Inputs!$H55</f>
        <v>5.0824106984030783E-3</v>
      </c>
      <c r="S136" s="14">
        <f>S109*Inputs!$H55</f>
        <v>5.5411011844912995E-3</v>
      </c>
      <c r="T136" s="14">
        <f>T109*Inputs!$H55</f>
        <v>6.1135892359964932E-3</v>
      </c>
      <c r="U136" s="14">
        <f>U109*Inputs!$H55</f>
        <v>6.6023077477185945E-3</v>
      </c>
      <c r="V136" s="14">
        <f>V109*Inputs!$H55</f>
        <v>7.0359094769074423E-3</v>
      </c>
      <c r="W136" s="14">
        <f>W109*Inputs!$H55</f>
        <v>7.6042076924380435E-3</v>
      </c>
      <c r="X136" s="187">
        <f>X109*Inputs!$H55</f>
        <v>8.2077990083296096E-3</v>
      </c>
      <c r="Y136" s="158">
        <f>Y109*Inputs!$H55</f>
        <v>8.5605208074915635E-3</v>
      </c>
      <c r="Z136" s="158">
        <f>Z109*Inputs!$H55</f>
        <v>9.2422533460261511E-3</v>
      </c>
      <c r="AA136" s="158">
        <f>AA109*Inputs!$H55</f>
        <v>9.7998595153206622E-3</v>
      </c>
      <c r="AB136" s="158">
        <f>AB109*Inputs!$H55</f>
        <v>1.0335700384141031E-2</v>
      </c>
      <c r="AC136" s="158">
        <f>AC109*Inputs!$H55</f>
        <v>1.0802778385751615E-2</v>
      </c>
      <c r="AD136" s="158">
        <f>AD109*Inputs!$H55</f>
        <v>1.1134500952805186E-2</v>
      </c>
      <c r="AE136" s="158">
        <f>AE109*Inputs!$H55</f>
        <v>1.1524926961517638E-2</v>
      </c>
      <c r="AF136" s="158">
        <f>AF109*Inputs!$H55</f>
        <v>1.2049185759075667E-2</v>
      </c>
      <c r="AG136" s="158">
        <f>AG109*Inputs!$H55</f>
        <v>1.2776389135718567E-2</v>
      </c>
      <c r="AH136" s="187">
        <f>AH109*Inputs!$H55</f>
        <v>1.3443946781401855E-2</v>
      </c>
    </row>
    <row r="137" spans="1:35">
      <c r="A137" s="9" t="s">
        <v>344</v>
      </c>
      <c r="B137" s="35">
        <v>1</v>
      </c>
      <c r="C137" s="331">
        <f>C110*Inputs!$H56</f>
        <v>2.16E-3</v>
      </c>
      <c r="D137" s="331">
        <f>D110*Inputs!$H56</f>
        <v>2.1889341957849469E-3</v>
      </c>
      <c r="E137" s="331">
        <f>E110*Inputs!$H56</f>
        <v>2.2636529312568122E-3</v>
      </c>
      <c r="F137" s="331">
        <f>F110*Inputs!$H56</f>
        <v>2.7901911849255905E-3</v>
      </c>
      <c r="G137" s="331">
        <f>G110*Inputs!$H56</f>
        <v>3.4879086893335326E-3</v>
      </c>
      <c r="H137" s="402">
        <f>H110*Inputs!$H56</f>
        <v>2.16E-3</v>
      </c>
      <c r="I137" s="14">
        <f>I110*Inputs!$H56</f>
        <v>2.16E-3</v>
      </c>
      <c r="J137" s="14">
        <f>J110*Inputs!$H56</f>
        <v>2.16E-3</v>
      </c>
      <c r="K137" s="14">
        <f>K110*Inputs!$H56</f>
        <v>2.3472629038897349E-3</v>
      </c>
      <c r="L137" s="14">
        <f>L110*Inputs!$H56</f>
        <v>2.7574395365180335E-3</v>
      </c>
      <c r="M137" s="14">
        <f>M110*Inputs!$H56</f>
        <v>3.0823923049587507E-3</v>
      </c>
      <c r="N137" s="187">
        <f>N110*Inputs!$H56</f>
        <v>3.4428748987681808E-3</v>
      </c>
      <c r="O137" s="14">
        <f>O110*Inputs!$H56</f>
        <v>3.9296962894525035E-3</v>
      </c>
      <c r="P137" s="14">
        <f>P110*Inputs!$H56</f>
        <v>4.45935883582858E-3</v>
      </c>
      <c r="Q137" s="14">
        <f>Q110*Inputs!$H56</f>
        <v>4.9338723092625415E-3</v>
      </c>
      <c r="R137" s="14">
        <f>R110*Inputs!$H56</f>
        <v>5.3033850765945171E-3</v>
      </c>
      <c r="S137" s="14">
        <f>S110*Inputs!$H56</f>
        <v>5.7820186272952694E-3</v>
      </c>
      <c r="T137" s="14">
        <f>T110*Inputs!$H56</f>
        <v>6.3793974636485147E-3</v>
      </c>
      <c r="U137" s="14">
        <f>U110*Inputs!$H56</f>
        <v>6.8893646063150557E-3</v>
      </c>
      <c r="V137" s="14">
        <f>V110*Inputs!$H56</f>
        <v>7.3418185845990705E-3</v>
      </c>
      <c r="W137" s="14">
        <f>W110*Inputs!$H56</f>
        <v>7.9348254181962185E-3</v>
      </c>
      <c r="X137" s="187">
        <f>X110*Inputs!$H56</f>
        <v>8.5646598347787241E-3</v>
      </c>
      <c r="Y137" s="158">
        <f>Y110*Inputs!$H56</f>
        <v>8.9327173643390222E-3</v>
      </c>
      <c r="Z137" s="158">
        <f>Z110*Inputs!$H56</f>
        <v>9.6440904480272899E-3</v>
      </c>
      <c r="AA137" s="158">
        <f>AA110*Inputs!$H56</f>
        <v>1.0225940363812866E-2</v>
      </c>
      <c r="AB137" s="158">
        <f>AB110*Inputs!$H56</f>
        <v>1.0785078661712381E-2</v>
      </c>
      <c r="AC137" s="158">
        <f>AC110*Inputs!$H56</f>
        <v>1.1272464402523425E-2</v>
      </c>
      <c r="AD137" s="158">
        <f>AD110*Inputs!$H56</f>
        <v>1.1618609689883673E-2</v>
      </c>
      <c r="AE137" s="158">
        <f>AE110*Inputs!$H56</f>
        <v>1.2026010742453186E-2</v>
      </c>
      <c r="AF137" s="158">
        <f>AF110*Inputs!$H56</f>
        <v>1.257306340077461E-2</v>
      </c>
      <c r="AG137" s="158">
        <f>AG110*Inputs!$H56</f>
        <v>1.3331884315532417E-2</v>
      </c>
      <c r="AH137" s="187">
        <f>AH110*Inputs!$H56</f>
        <v>1.4028466206680197E-2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v>
      </c>
      <c r="E139" s="331">
        <f>E112*Inputs!$H57</f>
        <v>3.6723538890000001E-3</v>
      </c>
      <c r="F139" s="331">
        <f>F112*Inputs!$H57</f>
        <v>4.19163543E-3</v>
      </c>
      <c r="G139" s="331">
        <f>G112*Inputs!$H57</f>
        <v>4.9323214349999995E-3</v>
      </c>
      <c r="H139" s="402">
        <f>H112*Inputs!$H57</f>
        <v>4.9476168450000007E-3</v>
      </c>
      <c r="I139" s="14">
        <f>I112*Inputs!$H57</f>
        <v>5.2936730100000004E-3</v>
      </c>
      <c r="J139" s="14">
        <f>J112*Inputs!$H57</f>
        <v>5.4918487079999995E-3</v>
      </c>
      <c r="K139" s="14">
        <f>K112*Inputs!$H57</f>
        <v>5.6644345138224085E-3</v>
      </c>
      <c r="L139" s="14">
        <f>L112*Inputs!$H57</f>
        <v>6.770982046538576E-3</v>
      </c>
      <c r="M139" s="14">
        <f>M112*Inputs!$H57</f>
        <v>7.7016612858481623E-3</v>
      </c>
      <c r="N139" s="182">
        <f>N112*Inputs!$H57</f>
        <v>8.7532349182261708E-3</v>
      </c>
      <c r="O139" s="14">
        <f>O112*Inputs!$H57</f>
        <v>9.9909394881488485E-3</v>
      </c>
      <c r="P139" s="14">
        <f>P112*Inputs!$H57</f>
        <v>1.133756428054966E-2</v>
      </c>
      <c r="Q139" s="14">
        <f>Q112*Inputs!$H57</f>
        <v>1.2543976952214557E-2</v>
      </c>
      <c r="R139" s="14">
        <f>R112*Inputs!$H57</f>
        <v>1.3483433700671458E-2</v>
      </c>
      <c r="S139" s="14">
        <f>S112*Inputs!$H57</f>
        <v>1.4700321340279678E-2</v>
      </c>
      <c r="T139" s="14">
        <f>T112*Inputs!$H57</f>
        <v>1.6219109400701918E-2</v>
      </c>
      <c r="U139" s="14">
        <f>U112*Inputs!$H57</f>
        <v>1.7515660199551423E-2</v>
      </c>
      <c r="V139" s="14">
        <f>V112*Inputs!$H57</f>
        <v>1.8665988363674668E-2</v>
      </c>
      <c r="W139" s="14">
        <f>W112*Inputs!$H57</f>
        <v>2.0173660955683886E-2</v>
      </c>
      <c r="X139" s="187">
        <f>X112*Inputs!$H57</f>
        <v>2.1774964741047405E-2</v>
      </c>
      <c r="Y139" s="158">
        <f>Y112*Inputs!$H57</f>
        <v>2.2710721663500771E-2</v>
      </c>
      <c r="Z139" s="158">
        <f>Z112*Inputs!$H57</f>
        <v>2.4519331008630987E-2</v>
      </c>
      <c r="AA139" s="158">
        <f>AA112*Inputs!$H57</f>
        <v>2.5998638026682536E-2</v>
      </c>
      <c r="AB139" s="158">
        <f>AB112*Inputs!$H57</f>
        <v>2.7420202567131763E-2</v>
      </c>
      <c r="AC139" s="158">
        <f>AC112*Inputs!$H57</f>
        <v>2.8659341952254107E-2</v>
      </c>
      <c r="AD139" s="158">
        <f>AD112*Inputs!$H57</f>
        <v>2.9539388746049965E-2</v>
      </c>
      <c r="AE139" s="158">
        <f>AE112*Inputs!$H57</f>
        <v>3.0575173438764026E-2</v>
      </c>
      <c r="AF139" s="158">
        <f>AF112*Inputs!$H57</f>
        <v>3.1966011204214287E-2</v>
      </c>
      <c r="AG139" s="158">
        <f>AG112*Inputs!$H57</f>
        <v>3.3895252876665075E-2</v>
      </c>
      <c r="AH139" s="187">
        <f>AH112*Inputs!$H57</f>
        <v>3.5666256794112172E-2</v>
      </c>
      <c r="AI139" s="31">
        <f>SUM(C139:X139)</f>
        <v>0.2138253815039588</v>
      </c>
    </row>
    <row r="140" spans="1:35">
      <c r="A140" s="10" t="s">
        <v>383</v>
      </c>
      <c r="C140" s="331">
        <f t="shared" ref="C140:AH140" si="91">SUM(C127:C139)</f>
        <v>860.69080799999995</v>
      </c>
      <c r="D140" s="331">
        <f t="shared" si="91"/>
        <v>941.50256864690721</v>
      </c>
      <c r="E140" s="331">
        <f t="shared" si="91"/>
        <v>965.05769907946171</v>
      </c>
      <c r="F140" s="331">
        <f t="shared" si="91"/>
        <v>1249.0438741125306</v>
      </c>
      <c r="G140" s="331">
        <f t="shared" si="91"/>
        <v>1654.4800919872293</v>
      </c>
      <c r="H140" s="402">
        <f t="shared" si="91"/>
        <v>1050.1523106573889</v>
      </c>
      <c r="I140" s="14">
        <f t="shared" si="91"/>
        <v>955.8250962577722</v>
      </c>
      <c r="J140" s="14">
        <f t="shared" si="91"/>
        <v>1186.1196834898815</v>
      </c>
      <c r="K140" s="14">
        <f t="shared" si="91"/>
        <v>1473.6787273007176</v>
      </c>
      <c r="L140" s="14">
        <f t="shared" si="91"/>
        <v>1762.985651336088</v>
      </c>
      <c r="M140" s="14">
        <f t="shared" si="91"/>
        <v>2137.3074115990244</v>
      </c>
      <c r="N140" s="182">
        <f t="shared" si="91"/>
        <v>2599.9702866294037</v>
      </c>
      <c r="O140" s="14">
        <f t="shared" si="91"/>
        <v>2942.8750949380346</v>
      </c>
      <c r="P140" s="14">
        <f t="shared" si="91"/>
        <v>3313.1222877502291</v>
      </c>
      <c r="Q140" s="14">
        <f t="shared" si="91"/>
        <v>3638.1854872943331</v>
      </c>
      <c r="R140" s="14">
        <f t="shared" si="91"/>
        <v>3882.8884335168336</v>
      </c>
      <c r="S140" s="14">
        <f t="shared" si="91"/>
        <v>4204.8675408024828</v>
      </c>
      <c r="T140" s="14">
        <f t="shared" si="91"/>
        <v>4609.8126141089997</v>
      </c>
      <c r="U140" s="14">
        <f t="shared" si="91"/>
        <v>4948.4227269505755</v>
      </c>
      <c r="V140" s="14">
        <f t="shared" si="91"/>
        <v>5243.5109929048258</v>
      </c>
      <c r="W140" s="14">
        <f t="shared" si="91"/>
        <v>5636.7336415765803</v>
      </c>
      <c r="X140" s="187">
        <f t="shared" si="91"/>
        <v>6053.4991793787704</v>
      </c>
      <c r="Y140" s="158">
        <f t="shared" si="91"/>
        <v>6300.0844356438392</v>
      </c>
      <c r="Z140" s="158">
        <f t="shared" si="91"/>
        <v>6787.7388559967785</v>
      </c>
      <c r="AA140" s="158">
        <f t="shared" si="91"/>
        <v>7182.9316769877032</v>
      </c>
      <c r="AB140" s="158">
        <f t="shared" si="91"/>
        <v>7561.1682201493177</v>
      </c>
      <c r="AC140" s="158">
        <f t="shared" si="91"/>
        <v>7888.2920251472606</v>
      </c>
      <c r="AD140" s="158">
        <f t="shared" si="91"/>
        <v>8116.0962423583096</v>
      </c>
      <c r="AE140" s="158">
        <f t="shared" si="91"/>
        <v>8386.3489208214596</v>
      </c>
      <c r="AF140" s="158">
        <f t="shared" si="91"/>
        <v>8753.4485568020518</v>
      </c>
      <c r="AG140" s="158">
        <f t="shared" si="91"/>
        <v>9267.0996103368252</v>
      </c>
      <c r="AH140" s="187">
        <f t="shared" si="91"/>
        <v>9736.5087926669767</v>
      </c>
      <c r="AI140" s="48" t="s">
        <v>0</v>
      </c>
    </row>
    <row r="141" spans="1:35">
      <c r="A141" s="10" t="s">
        <v>386</v>
      </c>
      <c r="C141" s="331">
        <f>SUM(C128:C130)</f>
        <v>332.23364999999995</v>
      </c>
      <c r="D141" s="331">
        <f t="shared" ref="D141:AH141" si="92">SUM(D128:D130)</f>
        <v>302.84408709089632</v>
      </c>
      <c r="E141" s="331">
        <f t="shared" si="92"/>
        <v>281.56160887106626</v>
      </c>
      <c r="F141" s="331">
        <f t="shared" si="92"/>
        <v>311.84963636851205</v>
      </c>
      <c r="G141" s="331">
        <f t="shared" si="92"/>
        <v>350.09315209435476</v>
      </c>
      <c r="H141" s="402">
        <f t="shared" si="92"/>
        <v>269.16651920827883</v>
      </c>
      <c r="I141" s="14">
        <f t="shared" si="92"/>
        <v>208.32883548164884</v>
      </c>
      <c r="J141" s="14">
        <f t="shared" si="92"/>
        <v>226.62203382856134</v>
      </c>
      <c r="K141" s="14">
        <f t="shared" si="92"/>
        <v>236.74071804716749</v>
      </c>
      <c r="L141" s="14">
        <f t="shared" si="92"/>
        <v>259.08982844856854</v>
      </c>
      <c r="M141" s="14">
        <f t="shared" si="92"/>
        <v>269.77051043104655</v>
      </c>
      <c r="N141" s="187">
        <f t="shared" si="92"/>
        <v>280.6214323185248</v>
      </c>
      <c r="O141" s="14">
        <f t="shared" si="92"/>
        <v>295.57106713487883</v>
      </c>
      <c r="P141" s="14">
        <f t="shared" si="92"/>
        <v>309.00244286691418</v>
      </c>
      <c r="Q141" s="14">
        <f t="shared" si="92"/>
        <v>314.40189820761975</v>
      </c>
      <c r="R141" s="14">
        <f t="shared" si="92"/>
        <v>310.176539230505</v>
      </c>
      <c r="S141" s="14">
        <f t="shared" si="92"/>
        <v>309.71634503304495</v>
      </c>
      <c r="T141" s="14">
        <f t="shared" si="92"/>
        <v>312.22741756271512</v>
      </c>
      <c r="U141" s="14">
        <f t="shared" si="92"/>
        <v>307.28984341077552</v>
      </c>
      <c r="V141" s="14">
        <f t="shared" si="92"/>
        <v>297.57510402292189</v>
      </c>
      <c r="W141" s="14">
        <f t="shared" si="92"/>
        <v>291.30902291417613</v>
      </c>
      <c r="X141" s="187">
        <f t="shared" si="92"/>
        <v>283.77632872750507</v>
      </c>
      <c r="Y141" s="158">
        <f t="shared" si="92"/>
        <v>282.41362446353963</v>
      </c>
      <c r="Z141" s="158">
        <f t="shared" si="92"/>
        <v>290.83995923303132</v>
      </c>
      <c r="AA141" s="158">
        <f t="shared" si="92"/>
        <v>294.06009017907576</v>
      </c>
      <c r="AB141" s="158">
        <f t="shared" si="92"/>
        <v>295.62399527923674</v>
      </c>
      <c r="AC141" s="158">
        <f t="shared" si="92"/>
        <v>294.41244311331519</v>
      </c>
      <c r="AD141" s="158">
        <f t="shared" si="92"/>
        <v>289.03023930414366</v>
      </c>
      <c r="AE141" s="158">
        <f t="shared" si="92"/>
        <v>284.83055097922568</v>
      </c>
      <c r="AF141" s="158">
        <f t="shared" si="92"/>
        <v>283.39923720632368</v>
      </c>
      <c r="AG141" s="158">
        <f t="shared" si="92"/>
        <v>285.85819953256788</v>
      </c>
      <c r="AH141" s="187">
        <f t="shared" si="92"/>
        <v>286.00362448793072</v>
      </c>
      <c r="AI141" s="48"/>
    </row>
    <row r="142" spans="1:35">
      <c r="A142" s="10" t="s">
        <v>385</v>
      </c>
      <c r="C142" s="330">
        <f t="shared" ref="C142:AH142" si="93">SUMPRODUCT($B131:$B139,C131:C139)</f>
        <v>528.45715800000005</v>
      </c>
      <c r="D142" s="330">
        <f t="shared" si="93"/>
        <v>638.65848155601088</v>
      </c>
      <c r="E142" s="330">
        <f t="shared" si="93"/>
        <v>683.49609020839534</v>
      </c>
      <c r="F142" s="330">
        <f t="shared" si="93"/>
        <v>937.19423774401855</v>
      </c>
      <c r="G142" s="330">
        <f t="shared" si="93"/>
        <v>1304.3869398928746</v>
      </c>
      <c r="H142" s="286">
        <f t="shared" si="93"/>
        <v>780.98579144911025</v>
      </c>
      <c r="I142" s="40">
        <f t="shared" si="93"/>
        <v>747.49626077612345</v>
      </c>
      <c r="J142" s="40">
        <f t="shared" si="93"/>
        <v>959.49764966132011</v>
      </c>
      <c r="K142" s="40">
        <f t="shared" si="93"/>
        <v>1236.9380092535503</v>
      </c>
      <c r="L142" s="40">
        <f t="shared" si="93"/>
        <v>1503.8958228875197</v>
      </c>
      <c r="M142" s="40">
        <f t="shared" si="93"/>
        <v>1867.5369011679782</v>
      </c>
      <c r="N142" s="177">
        <f t="shared" si="93"/>
        <v>2319.3488543108792</v>
      </c>
      <c r="O142" s="40">
        <f t="shared" si="93"/>
        <v>2647.3040278031558</v>
      </c>
      <c r="P142" s="40">
        <f t="shared" si="93"/>
        <v>3004.1198448833143</v>
      </c>
      <c r="Q142" s="40">
        <f t="shared" si="93"/>
        <v>3323.7835890867132</v>
      </c>
      <c r="R142" s="40">
        <f t="shared" si="93"/>
        <v>3572.7118942863285</v>
      </c>
      <c r="S142" s="40">
        <f t="shared" si="93"/>
        <v>3895.1511957694365</v>
      </c>
      <c r="T142" s="40">
        <f t="shared" si="93"/>
        <v>4297.5851965462844</v>
      </c>
      <c r="U142" s="40">
        <f t="shared" si="93"/>
        <v>4641.1328835398008</v>
      </c>
      <c r="V142" s="40">
        <f t="shared" si="93"/>
        <v>4945.9358888819033</v>
      </c>
      <c r="W142" s="40">
        <f t="shared" si="93"/>
        <v>5345.4246186624041</v>
      </c>
      <c r="X142" s="184">
        <f t="shared" si="93"/>
        <v>5769.7228506512647</v>
      </c>
      <c r="Y142" s="271">
        <f t="shared" si="93"/>
        <v>6017.6708111803</v>
      </c>
      <c r="Z142" s="271">
        <f t="shared" si="93"/>
        <v>6496.898896763747</v>
      </c>
      <c r="AA142" s="271">
        <f t="shared" si="93"/>
        <v>6888.8715868086274</v>
      </c>
      <c r="AB142" s="271">
        <f t="shared" si="93"/>
        <v>7265.5442248700811</v>
      </c>
      <c r="AC142" s="271">
        <f t="shared" si="93"/>
        <v>7593.8795820339456</v>
      </c>
      <c r="AD142" s="271">
        <f t="shared" si="93"/>
        <v>7827.0660030541658</v>
      </c>
      <c r="AE142" s="271">
        <f t="shared" si="93"/>
        <v>8101.5183698422306</v>
      </c>
      <c r="AF142" s="271">
        <f t="shared" si="93"/>
        <v>8470.0493195957279</v>
      </c>
      <c r="AG142" s="271">
        <f t="shared" si="93"/>
        <v>8981.2414108042576</v>
      </c>
      <c r="AH142" s="184">
        <f t="shared" si="93"/>
        <v>9450.5051681790446</v>
      </c>
    </row>
    <row r="143" spans="1:35">
      <c r="A143" s="10" t="s">
        <v>142</v>
      </c>
      <c r="C143" s="331">
        <f>C116*Inputs!$H$60</f>
        <v>2312.2486925999992</v>
      </c>
      <c r="D143" s="331">
        <f>D116*Inputs!$H$60</f>
        <v>690.1454204673596</v>
      </c>
      <c r="E143" s="331">
        <f>E116*Inputs!$H$60</f>
        <v>719.33618203233061</v>
      </c>
      <c r="F143" s="331">
        <f>F116*Inputs!$H$60</f>
        <v>699.59394928020106</v>
      </c>
      <c r="G143" s="331">
        <f>G116*Inputs!$H$60</f>
        <v>623.25311241722829</v>
      </c>
      <c r="H143" s="402">
        <f>H116*Inputs!$H$60</f>
        <v>703.54150003847133</v>
      </c>
      <c r="I143" s="14">
        <f>I116*Inputs!$H$60</f>
        <v>784.94639370072844</v>
      </c>
      <c r="J143" s="14">
        <f>J116*Inputs!$H$60</f>
        <v>777.24766228822773</v>
      </c>
      <c r="K143" s="14">
        <f>K116*Inputs!$H$60</f>
        <v>797.43005999458239</v>
      </c>
      <c r="L143" s="14">
        <f>L116*Inputs!$H$60</f>
        <v>789.81219864761476</v>
      </c>
      <c r="M143" s="14">
        <f>M116*Inputs!$H$60</f>
        <v>758.02912479740655</v>
      </c>
      <c r="N143" s="182">
        <f>N116*Inputs!$H$60</f>
        <v>718.81975865143841</v>
      </c>
      <c r="O143" s="14">
        <f>O116*Inputs!$H$60</f>
        <v>684.14780671301287</v>
      </c>
      <c r="P143" s="14">
        <f>P116*Inputs!$H$60</f>
        <v>666.57828684558115</v>
      </c>
      <c r="Q143" s="14">
        <f>Q116*Inputs!$H$60</f>
        <v>662.84602408641956</v>
      </c>
      <c r="R143" s="14">
        <f>R116*Inputs!$H$60</f>
        <v>662.73802193430402</v>
      </c>
      <c r="S143" s="14">
        <f>S116*Inputs!$H$60</f>
        <v>658.44545222031024</v>
      </c>
      <c r="T143" s="14">
        <f>T116*Inputs!$H$60</f>
        <v>651.08047045909188</v>
      </c>
      <c r="U143" s="14">
        <f>U116*Inputs!$H$60</f>
        <v>646.05330032260963</v>
      </c>
      <c r="V143" s="14">
        <f>V116*Inputs!$H$60</f>
        <v>638.26804101547509</v>
      </c>
      <c r="W143" s="14">
        <f>W116*Inputs!$H$60</f>
        <v>624.67778967848369</v>
      </c>
      <c r="X143" s="187">
        <f>X116*Inputs!$H$60</f>
        <v>613.93652600522182</v>
      </c>
      <c r="Y143" s="158">
        <f>Y116*Inputs!$H$60</f>
        <v>614.17962250349899</v>
      </c>
      <c r="Z143" s="158">
        <f>Z116*Inputs!$H$60</f>
        <v>612.45525884393237</v>
      </c>
      <c r="AA143" s="158">
        <f>AA116*Inputs!$H$60</f>
        <v>612.14795561747007</v>
      </c>
      <c r="AB143" s="158">
        <f>AB116*Inputs!$H$60</f>
        <v>613.02812507940041</v>
      </c>
      <c r="AC143" s="158">
        <f>AC116*Inputs!$H$60</f>
        <v>606.69599112227309</v>
      </c>
      <c r="AD143" s="158">
        <f>AD116*Inputs!$H$60</f>
        <v>601.35363502014377</v>
      </c>
      <c r="AE143" s="158">
        <f>AE116*Inputs!$H$60</f>
        <v>592.83659841050473</v>
      </c>
      <c r="AF143" s="158">
        <f>AF116*Inputs!$H$60</f>
        <v>583.29668435714973</v>
      </c>
      <c r="AG143" s="158">
        <f>AG116*Inputs!$H$60</f>
        <v>571.12269646209165</v>
      </c>
      <c r="AH143" s="187">
        <f>AH116*Inputs!$H$60</f>
        <v>556.82777907569255</v>
      </c>
      <c r="AI143" s="48"/>
    </row>
    <row r="144" spans="1:35">
      <c r="A144" s="10" t="s">
        <v>222</v>
      </c>
      <c r="C144" s="331">
        <f>C117*Inputs!$H$61</f>
        <v>990.96372539999982</v>
      </c>
      <c r="D144" s="331">
        <f>D117*Inputs!$H$61</f>
        <v>2336.4534400501379</v>
      </c>
      <c r="E144" s="331">
        <f>E117*Inputs!$H$61</f>
        <v>2137.6972213403278</v>
      </c>
      <c r="F144" s="331">
        <f>F117*Inputs!$H$61</f>
        <v>2483.2045049580215</v>
      </c>
      <c r="G144" s="331">
        <f>G117*Inputs!$H$61</f>
        <v>2954.8160809902311</v>
      </c>
      <c r="H144" s="402">
        <f>H117*Inputs!$H$61</f>
        <v>3147.5074035520756</v>
      </c>
      <c r="I144" s="14">
        <f>I117*Inputs!$H$61</f>
        <v>2096.6180778928133</v>
      </c>
      <c r="J144" s="14">
        <f>J117*Inputs!$H$61</f>
        <v>2257.4841593589586</v>
      </c>
      <c r="K144" s="14">
        <f>K117*Inputs!$H$61</f>
        <v>2234.3817169783201</v>
      </c>
      <c r="L144" s="14">
        <f>L117*Inputs!$H$61</f>
        <v>2427.5648344991851</v>
      </c>
      <c r="M144" s="14">
        <f>M117*Inputs!$H$61</f>
        <v>2426.840429594266</v>
      </c>
      <c r="N144" s="182">
        <f>N117*Inputs!$H$61</f>
        <v>2398.8157465697832</v>
      </c>
      <c r="O144" s="14">
        <f>O117*Inputs!$H$61</f>
        <v>2704.2161760953004</v>
      </c>
      <c r="P144" s="14">
        <f>P117*Inputs!$H$61</f>
        <v>2992.6684057984612</v>
      </c>
      <c r="Q144" s="14">
        <f>Q117*Inputs!$H$61</f>
        <v>3187.8266385732654</v>
      </c>
      <c r="R144" s="14">
        <f>R117*Inputs!$H$61</f>
        <v>3271.475107244114</v>
      </c>
      <c r="S144" s="14">
        <f>S117*Inputs!$H$61</f>
        <v>3415.9649718079745</v>
      </c>
      <c r="T144" s="14">
        <f>T117*Inputs!$H$61</f>
        <v>3616.1988817174388</v>
      </c>
      <c r="U144" s="14">
        <f>U117*Inputs!$H$61</f>
        <v>3725.2417705948433</v>
      </c>
      <c r="V144" s="14">
        <f>V117*Inputs!$H$61</f>
        <v>3776.9084079144586</v>
      </c>
      <c r="W144" s="14">
        <f>W117*Inputs!$H$61</f>
        <v>3894.2409545913315</v>
      </c>
      <c r="X144" s="187">
        <f>X117*Inputs!$H$61</f>
        <v>4001.0176781159303</v>
      </c>
      <c r="Y144" s="158">
        <f>Y117*Inputs!$H$61</f>
        <v>4005.1569300526712</v>
      </c>
      <c r="Z144" s="158">
        <f>Z117*Inputs!$H$61</f>
        <v>4171.3297593815623</v>
      </c>
      <c r="AA144" s="158">
        <f>AA117*Inputs!$H$61</f>
        <v>4250.4821819405788</v>
      </c>
      <c r="AB144" s="158">
        <f>AB117*Inputs!$H$61</f>
        <v>4300.3724432929121</v>
      </c>
      <c r="AC144" s="158">
        <f>AC117*Inputs!$H$61</f>
        <v>4310.1284236374395</v>
      </c>
      <c r="AD144" s="158">
        <f>AD117*Inputs!$H$61</f>
        <v>4247.3307232221223</v>
      </c>
      <c r="AE144" s="158">
        <f>AE117*Inputs!$H$61</f>
        <v>4205.3889397151879</v>
      </c>
      <c r="AF144" s="158">
        <f>AF117*Inputs!$H$61</f>
        <v>4209.1490639335661</v>
      </c>
      <c r="AG144" s="158">
        <f>AG117*Inputs!$H$61</f>
        <v>4279.6670744916955</v>
      </c>
      <c r="AH144" s="187">
        <f>AH117*Inputs!$H$61</f>
        <v>4311.1748774326943</v>
      </c>
      <c r="AI144" s="48"/>
    </row>
    <row r="145" spans="1:35">
      <c r="A145" s="10" t="s">
        <v>58</v>
      </c>
      <c r="C145" s="331">
        <f>SUM(C140,C143,C144)</f>
        <v>4163.9032259999985</v>
      </c>
      <c r="D145" s="331">
        <f>SUM(D140,D143,D144)</f>
        <v>3968.1014291644046</v>
      </c>
      <c r="E145" s="331">
        <f t="shared" ref="E145:AH145" si="94">SUM(E140,E143,E144)</f>
        <v>3822.0911024521201</v>
      </c>
      <c r="F145" s="331">
        <f t="shared" si="94"/>
        <v>4431.8423283507527</v>
      </c>
      <c r="G145" s="331">
        <f t="shared" si="94"/>
        <v>5232.5492853946889</v>
      </c>
      <c r="H145" s="402">
        <f t="shared" si="94"/>
        <v>4901.2012142479362</v>
      </c>
      <c r="I145" s="14">
        <f t="shared" si="94"/>
        <v>3837.389567851314</v>
      </c>
      <c r="J145" s="14">
        <f t="shared" si="94"/>
        <v>4220.8515051370678</v>
      </c>
      <c r="K145" s="14">
        <f t="shared" si="94"/>
        <v>4505.49050427362</v>
      </c>
      <c r="L145" s="14">
        <f t="shared" si="94"/>
        <v>4980.3626844828877</v>
      </c>
      <c r="M145" s="14">
        <f t="shared" si="94"/>
        <v>5322.1769659906968</v>
      </c>
      <c r="N145" s="187">
        <f t="shared" si="94"/>
        <v>5717.6057918506249</v>
      </c>
      <c r="O145" s="14">
        <f t="shared" si="94"/>
        <v>6331.2390777463479</v>
      </c>
      <c r="P145" s="14">
        <f t="shared" si="94"/>
        <v>6972.3689803942716</v>
      </c>
      <c r="Q145" s="14">
        <f t="shared" si="94"/>
        <v>7488.8581499540178</v>
      </c>
      <c r="R145" s="14">
        <f t="shared" si="94"/>
        <v>7817.1015626952521</v>
      </c>
      <c r="S145" s="14">
        <f t="shared" si="94"/>
        <v>8279.2779648307678</v>
      </c>
      <c r="T145" s="14">
        <f t="shared" si="94"/>
        <v>8877.0919662855304</v>
      </c>
      <c r="U145" s="14">
        <f t="shared" si="94"/>
        <v>9319.7177978680284</v>
      </c>
      <c r="V145" s="14">
        <f t="shared" si="94"/>
        <v>9658.6874418347597</v>
      </c>
      <c r="W145" s="14">
        <f t="shared" si="94"/>
        <v>10155.652385846395</v>
      </c>
      <c r="X145" s="187">
        <f t="shared" si="94"/>
        <v>10668.453383499922</v>
      </c>
      <c r="Y145" s="158">
        <f t="shared" si="94"/>
        <v>10919.420988200009</v>
      </c>
      <c r="Z145" s="158">
        <f t="shared" si="94"/>
        <v>11571.523874222274</v>
      </c>
      <c r="AA145" s="158">
        <f t="shared" si="94"/>
        <v>12045.561814545752</v>
      </c>
      <c r="AB145" s="158">
        <f t="shared" si="94"/>
        <v>12474.56878852163</v>
      </c>
      <c r="AC145" s="158">
        <f t="shared" si="94"/>
        <v>12805.116439906973</v>
      </c>
      <c r="AD145" s="158">
        <f t="shared" si="94"/>
        <v>12964.780600600574</v>
      </c>
      <c r="AE145" s="158">
        <f t="shared" si="94"/>
        <v>13184.574458947151</v>
      </c>
      <c r="AF145" s="158">
        <f t="shared" si="94"/>
        <v>13545.894305092768</v>
      </c>
      <c r="AG145" s="158">
        <f t="shared" si="94"/>
        <v>14117.889381290612</v>
      </c>
      <c r="AH145" s="187">
        <f t="shared" si="94"/>
        <v>14604.511449175363</v>
      </c>
      <c r="AI145" s="48"/>
    </row>
    <row r="146" spans="1:35" s="1" customFormat="1">
      <c r="A146" s="1" t="s">
        <v>335</v>
      </c>
      <c r="B146" s="13"/>
      <c r="C146" s="341">
        <f>C145-'Output - Jobs vs Yr (BAU)'!C73</f>
        <v>-5.1698520000009012</v>
      </c>
      <c r="D146" s="341">
        <f>D145-'Output - Jobs vs Yr (BAU)'!D73</f>
        <v>23.433109164404868</v>
      </c>
      <c r="E146" s="341">
        <f>E145-'Output - Jobs vs Yr (BAU)'!E73</f>
        <v>81.884227507223841</v>
      </c>
      <c r="F146" s="341">
        <f>F145-'Output - Jobs vs Yr (BAU)'!F73</f>
        <v>250.0362762899731</v>
      </c>
      <c r="G146" s="341">
        <f>G145-'Output - Jobs vs Yr (BAU)'!G73</f>
        <v>405.51487062370961</v>
      </c>
      <c r="H146" s="405">
        <f>H145-'Output - Jobs vs Yr (BAU)'!H73</f>
        <v>64.576581040546444</v>
      </c>
      <c r="I146" s="15">
        <f>I145-'Output - Jobs vs Yr (BAU)'!I73</f>
        <v>74.518398574138246</v>
      </c>
      <c r="J146" s="15">
        <f>J145-'Output - Jobs vs Yr (BAU)'!J73</f>
        <v>74.505117717384564</v>
      </c>
      <c r="K146" s="15">
        <f>K145-'Output - Jobs vs Yr (BAU)'!K73</f>
        <v>115.92304898702059</v>
      </c>
      <c r="L146" s="15">
        <f>L145-'Output - Jobs vs Yr (BAU)'!L73</f>
        <v>193.10089678910299</v>
      </c>
      <c r="M146" s="15">
        <f>M145-'Output - Jobs vs Yr (BAU)'!M73</f>
        <v>396.26664035797421</v>
      </c>
      <c r="N146" s="182">
        <f>N145-'Output - Jobs vs Yr (BAU)'!N73</f>
        <v>637.17537902511322</v>
      </c>
      <c r="O146" s="15">
        <f>O145-'Output - Jobs vs Yr (BAU)'!O73</f>
        <v>773.16385251465363</v>
      </c>
      <c r="P146" s="15">
        <f>P145-'Output - Jobs vs Yr (BAU)'!P73</f>
        <v>897.62845851438124</v>
      </c>
      <c r="Q146" s="15">
        <f>Q145-'Output - Jobs vs Yr (BAU)'!Q73</f>
        <v>990.57234265330408</v>
      </c>
      <c r="R146" s="15">
        <f>R145-'Output - Jobs vs Yr (BAU)'!R73</f>
        <v>1044.4515744723303</v>
      </c>
      <c r="S146" s="15">
        <f>S145-'Output - Jobs vs Yr (BAU)'!S73</f>
        <v>1081.2063636924395</v>
      </c>
      <c r="T146" s="15">
        <f>T145-'Output - Jobs vs Yr (BAU)'!T73</f>
        <v>1167.567236332392</v>
      </c>
      <c r="U146" s="15">
        <f>U145-'Output - Jobs vs Yr (BAU)'!U73</f>
        <v>1251.9785805749352</v>
      </c>
      <c r="V146" s="15">
        <f>V145-'Output - Jobs vs Yr (BAU)'!V73</f>
        <v>1356.9765067614608</v>
      </c>
      <c r="W146" s="15">
        <f>W145-'Output - Jobs vs Yr (BAU)'!W73</f>
        <v>1546.0055318907562</v>
      </c>
      <c r="X146" s="190">
        <f>X145-'Output - Jobs vs Yr (BAU)'!X73</f>
        <v>1715.8904382032615</v>
      </c>
      <c r="Y146" s="130">
        <f>Y145-'Output - Jobs vs Yr (BAU)'!Y73</f>
        <v>1724.1790738667696</v>
      </c>
      <c r="Z146" s="130">
        <f>Z145-'Output - Jobs vs Yr (BAU)'!Z73</f>
        <v>1776.9438536436883</v>
      </c>
      <c r="AA146" s="130">
        <f>AA145-'Output - Jobs vs Yr (BAU)'!AA73</f>
        <v>1812.2850556175945</v>
      </c>
      <c r="AB146" s="130">
        <f>AB145-'Output - Jobs vs Yr (BAU)'!AB73</f>
        <v>1849.7885303880812</v>
      </c>
      <c r="AC146" s="130">
        <f>AC145-'Output - Jobs vs Yr (BAU)'!AC73</f>
        <v>1989.7241213062316</v>
      </c>
      <c r="AD146" s="130">
        <f>AD145-'Output - Jobs vs Yr (BAU)'!AD73</f>
        <v>2080.1053208825688</v>
      </c>
      <c r="AE146" s="130">
        <f>AE145-'Output - Jobs vs Yr (BAU)'!AE73</f>
        <v>2192.8258003615483</v>
      </c>
      <c r="AF146" s="130">
        <f>AF145-'Output - Jobs vs Yr (BAU)'!AF73</f>
        <v>2336.3077001059082</v>
      </c>
      <c r="AG146" s="130">
        <f>AG145-'Output - Jobs vs Yr (BAU)'!AG73</f>
        <v>2544.7956940797467</v>
      </c>
      <c r="AH146" s="190">
        <f>AH145-'Output - Jobs vs Yr (BAU)'!AH73</f>
        <v>2779.1923771713937</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8801.3764979999996</v>
      </c>
      <c r="D176" s="334">
        <f>'Output - Jobs vs Yr (BAU)'!D55+'Output - Jobs vs Yr (BAU)'!D73</f>
        <v>8327.6331199999986</v>
      </c>
      <c r="E176" s="334">
        <f>'Output - Jobs vs Yr (BAU)'!E55+'Output - Jobs vs Yr (BAU)'!E73</f>
        <v>7895.9922915503366</v>
      </c>
      <c r="F176" s="334">
        <f>'Output - Jobs vs Yr (BAU)'!F55+'Output - Jobs vs Yr (BAU)'!F73</f>
        <v>8828.2572210172002</v>
      </c>
      <c r="G176" s="334">
        <f>'Output - Jobs vs Yr (BAU)'!G55+'Output - Jobs vs Yr (BAU)'!G73</f>
        <v>10190.405986738733</v>
      </c>
      <c r="H176" s="404">
        <f>'Output - Jobs vs Yr (BAU)'!H55+'Output - Jobs vs Yr (BAU)'!H73</f>
        <v>10210.652003437823</v>
      </c>
      <c r="I176" s="19">
        <f>'Output - Jobs vs Yr (BAU)'!I55+'Output - Jobs vs Yr (BAU)'!I73</f>
        <v>7943.8391351407045</v>
      </c>
      <c r="J176" s="19">
        <f>'Output - Jobs vs Yr (BAU)'!J55+'Output - Jobs vs Yr (BAU)'!J73</f>
        <v>8753.3979289971085</v>
      </c>
      <c r="K176" s="19">
        <f>'Output - Jobs vs Yr (BAU)'!K55+'Output - Jobs vs Yr (BAU)'!K73</f>
        <v>9266.8646278272645</v>
      </c>
      <c r="L176" s="19">
        <f>'Output - Jobs vs Yr (BAU)'!L55+'Output - Jobs vs Yr (BAU)'!L73</f>
        <v>10106.441551797991</v>
      </c>
      <c r="M176" s="19">
        <f>'Output - Jobs vs Yr (BAU)'!M55+'Output - Jobs vs Yr (BAU)'!M73</f>
        <v>10399.144020780193</v>
      </c>
      <c r="N176" s="182">
        <f>'Output - Jobs vs Yr (BAU)'!N55+'Output - Jobs vs Yr (BAU)'!N73</f>
        <v>10725.353093742746</v>
      </c>
      <c r="O176" s="19">
        <f>'Output - Jobs vs Yr (BAU)'!O55+'Output - Jobs vs Yr (BAU)'!O73</f>
        <v>11733.714364378022</v>
      </c>
      <c r="P176" s="19">
        <f>'Output - Jobs vs Yr (BAU)'!P55+'Output - Jobs vs Yr (BAU)'!P73</f>
        <v>12824.452212857546</v>
      </c>
      <c r="Q176" s="19">
        <f>'Output - Jobs vs Yr (BAU)'!Q55+'Output - Jobs vs Yr (BAU)'!Q73</f>
        <v>13718.603370968172</v>
      </c>
      <c r="R176" s="19">
        <f>'Output - Jobs vs Yr (BAU)'!R55+'Output - Jobs vs Yr (BAU)'!R73</f>
        <v>14297.816641803945</v>
      </c>
      <c r="S176" s="19">
        <f>'Output - Jobs vs Yr (BAU)'!S55+'Output - Jobs vs Yr (BAU)'!S73</f>
        <v>15195.928935736471</v>
      </c>
      <c r="T176" s="19">
        <f>'Output - Jobs vs Yr (BAU)'!T55+'Output - Jobs vs Yr (BAU)'!T73</f>
        <v>16275.663318789959</v>
      </c>
      <c r="U176" s="19">
        <f>'Output - Jobs vs Yr (BAU)'!U55+'Output - Jobs vs Yr (BAU)'!U73</f>
        <v>17031.893903174307</v>
      </c>
      <c r="V176" s="19">
        <f>'Output - Jobs vs Yr (BAU)'!V55+'Output - Jobs vs Yr (BAU)'!V73</f>
        <v>17525.834196265852</v>
      </c>
      <c r="W176" s="19">
        <f>'Output - Jobs vs Yr (BAU)'!W55+'Output - Jobs vs Yr (BAU)'!W73</f>
        <v>18175.921136128571</v>
      </c>
      <c r="X176" s="182">
        <f>'Output - Jobs vs Yr (BAU)'!X55+'Output - Jobs vs Yr (BAU)'!X73</f>
        <v>18899.855106737396</v>
      </c>
      <c r="Y176" s="206">
        <f>'Output - Jobs vs Yr (BAU)'!Y55+'Output - Jobs vs Yr (BAU)'!Y73</f>
        <v>19412.177374703504</v>
      </c>
      <c r="Z176" s="206">
        <f>'Output - Jobs vs Yr (BAU)'!Z55+'Output - Jobs vs Yr (BAU)'!Z73</f>
        <v>20677.446710110351</v>
      </c>
      <c r="AA176" s="206">
        <f>'Output - Jobs vs Yr (BAU)'!AA55+'Output - Jobs vs Yr (BAU)'!AA73</f>
        <v>21603.584268848332</v>
      </c>
      <c r="AB176" s="206">
        <f>'Output - Jobs vs Yr (BAU)'!AB55+'Output - Jobs vs Yr (BAU)'!AB73</f>
        <v>22430.091656059714</v>
      </c>
      <c r="AC176" s="206">
        <f>'Output - Jobs vs Yr (BAU)'!AC55+'Output - Jobs vs Yr (BAU)'!AC73</f>
        <v>22832.494894823787</v>
      </c>
      <c r="AD176" s="206">
        <f>'Output - Jobs vs Yr (BAU)'!AD55+'Output - Jobs vs Yr (BAU)'!AD73</f>
        <v>22978.75892384912</v>
      </c>
      <c r="AE176" s="206">
        <f>'Output - Jobs vs Yr (BAU)'!AE55+'Output - Jobs vs Yr (BAU)'!AE73</f>
        <v>23204.802723680717</v>
      </c>
      <c r="AF176" s="206">
        <f>'Output - Jobs vs Yr (BAU)'!AF55+'Output - Jobs vs Yr (BAU)'!AF73</f>
        <v>23664.682832750037</v>
      </c>
      <c r="AG176" s="206">
        <f>'Output - Jobs vs Yr (BAU)'!AG55+'Output - Jobs vs Yr (BAU)'!AG73</f>
        <v>24432.086673000715</v>
      </c>
      <c r="AH176" s="182">
        <f>'Output - Jobs vs Yr (BAU)'!AH55+'Output - Jobs vs Yr (BAU)'!AH73</f>
        <v>24964.562485341718</v>
      </c>
      <c r="AI176" s="1"/>
    </row>
    <row r="177" spans="1:35">
      <c r="A177" s="76" t="s">
        <v>300</v>
      </c>
      <c r="C177" s="334">
        <f>'Output - Jobs vs Yr (BAU)'!C55</f>
        <v>4632.3034200000002</v>
      </c>
      <c r="D177" s="334">
        <f>'Output - Jobs vs Yr (BAU)'!D55</f>
        <v>4382.9647999999997</v>
      </c>
      <c r="E177" s="334">
        <f>'Output - Jobs vs Yr (BAU)'!E55</f>
        <v>4155.7854166054403</v>
      </c>
      <c r="F177" s="334">
        <f>'Output - Jobs vs Yr (BAU)'!F55</f>
        <v>4646.4511689564215</v>
      </c>
      <c r="G177" s="334">
        <f>'Output - Jobs vs Yr (BAU)'!G55</f>
        <v>5363.3715719677548</v>
      </c>
      <c r="H177" s="404">
        <f>'Output - Jobs vs Yr (BAU)'!H55</f>
        <v>5374.027370230433</v>
      </c>
      <c r="I177" s="19">
        <f>'Output - Jobs vs Yr (BAU)'!I55</f>
        <v>4180.9679658635287</v>
      </c>
      <c r="J177" s="19">
        <f>'Output - Jobs vs Yr (BAU)'!J55</f>
        <v>4607.0515415774253</v>
      </c>
      <c r="K177" s="19">
        <f>'Output - Jobs vs Yr (BAU)'!K55</f>
        <v>4877.2971725406651</v>
      </c>
      <c r="L177" s="19">
        <f>'Output - Jobs vs Yr (BAU)'!L55</f>
        <v>5319.1797641042049</v>
      </c>
      <c r="M177" s="19">
        <f>'Output - Jobs vs Yr (BAU)'!M55</f>
        <v>5473.2336951474699</v>
      </c>
      <c r="N177" s="182">
        <f>'Output - Jobs vs Yr (BAU)'!N55</f>
        <v>5644.9226809172351</v>
      </c>
      <c r="O177" s="19">
        <f>'Output - Jobs vs Yr (BAU)'!O55</f>
        <v>6175.6391391463276</v>
      </c>
      <c r="P177" s="19">
        <f>'Output - Jobs vs Yr (BAU)'!P55</f>
        <v>6749.711690977656</v>
      </c>
      <c r="Q177" s="19">
        <f>'Output - Jobs vs Yr (BAU)'!Q55</f>
        <v>7220.3175636674587</v>
      </c>
      <c r="R177" s="19">
        <f>'Output - Jobs vs Yr (BAU)'!R55</f>
        <v>7525.1666535810236</v>
      </c>
      <c r="S177" s="19">
        <f>'Output - Jobs vs Yr (BAU)'!S55</f>
        <v>7997.8573345981422</v>
      </c>
      <c r="T177" s="19">
        <f>'Output - Jobs vs Yr (BAU)'!T55</f>
        <v>8566.1385888368204</v>
      </c>
      <c r="U177" s="19">
        <f>'Output - Jobs vs Yr (BAU)'!U55</f>
        <v>8964.1546858812144</v>
      </c>
      <c r="V177" s="19">
        <f>'Output - Jobs vs Yr (BAU)'!V55</f>
        <v>9224.1232611925534</v>
      </c>
      <c r="W177" s="19">
        <f>'Output - Jobs vs Yr (BAU)'!W55</f>
        <v>9566.2742821729335</v>
      </c>
      <c r="X177" s="182">
        <f>'Output - Jobs vs Yr (BAU)'!X55</f>
        <v>9947.2921614407351</v>
      </c>
      <c r="Y177" s="206">
        <f>'Output - Jobs vs Yr (BAU)'!Y55</f>
        <v>10216.935460370267</v>
      </c>
      <c r="Z177" s="206">
        <f>'Output - Jobs vs Yr (BAU)'!Z55</f>
        <v>10882.866689531764</v>
      </c>
      <c r="AA177" s="206">
        <f>'Output - Jobs vs Yr (BAU)'!AA55</f>
        <v>11370.307509920176</v>
      </c>
      <c r="AB177" s="206">
        <f>'Output - Jobs vs Yr (BAU)'!AB55</f>
        <v>11805.311397926165</v>
      </c>
      <c r="AC177" s="206">
        <f>'Output - Jobs vs Yr (BAU)'!AC55</f>
        <v>12017.102576223046</v>
      </c>
      <c r="AD177" s="206">
        <f>'Output - Jobs vs Yr (BAU)'!AD55</f>
        <v>12094.083644131117</v>
      </c>
      <c r="AE177" s="206">
        <f>'Output - Jobs vs Yr (BAU)'!AE55</f>
        <v>12213.054065095115</v>
      </c>
      <c r="AF177" s="206">
        <f>'Output - Jobs vs Yr (BAU)'!AF55</f>
        <v>12455.096227763177</v>
      </c>
      <c r="AG177" s="206">
        <f>'Output - Jobs vs Yr (BAU)'!AG55</f>
        <v>12858.99298578985</v>
      </c>
      <c r="AH177" s="182">
        <f>'Output - Jobs vs Yr (BAU)'!AH55</f>
        <v>13139.243413337746</v>
      </c>
      <c r="AI177" s="1"/>
    </row>
    <row r="178" spans="1:35">
      <c r="A178" s="76" t="s">
        <v>301</v>
      </c>
      <c r="C178" s="334">
        <f>'Output - Jobs vs Yr (BAU)'!C73</f>
        <v>4169.0730779999994</v>
      </c>
      <c r="D178" s="334">
        <f>'Output - Jobs vs Yr (BAU)'!D73</f>
        <v>3944.6683199999998</v>
      </c>
      <c r="E178" s="334">
        <f>'Output - Jobs vs Yr (BAU)'!E73</f>
        <v>3740.2068749448963</v>
      </c>
      <c r="F178" s="334">
        <f>'Output - Jobs vs Yr (BAU)'!F73</f>
        <v>4181.8060520607796</v>
      </c>
      <c r="G178" s="334">
        <f>'Output - Jobs vs Yr (BAU)'!G73</f>
        <v>4827.0344147709793</v>
      </c>
      <c r="H178" s="404">
        <f>'Output - Jobs vs Yr (BAU)'!H73</f>
        <v>4836.6246332073897</v>
      </c>
      <c r="I178" s="19">
        <f>'Output - Jobs vs Yr (BAU)'!I73</f>
        <v>3762.8711692771758</v>
      </c>
      <c r="J178" s="19">
        <f>'Output - Jobs vs Yr (BAU)'!J73</f>
        <v>4146.3463874196832</v>
      </c>
      <c r="K178" s="19">
        <f>'Output - Jobs vs Yr (BAU)'!K73</f>
        <v>4389.5674552865994</v>
      </c>
      <c r="L178" s="19">
        <f>'Output - Jobs vs Yr (BAU)'!L73</f>
        <v>4787.2617876937848</v>
      </c>
      <c r="M178" s="19">
        <f>'Output - Jobs vs Yr (BAU)'!M73</f>
        <v>4925.9103256327226</v>
      </c>
      <c r="N178" s="182">
        <f>'Output - Jobs vs Yr (BAU)'!N73</f>
        <v>5080.4304128255117</v>
      </c>
      <c r="O178" s="19">
        <f>'Output - Jobs vs Yr (BAU)'!O73</f>
        <v>5558.0752252316943</v>
      </c>
      <c r="P178" s="19">
        <f>'Output - Jobs vs Yr (BAU)'!P73</f>
        <v>6074.7405218798904</v>
      </c>
      <c r="Q178" s="19">
        <f>'Output - Jobs vs Yr (BAU)'!Q73</f>
        <v>6498.2858073007137</v>
      </c>
      <c r="R178" s="19">
        <f>'Output - Jobs vs Yr (BAU)'!R73</f>
        <v>6772.6499882229218</v>
      </c>
      <c r="S178" s="19">
        <f>'Output - Jobs vs Yr (BAU)'!S73</f>
        <v>7198.0716011383283</v>
      </c>
      <c r="T178" s="19">
        <f>'Output - Jobs vs Yr (BAU)'!T73</f>
        <v>7709.5247299531384</v>
      </c>
      <c r="U178" s="19">
        <f>'Output - Jobs vs Yr (BAU)'!U73</f>
        <v>8067.7392172930931</v>
      </c>
      <c r="V178" s="19">
        <f>'Output - Jobs vs Yr (BAU)'!V73</f>
        <v>8301.710935073299</v>
      </c>
      <c r="W178" s="19">
        <f>'Output - Jobs vs Yr (BAU)'!W73</f>
        <v>8609.646853955639</v>
      </c>
      <c r="X178" s="182">
        <f>'Output - Jobs vs Yr (BAU)'!X73</f>
        <v>8952.5629452966605</v>
      </c>
      <c r="Y178" s="206">
        <f>'Output - Jobs vs Yr (BAU)'!Y73</f>
        <v>9195.241914333239</v>
      </c>
      <c r="Z178" s="206">
        <f>'Output - Jobs vs Yr (BAU)'!Z73</f>
        <v>9794.5800205785854</v>
      </c>
      <c r="AA178" s="206">
        <f>'Output - Jobs vs Yr (BAU)'!AA73</f>
        <v>10233.276758928158</v>
      </c>
      <c r="AB178" s="206">
        <f>'Output - Jobs vs Yr (BAU)'!AB73</f>
        <v>10624.780258133549</v>
      </c>
      <c r="AC178" s="206">
        <f>'Output - Jobs vs Yr (BAU)'!AC73</f>
        <v>10815.392318600741</v>
      </c>
      <c r="AD178" s="206">
        <f>'Output - Jobs vs Yr (BAU)'!AD73</f>
        <v>10884.675279718005</v>
      </c>
      <c r="AE178" s="206">
        <f>'Output - Jobs vs Yr (BAU)'!AE73</f>
        <v>10991.748658585602</v>
      </c>
      <c r="AF178" s="206">
        <f>'Output - Jobs vs Yr (BAU)'!AF73</f>
        <v>11209.58660498686</v>
      </c>
      <c r="AG178" s="206">
        <f>'Output - Jobs vs Yr (BAU)'!AG73</f>
        <v>11573.093687210865</v>
      </c>
      <c r="AH178" s="182">
        <f>'Output - Jobs vs Yr (BAU)'!AH73</f>
        <v>11825.319072003969</v>
      </c>
      <c r="AI178" s="80" t="s">
        <v>0</v>
      </c>
    </row>
    <row r="179" spans="1:35">
      <c r="A179" s="75" t="s">
        <v>298</v>
      </c>
      <c r="C179" s="331">
        <f>SUM(C118,C145)</f>
        <v>8790.4626659999976</v>
      </c>
      <c r="D179" s="331">
        <f t="shared" ref="D179:AH179" si="99">SUM(D118,D145)+D249+D252</f>
        <v>8377.1033211434933</v>
      </c>
      <c r="E179" s="331">
        <f t="shared" si="99"/>
        <v>8068.8593084618278</v>
      </c>
      <c r="F179" s="331">
        <f t="shared" si="99"/>
        <v>9356.1119696003661</v>
      </c>
      <c r="G179" s="331">
        <f t="shared" si="99"/>
        <v>11046.493420264995</v>
      </c>
      <c r="H179" s="402">
        <f>SUM(H118,H145)+H249+H252</f>
        <v>10346.980641190086</v>
      </c>
      <c r="I179" s="14">
        <f t="shared" si="99"/>
        <v>8101.1560543527739</v>
      </c>
      <c r="J179" s="14">
        <f t="shared" si="99"/>
        <v>8910.6868108449198</v>
      </c>
      <c r="K179" s="14">
        <f t="shared" si="99"/>
        <v>9511.5913905863781</v>
      </c>
      <c r="L179" s="14">
        <f t="shared" si="99"/>
        <v>10514.099383552699</v>
      </c>
      <c r="M179" s="14">
        <f t="shared" si="99"/>
        <v>11235.707356312625</v>
      </c>
      <c r="N179" s="187">
        <f t="shared" si="99"/>
        <v>12070.501594306166</v>
      </c>
      <c r="O179" s="14">
        <f t="shared" si="99"/>
        <v>13365.94970992233</v>
      </c>
      <c r="P179" s="14">
        <f t="shared" si="99"/>
        <v>14719.446244632189</v>
      </c>
      <c r="Q179" s="14">
        <f t="shared" si="99"/>
        <v>15809.812335162969</v>
      </c>
      <c r="R179" s="14">
        <f t="shared" si="99"/>
        <v>16502.770702271235</v>
      </c>
      <c r="S179" s="14">
        <f t="shared" si="99"/>
        <v>17478.476506589759</v>
      </c>
      <c r="T179" s="14">
        <f t="shared" si="99"/>
        <v>18740.528370407992</v>
      </c>
      <c r="U179" s="14">
        <f t="shared" si="99"/>
        <v>19674.960752355364</v>
      </c>
      <c r="V179" s="14">
        <f t="shared" si="99"/>
        <v>20390.563396903737</v>
      </c>
      <c r="W179" s="14">
        <f t="shared" si="99"/>
        <v>21439.711694401478</v>
      </c>
      <c r="X179" s="187">
        <f t="shared" si="99"/>
        <v>22522.291665813704</v>
      </c>
      <c r="Y179" s="158">
        <f t="shared" si="99"/>
        <v>23052.112215744099</v>
      </c>
      <c r="Z179" s="158">
        <f t="shared" si="99"/>
        <v>24428.773962815139</v>
      </c>
      <c r="AA179" s="158">
        <f t="shared" si="99"/>
        <v>25429.52080653275</v>
      </c>
      <c r="AB179" s="158">
        <f t="shared" si="99"/>
        <v>26335.202273695475</v>
      </c>
      <c r="AC179" s="158">
        <f t="shared" si="99"/>
        <v>27033.025160979218</v>
      </c>
      <c r="AD179" s="158">
        <f t="shared" si="99"/>
        <v>27370.093992741447</v>
      </c>
      <c r="AE179" s="158">
        <f t="shared" si="99"/>
        <v>27834.103305834367</v>
      </c>
      <c r="AF179" s="158">
        <f t="shared" si="99"/>
        <v>28596.889723676875</v>
      </c>
      <c r="AG179" s="158">
        <f t="shared" si="99"/>
        <v>29804.434989930778</v>
      </c>
      <c r="AH179" s="187">
        <f t="shared" si="99"/>
        <v>30831.748341101629</v>
      </c>
    </row>
    <row r="180" spans="1:35">
      <c r="A180" s="76" t="s">
        <v>302</v>
      </c>
      <c r="C180" s="331">
        <f>C118</f>
        <v>4626.5594399999991</v>
      </c>
      <c r="D180" s="331">
        <f t="shared" ref="D180:AH180" si="100">D118+D250+D253</f>
        <v>4409.0018919790882</v>
      </c>
      <c r="E180" s="331">
        <f t="shared" si="100"/>
        <v>4246.7682060097077</v>
      </c>
      <c r="F180" s="331">
        <f t="shared" si="100"/>
        <v>4924.2696412496134</v>
      </c>
      <c r="G180" s="331">
        <f t="shared" si="100"/>
        <v>5813.9441348703058</v>
      </c>
      <c r="H180" s="402">
        <f t="shared" si="100"/>
        <v>5445.7794269421511</v>
      </c>
      <c r="I180" s="14">
        <f t="shared" si="100"/>
        <v>4263.7664865014603</v>
      </c>
      <c r="J180" s="14">
        <f t="shared" si="100"/>
        <v>4689.835305707853</v>
      </c>
      <c r="K180" s="14">
        <f t="shared" si="100"/>
        <v>5006.100886312759</v>
      </c>
      <c r="L180" s="14">
        <f t="shared" si="100"/>
        <v>5533.736699069811</v>
      </c>
      <c r="M180" s="14">
        <f t="shared" si="100"/>
        <v>5913.5303903219283</v>
      </c>
      <c r="N180" s="187">
        <f t="shared" si="100"/>
        <v>6352.8958024555413</v>
      </c>
      <c r="O180" s="14">
        <f t="shared" si="100"/>
        <v>7034.710632175982</v>
      </c>
      <c r="P180" s="14">
        <f t="shared" si="100"/>
        <v>7747.0772642379179</v>
      </c>
      <c r="Q180" s="14">
        <f t="shared" si="100"/>
        <v>8320.9541852089515</v>
      </c>
      <c r="R180" s="14">
        <f t="shared" si="100"/>
        <v>8685.6691395759844</v>
      </c>
      <c r="S180" s="14">
        <f t="shared" si="100"/>
        <v>9199.1985417589931</v>
      </c>
      <c r="T180" s="14">
        <f t="shared" si="100"/>
        <v>9863.4364041224617</v>
      </c>
      <c r="U180" s="14">
        <f t="shared" si="100"/>
        <v>10355.242954487338</v>
      </c>
      <c r="V180" s="14">
        <f t="shared" si="100"/>
        <v>10731.875955068979</v>
      </c>
      <c r="W180" s="14">
        <f t="shared" si="100"/>
        <v>11284.059308555081</v>
      </c>
      <c r="X180" s="187">
        <f t="shared" si="100"/>
        <v>11853.83828231378</v>
      </c>
      <c r="Y180" s="158">
        <f t="shared" si="100"/>
        <v>12132.691227544088</v>
      </c>
      <c r="Z180" s="158">
        <f t="shared" si="100"/>
        <v>12857.250088592868</v>
      </c>
      <c r="AA180" s="158">
        <f t="shared" si="100"/>
        <v>13383.958991986998</v>
      </c>
      <c r="AB180" s="158">
        <f t="shared" si="100"/>
        <v>13860.633485173847</v>
      </c>
      <c r="AC180" s="158">
        <f t="shared" si="100"/>
        <v>14227.908721072246</v>
      </c>
      <c r="AD180" s="158">
        <f t="shared" si="100"/>
        <v>14405.313392140873</v>
      </c>
      <c r="AE180" s="158">
        <f t="shared" si="100"/>
        <v>14649.528846887215</v>
      </c>
      <c r="AF180" s="158">
        <f t="shared" si="100"/>
        <v>15050.995418584105</v>
      </c>
      <c r="AG180" s="158">
        <f t="shared" si="100"/>
        <v>15686.545608640168</v>
      </c>
      <c r="AH180" s="187">
        <f t="shared" si="100"/>
        <v>16227.236891926264</v>
      </c>
    </row>
    <row r="181" spans="1:35">
      <c r="A181" s="76" t="s">
        <v>303</v>
      </c>
      <c r="C181" s="331">
        <f>C145</f>
        <v>4163.9032259999985</v>
      </c>
      <c r="D181" s="331">
        <f t="shared" ref="D181:AH181" si="101">D145+D251+D254</f>
        <v>3968.1014291644046</v>
      </c>
      <c r="E181" s="331">
        <f t="shared" si="101"/>
        <v>3822.0911024521201</v>
      </c>
      <c r="F181" s="331">
        <f t="shared" si="101"/>
        <v>4431.8423283507527</v>
      </c>
      <c r="G181" s="331">
        <f t="shared" si="101"/>
        <v>5232.5492853946889</v>
      </c>
      <c r="H181" s="402">
        <f>H145+H251+H254</f>
        <v>4901.2012142479362</v>
      </c>
      <c r="I181" s="14">
        <f t="shared" si="101"/>
        <v>3837.389567851314</v>
      </c>
      <c r="J181" s="14">
        <f t="shared" si="101"/>
        <v>4220.8515051370678</v>
      </c>
      <c r="K181" s="14">
        <f t="shared" si="101"/>
        <v>4505.49050427362</v>
      </c>
      <c r="L181" s="14">
        <f t="shared" si="101"/>
        <v>4980.3626844828877</v>
      </c>
      <c r="M181" s="14">
        <f t="shared" si="101"/>
        <v>5322.1769659906968</v>
      </c>
      <c r="N181" s="187">
        <f t="shared" si="101"/>
        <v>5717.6057918506249</v>
      </c>
      <c r="O181" s="14">
        <f t="shared" si="101"/>
        <v>6331.2390777463479</v>
      </c>
      <c r="P181" s="14">
        <f t="shared" si="101"/>
        <v>6972.3689803942716</v>
      </c>
      <c r="Q181" s="14">
        <f t="shared" si="101"/>
        <v>7488.8581499540178</v>
      </c>
      <c r="R181" s="14">
        <f t="shared" si="101"/>
        <v>7817.1015626952521</v>
      </c>
      <c r="S181" s="14">
        <f t="shared" si="101"/>
        <v>8279.2779648307678</v>
      </c>
      <c r="T181" s="14">
        <f t="shared" si="101"/>
        <v>8877.0919662855304</v>
      </c>
      <c r="U181" s="14">
        <f t="shared" si="101"/>
        <v>9319.7177978680284</v>
      </c>
      <c r="V181" s="14">
        <f t="shared" si="101"/>
        <v>9658.6874418347597</v>
      </c>
      <c r="W181" s="14">
        <f t="shared" si="101"/>
        <v>10155.652385846395</v>
      </c>
      <c r="X181" s="187">
        <f t="shared" si="101"/>
        <v>10668.453383499922</v>
      </c>
      <c r="Y181" s="158">
        <f t="shared" si="101"/>
        <v>10919.420988200009</v>
      </c>
      <c r="Z181" s="158">
        <f t="shared" si="101"/>
        <v>11571.523874222274</v>
      </c>
      <c r="AA181" s="158">
        <f t="shared" si="101"/>
        <v>12045.561814545752</v>
      </c>
      <c r="AB181" s="158">
        <f t="shared" si="101"/>
        <v>12474.56878852163</v>
      </c>
      <c r="AC181" s="158">
        <f t="shared" si="101"/>
        <v>12805.116439906973</v>
      </c>
      <c r="AD181" s="158">
        <f t="shared" si="101"/>
        <v>12964.780600600574</v>
      </c>
      <c r="AE181" s="158">
        <f t="shared" si="101"/>
        <v>13184.574458947151</v>
      </c>
      <c r="AF181" s="158">
        <f t="shared" si="101"/>
        <v>13545.894305092768</v>
      </c>
      <c r="AG181" s="158">
        <f t="shared" si="101"/>
        <v>14117.889381290612</v>
      </c>
      <c r="AH181" s="187">
        <f t="shared" si="101"/>
        <v>14604.511449175363</v>
      </c>
      <c r="AI181" s="31" t="s">
        <v>0</v>
      </c>
    </row>
    <row r="182" spans="1:35" s="1" customFormat="1">
      <c r="A182" s="75" t="s">
        <v>304</v>
      </c>
      <c r="B182" s="13"/>
      <c r="C182" s="341" t="s">
        <v>0</v>
      </c>
      <c r="D182" s="341">
        <f t="shared" ref="D182:AH182" si="102">D179-D176</f>
        <v>49.470201143494705</v>
      </c>
      <c r="E182" s="341">
        <f t="shared" si="102"/>
        <v>172.86701691149119</v>
      </c>
      <c r="F182" s="341">
        <f t="shared" si="102"/>
        <v>527.85474858316593</v>
      </c>
      <c r="G182" s="341">
        <f t="shared" si="102"/>
        <v>856.08743352626152</v>
      </c>
      <c r="H182" s="405">
        <f>H179-H176</f>
        <v>136.3286377522636</v>
      </c>
      <c r="I182" s="15">
        <f t="shared" si="102"/>
        <v>157.31691921206948</v>
      </c>
      <c r="J182" s="15">
        <f t="shared" si="102"/>
        <v>157.28888184781135</v>
      </c>
      <c r="K182" s="15">
        <f t="shared" si="102"/>
        <v>244.72676275911363</v>
      </c>
      <c r="L182" s="15">
        <f t="shared" si="102"/>
        <v>407.65783175470824</v>
      </c>
      <c r="M182" s="15">
        <f t="shared" si="102"/>
        <v>836.56333553243167</v>
      </c>
      <c r="N182" s="190">
        <f t="shared" si="102"/>
        <v>1345.1485005634204</v>
      </c>
      <c r="O182" s="15">
        <f t="shared" si="102"/>
        <v>1632.2353455443081</v>
      </c>
      <c r="P182" s="15">
        <f t="shared" si="102"/>
        <v>1894.9940317746423</v>
      </c>
      <c r="Q182" s="15">
        <f t="shared" si="102"/>
        <v>2091.2089641947969</v>
      </c>
      <c r="R182" s="15">
        <f t="shared" si="102"/>
        <v>2204.9540604672893</v>
      </c>
      <c r="S182" s="15">
        <f t="shared" si="102"/>
        <v>2282.5475708532886</v>
      </c>
      <c r="T182" s="15">
        <f t="shared" si="102"/>
        <v>2464.8650516180332</v>
      </c>
      <c r="U182" s="15">
        <f t="shared" si="102"/>
        <v>2643.0668491810575</v>
      </c>
      <c r="V182" s="15">
        <f t="shared" si="102"/>
        <v>2864.7292006378848</v>
      </c>
      <c r="W182" s="15">
        <f t="shared" si="102"/>
        <v>3263.7905582729072</v>
      </c>
      <c r="X182" s="190">
        <f t="shared" si="102"/>
        <v>3622.4365590763082</v>
      </c>
      <c r="Y182" s="130">
        <f t="shared" si="102"/>
        <v>3639.9348410405946</v>
      </c>
      <c r="Z182" s="130">
        <f t="shared" si="102"/>
        <v>3751.3272527047884</v>
      </c>
      <c r="AA182" s="130">
        <f t="shared" si="102"/>
        <v>3825.936537684418</v>
      </c>
      <c r="AB182" s="130">
        <f t="shared" si="102"/>
        <v>3905.1106176357607</v>
      </c>
      <c r="AC182" s="130">
        <f t="shared" si="102"/>
        <v>4200.5302661554306</v>
      </c>
      <c r="AD182" s="130">
        <f t="shared" si="102"/>
        <v>4391.3350688923274</v>
      </c>
      <c r="AE182" s="130">
        <f t="shared" si="102"/>
        <v>4629.3005821536499</v>
      </c>
      <c r="AF182" s="130">
        <f t="shared" si="102"/>
        <v>4932.2068909268382</v>
      </c>
      <c r="AG182" s="130">
        <f t="shared" si="102"/>
        <v>5372.3483169300634</v>
      </c>
      <c r="AH182" s="190">
        <f t="shared" si="102"/>
        <v>5867.1858557599116</v>
      </c>
    </row>
    <row r="183" spans="1:35" s="20" customFormat="1">
      <c r="A183" s="20" t="s">
        <v>305</v>
      </c>
      <c r="B183" s="33"/>
      <c r="C183" s="334" t="s">
        <v>0</v>
      </c>
      <c r="D183" s="334">
        <f t="shared" ref="D183:AH183" si="103">D180-D177</f>
        <v>26.037091979088473</v>
      </c>
      <c r="E183" s="334">
        <f t="shared" si="103"/>
        <v>90.982789404267351</v>
      </c>
      <c r="F183" s="334">
        <f t="shared" si="103"/>
        <v>277.81847229319192</v>
      </c>
      <c r="G183" s="334">
        <f t="shared" si="103"/>
        <v>450.572562902551</v>
      </c>
      <c r="H183" s="404">
        <f>H180-H177</f>
        <v>71.752056711718069</v>
      </c>
      <c r="I183" s="19">
        <f t="shared" si="103"/>
        <v>82.798520637931688</v>
      </c>
      <c r="J183" s="19">
        <f t="shared" si="103"/>
        <v>82.783764130427699</v>
      </c>
      <c r="K183" s="19">
        <f t="shared" si="103"/>
        <v>128.80371377209394</v>
      </c>
      <c r="L183" s="19">
        <f t="shared" si="103"/>
        <v>214.55693496560616</v>
      </c>
      <c r="M183" s="19">
        <f t="shared" si="103"/>
        <v>440.29669517445836</v>
      </c>
      <c r="N183" s="182">
        <f t="shared" si="103"/>
        <v>707.97312153830626</v>
      </c>
      <c r="O183" s="19">
        <f t="shared" si="103"/>
        <v>859.07149302965445</v>
      </c>
      <c r="P183" s="19">
        <f t="shared" si="103"/>
        <v>997.36557326026195</v>
      </c>
      <c r="Q183" s="19">
        <f t="shared" si="103"/>
        <v>1100.6366215414928</v>
      </c>
      <c r="R183" s="19">
        <f t="shared" si="103"/>
        <v>1160.5024859949608</v>
      </c>
      <c r="S183" s="19">
        <f t="shared" si="103"/>
        <v>1201.3412071608509</v>
      </c>
      <c r="T183" s="19">
        <f t="shared" si="103"/>
        <v>1297.2978152856413</v>
      </c>
      <c r="U183" s="19">
        <f t="shared" si="103"/>
        <v>1391.0882686061232</v>
      </c>
      <c r="V183" s="19">
        <f t="shared" si="103"/>
        <v>1507.7526938764258</v>
      </c>
      <c r="W183" s="19">
        <f t="shared" si="103"/>
        <v>1717.7850263821474</v>
      </c>
      <c r="X183" s="182">
        <f t="shared" si="103"/>
        <v>1906.5461208730449</v>
      </c>
      <c r="Y183" s="206">
        <f t="shared" si="103"/>
        <v>1915.7557671738214</v>
      </c>
      <c r="Z183" s="206">
        <f t="shared" si="103"/>
        <v>1974.3833990611038</v>
      </c>
      <c r="AA183" s="206">
        <f t="shared" si="103"/>
        <v>2013.6514820668217</v>
      </c>
      <c r="AB183" s="206">
        <f t="shared" si="103"/>
        <v>2055.3220872476813</v>
      </c>
      <c r="AC183" s="206">
        <f t="shared" si="103"/>
        <v>2210.8061448492008</v>
      </c>
      <c r="AD183" s="206">
        <f t="shared" si="103"/>
        <v>2311.2297480097568</v>
      </c>
      <c r="AE183" s="206">
        <f t="shared" si="103"/>
        <v>2436.4747817920997</v>
      </c>
      <c r="AF183" s="206">
        <f t="shared" si="103"/>
        <v>2595.8991908209282</v>
      </c>
      <c r="AG183" s="206">
        <f t="shared" si="103"/>
        <v>2827.5526228503186</v>
      </c>
      <c r="AH183" s="182">
        <f t="shared" si="103"/>
        <v>3087.993478588518</v>
      </c>
    </row>
    <row r="184" spans="1:35" s="20" customFormat="1">
      <c r="A184" s="20" t="s">
        <v>306</v>
      </c>
      <c r="B184" s="33"/>
      <c r="C184" s="334" t="s">
        <v>0</v>
      </c>
      <c r="D184" s="334">
        <f t="shared" ref="D184:AH184" si="104">D181-D178</f>
        <v>23.433109164404868</v>
      </c>
      <c r="E184" s="334">
        <f t="shared" si="104"/>
        <v>81.884227507223841</v>
      </c>
      <c r="F184" s="334">
        <f t="shared" si="104"/>
        <v>250.0362762899731</v>
      </c>
      <c r="G184" s="334">
        <f t="shared" si="104"/>
        <v>405.51487062370961</v>
      </c>
      <c r="H184" s="404">
        <f t="shared" si="104"/>
        <v>64.576581040546444</v>
      </c>
      <c r="I184" s="19">
        <f t="shared" si="104"/>
        <v>74.518398574138246</v>
      </c>
      <c r="J184" s="19">
        <f t="shared" si="104"/>
        <v>74.505117717384564</v>
      </c>
      <c r="K184" s="19">
        <f t="shared" si="104"/>
        <v>115.92304898702059</v>
      </c>
      <c r="L184" s="19">
        <f t="shared" si="104"/>
        <v>193.10089678910299</v>
      </c>
      <c r="M184" s="19">
        <f t="shared" si="104"/>
        <v>396.26664035797421</v>
      </c>
      <c r="N184" s="182">
        <f t="shared" si="104"/>
        <v>637.17537902511322</v>
      </c>
      <c r="O184" s="19">
        <f t="shared" si="104"/>
        <v>773.16385251465363</v>
      </c>
      <c r="P184" s="19">
        <f t="shared" si="104"/>
        <v>897.62845851438124</v>
      </c>
      <c r="Q184" s="19">
        <f t="shared" si="104"/>
        <v>990.57234265330408</v>
      </c>
      <c r="R184" s="19">
        <f t="shared" si="104"/>
        <v>1044.4515744723303</v>
      </c>
      <c r="S184" s="19">
        <f t="shared" si="104"/>
        <v>1081.2063636924395</v>
      </c>
      <c r="T184" s="19">
        <f t="shared" si="104"/>
        <v>1167.567236332392</v>
      </c>
      <c r="U184" s="19">
        <f t="shared" si="104"/>
        <v>1251.9785805749352</v>
      </c>
      <c r="V184" s="19">
        <f t="shared" si="104"/>
        <v>1356.9765067614608</v>
      </c>
      <c r="W184" s="19">
        <f t="shared" si="104"/>
        <v>1546.0055318907562</v>
      </c>
      <c r="X184" s="182">
        <f t="shared" si="104"/>
        <v>1715.8904382032615</v>
      </c>
      <c r="Y184" s="206">
        <f t="shared" si="104"/>
        <v>1724.1790738667696</v>
      </c>
      <c r="Z184" s="206">
        <f t="shared" si="104"/>
        <v>1776.9438536436883</v>
      </c>
      <c r="AA184" s="206">
        <f t="shared" si="104"/>
        <v>1812.2850556175945</v>
      </c>
      <c r="AB184" s="206">
        <f t="shared" si="104"/>
        <v>1849.7885303880812</v>
      </c>
      <c r="AC184" s="206">
        <f t="shared" si="104"/>
        <v>1989.7241213062316</v>
      </c>
      <c r="AD184" s="206">
        <f t="shared" si="104"/>
        <v>2080.1053208825688</v>
      </c>
      <c r="AE184" s="206">
        <f t="shared" si="104"/>
        <v>2192.8258003615483</v>
      </c>
      <c r="AF184" s="206">
        <f t="shared" si="104"/>
        <v>2336.3077001059082</v>
      </c>
      <c r="AG184" s="206">
        <f t="shared" si="104"/>
        <v>2544.7956940797467</v>
      </c>
      <c r="AH184" s="182">
        <f t="shared" si="104"/>
        <v>2779.1923771713937</v>
      </c>
    </row>
    <row r="185" spans="1:35" s="1" customFormat="1">
      <c r="A185" s="1" t="s">
        <v>449</v>
      </c>
      <c r="B185" s="13"/>
      <c r="C185" s="341"/>
      <c r="D185" s="341">
        <f>D182</f>
        <v>49.470201143494705</v>
      </c>
      <c r="E185" s="341">
        <f>D185+E182</f>
        <v>222.3372180549859</v>
      </c>
      <c r="F185" s="341">
        <f t="shared" ref="E185:N187" si="105">E185+F182</f>
        <v>750.19196663815183</v>
      </c>
      <c r="G185" s="341">
        <f t="shared" si="105"/>
        <v>1606.2794001644133</v>
      </c>
      <c r="H185" s="405">
        <f>H182</f>
        <v>136.3286377522636</v>
      </c>
      <c r="I185" s="15">
        <f t="shared" si="105"/>
        <v>293.64555696433308</v>
      </c>
      <c r="J185" s="15">
        <f t="shared" si="105"/>
        <v>450.93443881214444</v>
      </c>
      <c r="K185" s="15">
        <f t="shared" si="105"/>
        <v>695.66120157125806</v>
      </c>
      <c r="L185" s="15">
        <f t="shared" si="105"/>
        <v>1103.3190333259663</v>
      </c>
      <c r="M185" s="15">
        <f t="shared" si="105"/>
        <v>1939.882368858398</v>
      </c>
      <c r="N185" s="15">
        <f t="shared" si="105"/>
        <v>3285.0308694218184</v>
      </c>
      <c r="O185" s="15">
        <f t="shared" ref="O185:X185" si="106">N185+O182</f>
        <v>4917.2662149661264</v>
      </c>
      <c r="P185" s="15">
        <f t="shared" si="106"/>
        <v>6812.2602467407687</v>
      </c>
      <c r="Q185" s="15">
        <f t="shared" si="106"/>
        <v>8903.4692109355656</v>
      </c>
      <c r="R185" s="15">
        <f t="shared" si="106"/>
        <v>11108.423271402855</v>
      </c>
      <c r="S185" s="130">
        <f t="shared" si="106"/>
        <v>13390.970842256143</v>
      </c>
      <c r="T185" s="15">
        <f t="shared" si="106"/>
        <v>15855.835893874177</v>
      </c>
      <c r="U185" s="15">
        <f t="shared" si="106"/>
        <v>18498.902743055234</v>
      </c>
      <c r="V185" s="15">
        <f t="shared" si="106"/>
        <v>21363.631943693119</v>
      </c>
      <c r="W185" s="15">
        <f t="shared" si="106"/>
        <v>24627.422501966026</v>
      </c>
      <c r="X185" s="190">
        <f t="shared" si="106"/>
        <v>28249.859061042334</v>
      </c>
      <c r="Y185" s="130">
        <f t="shared" ref="Y185:AH185" si="107">X185+Y182</f>
        <v>31889.793902082929</v>
      </c>
      <c r="Z185" s="130">
        <f t="shared" si="107"/>
        <v>35641.121154787717</v>
      </c>
      <c r="AA185" s="130">
        <f t="shared" si="107"/>
        <v>39467.057692472139</v>
      </c>
      <c r="AB185" s="130">
        <f t="shared" si="107"/>
        <v>43372.168310107896</v>
      </c>
      <c r="AC185" s="130">
        <f t="shared" si="107"/>
        <v>47572.698576263327</v>
      </c>
      <c r="AD185" s="130">
        <f t="shared" si="107"/>
        <v>51964.03364515565</v>
      </c>
      <c r="AE185" s="130">
        <f t="shared" si="107"/>
        <v>56593.3342273093</v>
      </c>
      <c r="AF185" s="130">
        <f t="shared" si="107"/>
        <v>61525.541118236142</v>
      </c>
      <c r="AG185" s="130">
        <f t="shared" si="107"/>
        <v>66897.889435166202</v>
      </c>
      <c r="AH185" s="190">
        <f t="shared" si="107"/>
        <v>72765.075290926121</v>
      </c>
    </row>
    <row r="186" spans="1:35" s="20" customFormat="1">
      <c r="A186" s="20" t="s">
        <v>450</v>
      </c>
      <c r="B186" s="33"/>
      <c r="C186" s="334"/>
      <c r="D186" s="334">
        <f>D183</f>
        <v>26.037091979088473</v>
      </c>
      <c r="E186" s="334">
        <f t="shared" si="105"/>
        <v>117.01988138335582</v>
      </c>
      <c r="F186" s="334">
        <f t="shared" si="105"/>
        <v>394.83835367654774</v>
      </c>
      <c r="G186" s="334">
        <f t="shared" si="105"/>
        <v>845.41091657909874</v>
      </c>
      <c r="H186" s="404">
        <f t="shared" si="105"/>
        <v>917.16297329081681</v>
      </c>
      <c r="I186" s="19">
        <f t="shared" ref="I186:X186" si="108">H186+I183</f>
        <v>999.9614939287485</v>
      </c>
      <c r="J186" s="19">
        <f t="shared" si="108"/>
        <v>1082.7452580591762</v>
      </c>
      <c r="K186" s="19">
        <f t="shared" si="108"/>
        <v>1211.5489718312701</v>
      </c>
      <c r="L186" s="19">
        <f t="shared" si="108"/>
        <v>1426.1059067968763</v>
      </c>
      <c r="M186" s="19">
        <f t="shared" si="108"/>
        <v>1866.4026019713347</v>
      </c>
      <c r="N186" s="182">
        <f t="shared" si="108"/>
        <v>2574.3757235096409</v>
      </c>
      <c r="O186" s="19">
        <f t="shared" si="108"/>
        <v>3433.4472165392954</v>
      </c>
      <c r="P186" s="19">
        <f t="shared" si="108"/>
        <v>4430.8127897995573</v>
      </c>
      <c r="Q186" s="19">
        <f t="shared" si="108"/>
        <v>5531.4494113410501</v>
      </c>
      <c r="R186" s="19">
        <f t="shared" si="108"/>
        <v>6691.9518973360109</v>
      </c>
      <c r="S186" s="206">
        <f t="shared" si="108"/>
        <v>7893.2931044968618</v>
      </c>
      <c r="T186" s="19">
        <f t="shared" si="108"/>
        <v>9190.5909197825022</v>
      </c>
      <c r="U186" s="19">
        <f t="shared" si="108"/>
        <v>10581.679188388625</v>
      </c>
      <c r="V186" s="19">
        <f t="shared" si="108"/>
        <v>12089.431882265051</v>
      </c>
      <c r="W186" s="19">
        <f t="shared" si="108"/>
        <v>13807.216908647199</v>
      </c>
      <c r="X186" s="182">
        <f t="shared" si="108"/>
        <v>15713.763029520243</v>
      </c>
      <c r="Y186" s="206">
        <f t="shared" ref="Y186:AH186" si="109">X186+Y183</f>
        <v>17629.518796694065</v>
      </c>
      <c r="Z186" s="206">
        <f t="shared" si="109"/>
        <v>19603.902195755167</v>
      </c>
      <c r="AA186" s="206">
        <f t="shared" si="109"/>
        <v>21617.55367782199</v>
      </c>
      <c r="AB186" s="206">
        <f t="shared" si="109"/>
        <v>23672.875765069672</v>
      </c>
      <c r="AC186" s="206">
        <f t="shared" si="109"/>
        <v>25883.681909918872</v>
      </c>
      <c r="AD186" s="206">
        <f t="shared" si="109"/>
        <v>28194.911657928627</v>
      </c>
      <c r="AE186" s="206">
        <f t="shared" si="109"/>
        <v>30631.386439720729</v>
      </c>
      <c r="AF186" s="206">
        <f t="shared" si="109"/>
        <v>33227.285630541657</v>
      </c>
      <c r="AG186" s="206">
        <f t="shared" si="109"/>
        <v>36054.838253391979</v>
      </c>
      <c r="AH186" s="182">
        <f t="shared" si="109"/>
        <v>39142.831731980499</v>
      </c>
    </row>
    <row r="187" spans="1:35" s="20" customFormat="1">
      <c r="A187" s="20" t="s">
        <v>451</v>
      </c>
      <c r="B187" s="33"/>
      <c r="C187" s="334"/>
      <c r="D187" s="334">
        <f>D184</f>
        <v>23.433109164404868</v>
      </c>
      <c r="E187" s="334">
        <f t="shared" si="105"/>
        <v>105.31733667162871</v>
      </c>
      <c r="F187" s="334">
        <f t="shared" si="105"/>
        <v>355.35361296160181</v>
      </c>
      <c r="G187" s="334">
        <f t="shared" si="105"/>
        <v>760.86848358531142</v>
      </c>
      <c r="H187" s="404">
        <f t="shared" si="105"/>
        <v>825.44506462585787</v>
      </c>
      <c r="I187" s="19">
        <f t="shared" ref="I187:X187" si="110">H187+I184</f>
        <v>899.96346319999611</v>
      </c>
      <c r="J187" s="19">
        <f t="shared" si="110"/>
        <v>974.46858091738068</v>
      </c>
      <c r="K187" s="19">
        <f t="shared" si="110"/>
        <v>1090.3916299044013</v>
      </c>
      <c r="L187" s="19">
        <f t="shared" si="110"/>
        <v>1283.4925266935043</v>
      </c>
      <c r="M187" s="19">
        <f t="shared" si="110"/>
        <v>1679.7591670514785</v>
      </c>
      <c r="N187" s="182">
        <f t="shared" si="110"/>
        <v>2316.9345460765917</v>
      </c>
      <c r="O187" s="19">
        <f t="shared" si="110"/>
        <v>3090.0983985912453</v>
      </c>
      <c r="P187" s="19">
        <f t="shared" si="110"/>
        <v>3987.7268571056266</v>
      </c>
      <c r="Q187" s="19">
        <f t="shared" si="110"/>
        <v>4978.2991997589306</v>
      </c>
      <c r="R187" s="19">
        <f t="shared" si="110"/>
        <v>6022.7507742312609</v>
      </c>
      <c r="S187" s="206">
        <f t="shared" si="110"/>
        <v>7103.9571379237004</v>
      </c>
      <c r="T187" s="19">
        <f t="shared" si="110"/>
        <v>8271.5243742560924</v>
      </c>
      <c r="U187" s="19">
        <f t="shared" si="110"/>
        <v>9523.5029548310267</v>
      </c>
      <c r="V187" s="19">
        <f t="shared" si="110"/>
        <v>10880.479461592487</v>
      </c>
      <c r="W187" s="19">
        <f t="shared" si="110"/>
        <v>12426.484993483244</v>
      </c>
      <c r="X187" s="182">
        <f t="shared" si="110"/>
        <v>14142.375431686505</v>
      </c>
      <c r="Y187" s="206">
        <f t="shared" ref="Y187:AH187" si="111">X187+Y184</f>
        <v>15866.554505553275</v>
      </c>
      <c r="Z187" s="206">
        <f t="shared" si="111"/>
        <v>17643.498359196965</v>
      </c>
      <c r="AA187" s="206">
        <f t="shared" si="111"/>
        <v>19455.783414814559</v>
      </c>
      <c r="AB187" s="206">
        <f t="shared" si="111"/>
        <v>21305.571945202639</v>
      </c>
      <c r="AC187" s="206">
        <f t="shared" si="111"/>
        <v>23295.296066508869</v>
      </c>
      <c r="AD187" s="206">
        <f t="shared" si="111"/>
        <v>25375.401387391437</v>
      </c>
      <c r="AE187" s="206">
        <f t="shared" si="111"/>
        <v>27568.227187752986</v>
      </c>
      <c r="AF187" s="206">
        <f t="shared" si="111"/>
        <v>29904.534887858892</v>
      </c>
      <c r="AG187" s="206">
        <f t="shared" si="111"/>
        <v>32449.330581938637</v>
      </c>
      <c r="AH187" s="182">
        <f t="shared" si="111"/>
        <v>35228.522959110029</v>
      </c>
    </row>
    <row r="188" spans="1:35" s="519" customFormat="1">
      <c r="A188" s="519" t="s">
        <v>549</v>
      </c>
      <c r="B188" s="520"/>
      <c r="C188" s="521"/>
      <c r="D188"/>
      <c r="E188"/>
      <c r="F188"/>
      <c r="G188"/>
      <c r="H188"/>
      <c r="I188"/>
      <c r="J188"/>
      <c r="K188"/>
      <c r="L188"/>
      <c r="M188"/>
      <c r="N188"/>
      <c r="O188"/>
      <c r="P188"/>
      <c r="Q188"/>
      <c r="R188"/>
      <c r="S188"/>
      <c r="T188"/>
      <c r="U188"/>
      <c r="V188"/>
      <c r="W188"/>
      <c r="X188"/>
      <c r="Y188"/>
      <c r="Z188"/>
      <c r="AA188"/>
      <c r="AB188"/>
      <c r="AC188"/>
      <c r="AD188"/>
      <c r="AE188"/>
      <c r="AF188"/>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411</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331">
        <f>SUM(C195:C196)</f>
        <v>1115.6323480000001</v>
      </c>
      <c r="D194" s="331">
        <f t="shared" ref="D194:AH194" si="112">SUM(D195:D196)</f>
        <v>1299.72597</v>
      </c>
      <c r="E194" s="331">
        <f t="shared" si="112"/>
        <v>1163.3652955614571</v>
      </c>
      <c r="F194" s="331">
        <f t="shared" si="112"/>
        <v>1245.0569174529539</v>
      </c>
      <c r="G194" s="331">
        <f t="shared" si="112"/>
        <v>1560.6987811023537</v>
      </c>
      <c r="H194" s="402">
        <f t="shared" si="112"/>
        <v>1648.7483519481216</v>
      </c>
      <c r="I194" s="14">
        <f t="shared" si="112"/>
        <v>1559.6674025295279</v>
      </c>
      <c r="J194" s="14">
        <f t="shared" si="112"/>
        <v>2025.6010760397298</v>
      </c>
      <c r="K194" s="14">
        <f t="shared" si="112"/>
        <v>2514.0171204332992</v>
      </c>
      <c r="L194" s="14">
        <f t="shared" si="112"/>
        <v>2873.9019474444376</v>
      </c>
      <c r="M194" s="14">
        <f t="shared" si="112"/>
        <v>2971.3213238336957</v>
      </c>
      <c r="N194" s="187">
        <f t="shared" si="112"/>
        <v>3071.9189773291946</v>
      </c>
      <c r="O194" s="14">
        <f t="shared" si="112"/>
        <v>3312.7293512789611</v>
      </c>
      <c r="P194" s="14">
        <f t="shared" si="112"/>
        <v>3667.0983324314257</v>
      </c>
      <c r="Q194" s="14">
        <f t="shared" si="112"/>
        <v>4059.2457314753292</v>
      </c>
      <c r="R194" s="14">
        <f t="shared" si="112"/>
        <v>4440.9866899111021</v>
      </c>
      <c r="S194" s="15">
        <f t="shared" si="112"/>
        <v>4942.7254866536259</v>
      </c>
      <c r="T194" s="14">
        <f t="shared" si="112"/>
        <v>5484.8423813172785</v>
      </c>
      <c r="U194" s="14">
        <f t="shared" si="112"/>
        <v>5927.2956227016257</v>
      </c>
      <c r="V194" s="14">
        <f t="shared" si="112"/>
        <v>6201.9850990631712</v>
      </c>
      <c r="W194" s="14">
        <f t="shared" si="112"/>
        <v>6368.607931571617</v>
      </c>
      <c r="X194" s="187">
        <f t="shared" si="112"/>
        <v>6667.6587358904399</v>
      </c>
      <c r="Y194" s="158">
        <f t="shared" si="112"/>
        <v>7187.0933038235817</v>
      </c>
      <c r="Z194" s="158">
        <f t="shared" si="112"/>
        <v>8049.1780324235424</v>
      </c>
      <c r="AA194" s="158">
        <f t="shared" si="112"/>
        <v>8785.6953293415245</v>
      </c>
      <c r="AB194" s="158">
        <f t="shared" si="112"/>
        <v>9516.3035493429052</v>
      </c>
      <c r="AC194" s="158">
        <f t="shared" si="112"/>
        <v>9791.1479811407098</v>
      </c>
      <c r="AD194" s="158">
        <f t="shared" si="112"/>
        <v>10008.172608196215</v>
      </c>
      <c r="AE194" s="158">
        <f t="shared" si="112"/>
        <v>10203.551077001248</v>
      </c>
      <c r="AF194" s="158">
        <f t="shared" si="112"/>
        <v>10490.590841737281</v>
      </c>
      <c r="AG194" s="158">
        <f t="shared" si="112"/>
        <v>10844.433514749802</v>
      </c>
      <c r="AH194" s="187">
        <f t="shared" si="112"/>
        <v>11012.146661317194</v>
      </c>
    </row>
    <row r="195" spans="1:34">
      <c r="A195" t="s">
        <v>388</v>
      </c>
      <c r="C195" s="330">
        <f>'Output - Jobs vs Yr (BAU)'!C51</f>
        <v>587.17491999999993</v>
      </c>
      <c r="D195" s="330">
        <f>'Output - Jobs vs Yr (BAU)'!D51</f>
        <v>684.06629999999996</v>
      </c>
      <c r="E195" s="330">
        <f>'Output - Jobs vs Yr (BAU)'!E51</f>
        <v>612.29752397971413</v>
      </c>
      <c r="F195" s="330">
        <f>'Output - Jobs vs Yr (BAU)'!F51</f>
        <v>655.29311444892312</v>
      </c>
      <c r="G195" s="330">
        <f>'Output - Jobs vs Yr (BAU)'!G51</f>
        <v>821.42041110650177</v>
      </c>
      <c r="H195" s="286">
        <f>'Output - Jobs vs Yr (BAU)'!H51</f>
        <v>867.76229049901133</v>
      </c>
      <c r="I195" s="118">
        <f>'Output - Jobs vs Yr (BAU)'!I51</f>
        <v>820.87758027869893</v>
      </c>
      <c r="J195" s="118">
        <f>'Output - Jobs vs Yr (BAU)'!J51</f>
        <v>1066.1058294945947</v>
      </c>
      <c r="K195" s="118">
        <f>'Output - Jobs vs Yr (BAU)'!K51</f>
        <v>1323.1669054912102</v>
      </c>
      <c r="L195" s="118">
        <f>'Output - Jobs vs Yr (BAU)'!L51</f>
        <v>1512.5799723391779</v>
      </c>
      <c r="M195" s="118">
        <f>'Output - Jobs vs Yr (BAU)'!M51</f>
        <v>1563.8533283335244</v>
      </c>
      <c r="N195" s="177">
        <f>'Output - Jobs vs Yr (BAU)'!N51</f>
        <v>1616.7994617522077</v>
      </c>
      <c r="O195" s="118">
        <f>'Output - Jobs vs Yr (BAU)'!O51</f>
        <v>1743.5417638310321</v>
      </c>
      <c r="P195" s="118">
        <f>'Output - Jobs vs Yr (BAU)'!P51</f>
        <v>1930.0517539112768</v>
      </c>
      <c r="Q195" s="118">
        <f>'Output - Jobs vs Yr (BAU)'!Q51</f>
        <v>2136.4451218291206</v>
      </c>
      <c r="R195" s="118">
        <f>'Output - Jobs vs Yr (BAU)'!R51</f>
        <v>2337.361415742685</v>
      </c>
      <c r="S195" s="118">
        <f>'Output - Jobs vs Yr (BAU)'!S51</f>
        <v>2601.4344666598031</v>
      </c>
      <c r="T195" s="118">
        <f>'Output - Jobs vs Yr (BAU)'!T51</f>
        <v>2886.7591480617252</v>
      </c>
      <c r="U195" s="118">
        <f>'Output - Jobs vs Yr (BAU)'!U51</f>
        <v>3119.6292751061183</v>
      </c>
      <c r="V195" s="118">
        <f>'Output - Jobs vs Yr (BAU)'!V51</f>
        <v>3264.2026837174585</v>
      </c>
      <c r="W195" s="118">
        <f>'Output - Jobs vs Yr (BAU)'!W51</f>
        <v>3351.8989113534826</v>
      </c>
      <c r="X195" s="184">
        <f>'Output - Jobs vs Yr (BAU)'!X51</f>
        <v>3509.2940715212844</v>
      </c>
      <c r="Y195" s="271">
        <f>'Output - Jobs vs Yr (BAU)'!Y51</f>
        <v>3782.6806862229378</v>
      </c>
      <c r="Z195" s="271">
        <f>'Output - Jobs vs Yr (BAU)'!Z51</f>
        <v>4236.4094907492326</v>
      </c>
      <c r="AA195" s="271">
        <f>'Output - Jobs vs Yr (BAU)'!AA51</f>
        <v>4624.050173337645</v>
      </c>
      <c r="AB195" s="271">
        <f>'Output - Jobs vs Yr (BAU)'!AB51</f>
        <v>5008.5808154436345</v>
      </c>
      <c r="AC195" s="271">
        <f>'Output - Jobs vs Yr (BAU)'!AC51</f>
        <v>5153.2357795477428</v>
      </c>
      <c r="AD195" s="271">
        <f>'Output - Jobs vs Yr (BAU)'!AD51</f>
        <v>5267.4592674716932</v>
      </c>
      <c r="AE195" s="271">
        <f>'Output - Jobs vs Yr (BAU)'!AE51</f>
        <v>5370.2900405269729</v>
      </c>
      <c r="AF195" s="271">
        <f>'Output - Jobs vs Yr (BAU)'!AF51</f>
        <v>5521.3636009143584</v>
      </c>
      <c r="AG195" s="271">
        <f>'Output - Jobs vs Yr (BAU)'!AG51</f>
        <v>5707.5965867104223</v>
      </c>
      <c r="AH195" s="184">
        <f>'Output - Jobs vs Yr (BAU)'!AH51</f>
        <v>5795.8666638511559</v>
      </c>
    </row>
    <row r="196" spans="1:34">
      <c r="A196" t="s">
        <v>389</v>
      </c>
      <c r="C196" s="330">
        <f>'Output - Jobs vs Yr (BAU)'!C69</f>
        <v>528.45742800000005</v>
      </c>
      <c r="D196" s="330">
        <f>'Output - Jobs vs Yr (BAU)'!D69</f>
        <v>615.65967000000001</v>
      </c>
      <c r="E196" s="330">
        <f>'Output - Jobs vs Yr (BAU)'!E69</f>
        <v>551.06777158174282</v>
      </c>
      <c r="F196" s="330">
        <f>'Output - Jobs vs Yr (BAU)'!F69</f>
        <v>589.76380300403082</v>
      </c>
      <c r="G196" s="330">
        <f>'Output - Jobs vs Yr (BAU)'!G69</f>
        <v>739.27836999585179</v>
      </c>
      <c r="H196" s="286">
        <f>'Output - Jobs vs Yr (BAU)'!H69</f>
        <v>780.98606144911025</v>
      </c>
      <c r="I196" s="118">
        <f>'Output - Jobs vs Yr (BAU)'!I69</f>
        <v>738.78982225082905</v>
      </c>
      <c r="J196" s="118">
        <f>'Output - Jobs vs Yr (BAU)'!J69</f>
        <v>959.49524654513505</v>
      </c>
      <c r="K196" s="118">
        <f>'Output - Jobs vs Yr (BAU)'!K69</f>
        <v>1190.8502149420892</v>
      </c>
      <c r="L196" s="118">
        <f>'Output - Jobs vs Yr (BAU)'!L69</f>
        <v>1361.32197510526</v>
      </c>
      <c r="M196" s="118">
        <f>'Output - Jobs vs Yr (BAU)'!M69</f>
        <v>1407.4679955001716</v>
      </c>
      <c r="N196" s="177">
        <f>'Output - Jobs vs Yr (BAU)'!N69</f>
        <v>1455.1195155769872</v>
      </c>
      <c r="O196" s="118">
        <f>'Output - Jobs vs Yr (BAU)'!O69</f>
        <v>1569.187587447929</v>
      </c>
      <c r="P196" s="118">
        <f>'Output - Jobs vs Yr (BAU)'!P69</f>
        <v>1737.0465785201486</v>
      </c>
      <c r="Q196" s="118">
        <f>'Output - Jobs vs Yr (BAU)'!Q69</f>
        <v>1922.8006096462088</v>
      </c>
      <c r="R196" s="118">
        <f>'Output - Jobs vs Yr (BAU)'!R69</f>
        <v>2103.6252741684166</v>
      </c>
      <c r="S196" s="118">
        <f>'Output - Jobs vs Yr (BAU)'!S69</f>
        <v>2341.2910199938228</v>
      </c>
      <c r="T196" s="118">
        <f>'Output - Jobs vs Yr (BAU)'!T69</f>
        <v>2598.0832332555533</v>
      </c>
      <c r="U196" s="118">
        <f>'Output - Jobs vs Yr (BAU)'!U69</f>
        <v>2807.666347595507</v>
      </c>
      <c r="V196" s="118">
        <f>'Output - Jobs vs Yr (BAU)'!V69</f>
        <v>2937.7824153457123</v>
      </c>
      <c r="W196" s="118">
        <f>'Output - Jobs vs Yr (BAU)'!W69</f>
        <v>3016.7090202181344</v>
      </c>
      <c r="X196" s="184">
        <f>'Output - Jobs vs Yr (BAU)'!X69</f>
        <v>3158.364664369155</v>
      </c>
      <c r="Y196" s="271">
        <f>'Output - Jobs vs Yr (BAU)'!Y69</f>
        <v>3404.4126176006439</v>
      </c>
      <c r="Z196" s="271">
        <f>'Output - Jobs vs Yr (BAU)'!Z69</f>
        <v>3812.7685416743093</v>
      </c>
      <c r="AA196" s="271">
        <f>'Output - Jobs vs Yr (BAU)'!AA69</f>
        <v>4161.6451560038795</v>
      </c>
      <c r="AB196" s="271">
        <f>'Output - Jobs vs Yr (BAU)'!AB69</f>
        <v>4507.7227338992698</v>
      </c>
      <c r="AC196" s="271">
        <f>'Output - Jobs vs Yr (BAU)'!AC69</f>
        <v>4637.912201592967</v>
      </c>
      <c r="AD196" s="271">
        <f>'Output - Jobs vs Yr (BAU)'!AD69</f>
        <v>4740.7133407245228</v>
      </c>
      <c r="AE196" s="271">
        <f>'Output - Jobs vs Yr (BAU)'!AE69</f>
        <v>4833.2610364742759</v>
      </c>
      <c r="AF196" s="271">
        <f>'Output - Jobs vs Yr (BAU)'!AF69</f>
        <v>4969.2272408229219</v>
      </c>
      <c r="AG196" s="271">
        <f>'Output - Jobs vs Yr (BAU)'!AG69</f>
        <v>5136.8369280393808</v>
      </c>
      <c r="AH196" s="184">
        <f>'Output - Jobs vs Yr (BAU)'!AH69</f>
        <v>5216.2799974660384</v>
      </c>
    </row>
    <row r="197" spans="1:34">
      <c r="A197" t="s">
        <v>390</v>
      </c>
      <c r="C197" s="331">
        <f>SUM(C198:C199)</f>
        <v>701.38214999999991</v>
      </c>
      <c r="D197" s="331">
        <f t="shared" ref="D197:AH197" si="113">SUM(D198:D199)</f>
        <v>614.74214999999981</v>
      </c>
      <c r="E197" s="331">
        <f t="shared" si="113"/>
        <v>719.75843989887949</v>
      </c>
      <c r="F197" s="331">
        <f t="shared" si="113"/>
        <v>676.55771445424671</v>
      </c>
      <c r="G197" s="331">
        <f t="shared" si="113"/>
        <v>556.40573951638089</v>
      </c>
      <c r="H197" s="402">
        <f t="shared" si="113"/>
        <v>568.24042943969971</v>
      </c>
      <c r="I197" s="14">
        <f t="shared" si="113"/>
        <v>577.60196856117659</v>
      </c>
      <c r="J197" s="14">
        <f t="shared" si="113"/>
        <v>587.80217213737842</v>
      </c>
      <c r="K197" s="14">
        <f t="shared" si="113"/>
        <v>594.97394874396377</v>
      </c>
      <c r="L197" s="14">
        <f t="shared" si="113"/>
        <v>592.42302378355237</v>
      </c>
      <c r="M197" s="14">
        <f t="shared" si="113"/>
        <v>592.42321900649608</v>
      </c>
      <c r="N197" s="187">
        <f t="shared" si="113"/>
        <v>592.42302378355237</v>
      </c>
      <c r="O197" s="14">
        <f t="shared" si="113"/>
        <v>595.48678166906188</v>
      </c>
      <c r="P197" s="14">
        <f t="shared" si="113"/>
        <v>595.48658644611851</v>
      </c>
      <c r="Q197" s="14">
        <f t="shared" si="113"/>
        <v>595.48651989284213</v>
      </c>
      <c r="R197" s="14">
        <f t="shared" si="113"/>
        <v>595.48651989284213</v>
      </c>
      <c r="S197" s="15">
        <f t="shared" si="113"/>
        <v>595.48651989284213</v>
      </c>
      <c r="T197" s="14">
        <f t="shared" si="113"/>
        <v>595.48644890268088</v>
      </c>
      <c r="U197" s="14">
        <f t="shared" si="113"/>
        <v>595.48644890268088</v>
      </c>
      <c r="V197" s="14">
        <f t="shared" si="113"/>
        <v>595.48644890268088</v>
      </c>
      <c r="W197" s="14">
        <f t="shared" si="113"/>
        <v>599.08336064695516</v>
      </c>
      <c r="X197" s="187">
        <f t="shared" si="113"/>
        <v>599.08336064695516</v>
      </c>
      <c r="Y197" s="158">
        <f t="shared" si="113"/>
        <v>599.86375548992339</v>
      </c>
      <c r="Z197" s="158">
        <f t="shared" si="113"/>
        <v>599.86375992680837</v>
      </c>
      <c r="AA197" s="158">
        <f t="shared" si="113"/>
        <v>599.86375992680837</v>
      </c>
      <c r="AB197" s="158">
        <f t="shared" si="113"/>
        <v>599.86375992680837</v>
      </c>
      <c r="AC197" s="158">
        <f t="shared" si="113"/>
        <v>601.01204353307821</v>
      </c>
      <c r="AD197" s="158">
        <f t="shared" si="113"/>
        <v>601.01224319290668</v>
      </c>
      <c r="AE197" s="158">
        <f t="shared" si="113"/>
        <v>601.01210564946928</v>
      </c>
      <c r="AF197" s="158">
        <f t="shared" si="113"/>
        <v>601.0119015527556</v>
      </c>
      <c r="AG197" s="158">
        <f t="shared" si="113"/>
        <v>603.78549159091153</v>
      </c>
      <c r="AH197" s="187">
        <f t="shared" si="113"/>
        <v>603.78542947452047</v>
      </c>
    </row>
    <row r="198" spans="1:34">
      <c r="A198" t="s">
        <v>392</v>
      </c>
      <c r="C198" s="330">
        <f>SUM('Output - Jobs vs Yr (BAU)'!C40:C43)</f>
        <v>369.14849999999996</v>
      </c>
      <c r="D198" s="330">
        <f>SUM('Output - Jobs vs Yr (BAU)'!D40:D43)</f>
        <v>323.54849999999993</v>
      </c>
      <c r="E198" s="330">
        <f>SUM('Output - Jobs vs Yr (BAU)'!E40:E43)</f>
        <v>378.820231525726</v>
      </c>
      <c r="F198" s="330">
        <f>SUM('Output - Jobs vs Yr (BAU)'!F40:F43)</f>
        <v>356.08300760749825</v>
      </c>
      <c r="G198" s="330">
        <f>SUM('Output - Jobs vs Yr (BAU)'!G40:G43)</f>
        <v>292.8451260612531</v>
      </c>
      <c r="H198" s="286">
        <f>SUM('Output - Jobs vs Yr (BAU)'!H40:H43)</f>
        <v>299.07391023142094</v>
      </c>
      <c r="I198" s="118">
        <f>SUM('Output - Jobs vs Yr (BAU)'!I40:I43)</f>
        <v>304.00103608482982</v>
      </c>
      <c r="J198" s="118">
        <f>SUM('Output - Jobs vs Yr (BAU)'!J40:J43)</f>
        <v>309.36956428283071</v>
      </c>
      <c r="K198" s="118">
        <f>SUM('Output - Jobs vs Yr (BAU)'!K40:K43)</f>
        <v>313.14418354945462</v>
      </c>
      <c r="L198" s="118">
        <f>SUM('Output - Jobs vs Yr (BAU)'!L40:L43)</f>
        <v>311.80159146502757</v>
      </c>
      <c r="M198" s="118">
        <f>SUM('Output - Jobs vs Yr (BAU)'!M40:M43)</f>
        <v>311.80169421394527</v>
      </c>
      <c r="N198" s="177">
        <f>SUM('Output - Jobs vs Yr (BAU)'!N40:N43)</f>
        <v>311.80159146502757</v>
      </c>
      <c r="O198" s="118">
        <f>SUM('Output - Jobs vs Yr (BAU)'!O40:O43)</f>
        <v>313.41409561529571</v>
      </c>
      <c r="P198" s="118">
        <f>SUM('Output - Jobs vs Yr (BAU)'!P40:P43)</f>
        <v>313.41399286637812</v>
      </c>
      <c r="Q198" s="118">
        <f>SUM('Output - Jobs vs Yr (BAU)'!Q40:Q43)</f>
        <v>313.41395783833798</v>
      </c>
      <c r="R198" s="118">
        <f>SUM('Output - Jobs vs Yr (BAU)'!R40:R43)</f>
        <v>313.41395783833798</v>
      </c>
      <c r="S198" s="118">
        <f>SUM('Output - Jobs vs Yr (BAU)'!S40:S43)</f>
        <v>313.41395783833798</v>
      </c>
      <c r="T198" s="118">
        <f>SUM('Output - Jobs vs Yr (BAU)'!T40:T43)</f>
        <v>313.41392047509515</v>
      </c>
      <c r="U198" s="118">
        <f>SUM('Output - Jobs vs Yr (BAU)'!U40:U43)</f>
        <v>313.41392047509515</v>
      </c>
      <c r="V198" s="118">
        <f>SUM('Output - Jobs vs Yr (BAU)'!V40:V43)</f>
        <v>313.41392047509515</v>
      </c>
      <c r="W198" s="118">
        <f>SUM('Output - Jobs vs Yr (BAU)'!W40:W43)</f>
        <v>315.30703191945008</v>
      </c>
      <c r="X198" s="184">
        <f>SUM('Output - Jobs vs Yr (BAU)'!X40:X43)</f>
        <v>315.30703191945008</v>
      </c>
      <c r="Y198" s="271">
        <f>SUM('Output - Jobs vs Yr (BAU)'!Y40:Y43)</f>
        <v>315.7177660473281</v>
      </c>
      <c r="Z198" s="271">
        <f>SUM('Output - Jobs vs Yr (BAU)'!Z40:Z43)</f>
        <v>315.71776838253072</v>
      </c>
      <c r="AA198" s="271">
        <f>SUM('Output - Jobs vs Yr (BAU)'!AA40:AA43)</f>
        <v>315.71776838253072</v>
      </c>
      <c r="AB198" s="271">
        <f>SUM('Output - Jobs vs Yr (BAU)'!AB40:AB43)</f>
        <v>315.71776838253072</v>
      </c>
      <c r="AC198" s="271">
        <f>SUM('Output - Jobs vs Yr (BAU)'!AC40:AC43)</f>
        <v>316.32212817530433</v>
      </c>
      <c r="AD198" s="271">
        <f>SUM('Output - Jobs vs Yr (BAU)'!AD40:AD43)</f>
        <v>316.32223325942459</v>
      </c>
      <c r="AE198" s="271">
        <f>SUM('Output - Jobs vs Yr (BAU)'!AE40:AE43)</f>
        <v>316.32216086814174</v>
      </c>
      <c r="AF198" s="271">
        <f>SUM('Output - Jobs vs Yr (BAU)'!AF40:AF43)</f>
        <v>316.32205344881874</v>
      </c>
      <c r="AG198" s="271">
        <f>SUM('Output - Jobs vs Yr (BAU)'!AG40:AG43)</f>
        <v>317.7818376794271</v>
      </c>
      <c r="AH198" s="184">
        <f>SUM('Output - Jobs vs Yr (BAU)'!AH40:AH43)</f>
        <v>317.78180498658969</v>
      </c>
    </row>
    <row r="199" spans="1:34">
      <c r="A199" t="s">
        <v>391</v>
      </c>
      <c r="C199" s="330">
        <f>SUM('Output - Jobs vs Yr (BAU)'!C58:C61)</f>
        <v>332.23364999999995</v>
      </c>
      <c r="D199" s="330">
        <f>SUM('Output - Jobs vs Yr (BAU)'!D58:D61)</f>
        <v>291.19364999999993</v>
      </c>
      <c r="E199" s="330">
        <f>SUM('Output - Jobs vs Yr (BAU)'!E58:E61)</f>
        <v>340.93820837315343</v>
      </c>
      <c r="F199" s="330">
        <f>SUM('Output - Jobs vs Yr (BAU)'!F58:F61)</f>
        <v>320.4747068467484</v>
      </c>
      <c r="G199" s="330">
        <f>SUM('Output - Jobs vs Yr (BAU)'!G58:G61)</f>
        <v>263.56061345512779</v>
      </c>
      <c r="H199" s="286">
        <f>SUM('Output - Jobs vs Yr (BAU)'!H58:H61)</f>
        <v>269.16651920827883</v>
      </c>
      <c r="I199" s="118">
        <f>SUM('Output - Jobs vs Yr (BAU)'!I58:I61)</f>
        <v>273.60093247634683</v>
      </c>
      <c r="J199" s="118">
        <f>SUM('Output - Jobs vs Yr (BAU)'!J58:J61)</f>
        <v>278.43260785454765</v>
      </c>
      <c r="K199" s="118">
        <f>SUM('Output - Jobs vs Yr (BAU)'!K58:K61)</f>
        <v>281.82976519450915</v>
      </c>
      <c r="L199" s="118">
        <f>SUM('Output - Jobs vs Yr (BAU)'!L58:L61)</f>
        <v>280.6214323185248</v>
      </c>
      <c r="M199" s="118">
        <f>SUM('Output - Jobs vs Yr (BAU)'!M58:M61)</f>
        <v>280.62152479255076</v>
      </c>
      <c r="N199" s="177">
        <f>SUM('Output - Jobs vs Yr (BAU)'!N58:N61)</f>
        <v>280.6214323185248</v>
      </c>
      <c r="O199" s="118">
        <f>SUM('Output - Jobs vs Yr (BAU)'!O58:O61)</f>
        <v>282.07268605376612</v>
      </c>
      <c r="P199" s="118">
        <f>SUM('Output - Jobs vs Yr (BAU)'!P58:P61)</f>
        <v>282.07259357974033</v>
      </c>
      <c r="Q199" s="118">
        <f>SUM('Output - Jobs vs Yr (BAU)'!Q58:Q61)</f>
        <v>282.0725620545042</v>
      </c>
      <c r="R199" s="118">
        <f>SUM('Output - Jobs vs Yr (BAU)'!R58:R61)</f>
        <v>282.0725620545042</v>
      </c>
      <c r="S199" s="118">
        <f>SUM('Output - Jobs vs Yr (BAU)'!S58:S61)</f>
        <v>282.0725620545042</v>
      </c>
      <c r="T199" s="118">
        <f>SUM('Output - Jobs vs Yr (BAU)'!T58:T61)</f>
        <v>282.07252842758567</v>
      </c>
      <c r="U199" s="118">
        <f>SUM('Output - Jobs vs Yr (BAU)'!U58:U61)</f>
        <v>282.07252842758567</v>
      </c>
      <c r="V199" s="118">
        <f>SUM('Output - Jobs vs Yr (BAU)'!V58:V61)</f>
        <v>282.07252842758567</v>
      </c>
      <c r="W199" s="118">
        <f>SUM('Output - Jobs vs Yr (BAU)'!W58:W61)</f>
        <v>283.77632872750507</v>
      </c>
      <c r="X199" s="184">
        <f>SUM('Output - Jobs vs Yr (BAU)'!X58:X61)</f>
        <v>283.77632872750507</v>
      </c>
      <c r="Y199" s="271">
        <f>SUM('Output - Jobs vs Yr (BAU)'!Y58:Y61)</f>
        <v>284.14598944259529</v>
      </c>
      <c r="Z199" s="271">
        <f>SUM('Output - Jobs vs Yr (BAU)'!Z58:Z61)</f>
        <v>284.14599154427765</v>
      </c>
      <c r="AA199" s="271">
        <f>SUM('Output - Jobs vs Yr (BAU)'!AA58:AA61)</f>
        <v>284.14599154427765</v>
      </c>
      <c r="AB199" s="271">
        <f>SUM('Output - Jobs vs Yr (BAU)'!AB58:AB61)</f>
        <v>284.14599154427765</v>
      </c>
      <c r="AC199" s="271">
        <f>SUM('Output - Jobs vs Yr (BAU)'!AC58:AC61)</f>
        <v>284.68991535777388</v>
      </c>
      <c r="AD199" s="271">
        <f>SUM('Output - Jobs vs Yr (BAU)'!AD58:AD61)</f>
        <v>284.69000993348214</v>
      </c>
      <c r="AE199" s="271">
        <f>SUM('Output - Jobs vs Yr (BAU)'!AE58:AE61)</f>
        <v>284.6899447813276</v>
      </c>
      <c r="AF199" s="271">
        <f>SUM('Output - Jobs vs Yr (BAU)'!AF58:AF61)</f>
        <v>284.68984810393687</v>
      </c>
      <c r="AG199" s="271">
        <f>SUM('Output - Jobs vs Yr (BAU)'!AG58:AG61)</f>
        <v>286.00365391148438</v>
      </c>
      <c r="AH199" s="184">
        <f>SUM('Output - Jobs vs Yr (BAU)'!AH58:AH61)</f>
        <v>286.00362448793072</v>
      </c>
    </row>
    <row r="200" spans="1:34">
      <c r="A200" t="s">
        <v>393</v>
      </c>
      <c r="C200" s="331">
        <f>SUM(C201:C202)</f>
        <v>6984.3620000000001</v>
      </c>
      <c r="D200" s="331">
        <f t="shared" ref="D200:AH200" si="114">SUM(D201:D202)</f>
        <v>6413.165</v>
      </c>
      <c r="E200" s="331">
        <f t="shared" si="114"/>
        <v>6012.8685560900003</v>
      </c>
      <c r="F200" s="331">
        <f t="shared" si="114"/>
        <v>6906.6425891100007</v>
      </c>
      <c r="G200" s="331">
        <f t="shared" si="114"/>
        <v>8073.3014661199995</v>
      </c>
      <c r="H200" s="402">
        <f t="shared" si="114"/>
        <v>7993.6632220500014</v>
      </c>
      <c r="I200" s="14">
        <f t="shared" si="114"/>
        <v>5806.5697640500002</v>
      </c>
      <c r="J200" s="14">
        <f t="shared" si="114"/>
        <v>6139.9946808200002</v>
      </c>
      <c r="K200" s="14">
        <f t="shared" si="114"/>
        <v>6157.8735586500015</v>
      </c>
      <c r="L200" s="14">
        <f t="shared" si="114"/>
        <v>6640.1165805700002</v>
      </c>
      <c r="M200" s="14">
        <f t="shared" si="114"/>
        <v>6835.39947794</v>
      </c>
      <c r="N200" s="187">
        <f t="shared" si="114"/>
        <v>7061.0110926299994</v>
      </c>
      <c r="O200" s="14">
        <f t="shared" si="114"/>
        <v>7825.4982314299996</v>
      </c>
      <c r="P200" s="14">
        <f t="shared" si="114"/>
        <v>8561.8672939800017</v>
      </c>
      <c r="Q200" s="14">
        <f t="shared" si="114"/>
        <v>9063.8711196000004</v>
      </c>
      <c r="R200" s="14">
        <f t="shared" si="114"/>
        <v>9261.3434320000015</v>
      </c>
      <c r="S200" s="15">
        <f t="shared" si="114"/>
        <v>9657.7169291900027</v>
      </c>
      <c r="T200" s="14">
        <f t="shared" si="114"/>
        <v>10195.334488569999</v>
      </c>
      <c r="U200" s="14">
        <f t="shared" si="114"/>
        <v>10509.111831570001</v>
      </c>
      <c r="V200" s="14">
        <f t="shared" si="114"/>
        <v>10728.362648300001</v>
      </c>
      <c r="W200" s="14">
        <f t="shared" si="114"/>
        <v>11208.22984391</v>
      </c>
      <c r="X200" s="187">
        <f t="shared" si="114"/>
        <v>11633.113010199999</v>
      </c>
      <c r="Y200" s="158">
        <f t="shared" si="114"/>
        <v>11625.220315390001</v>
      </c>
      <c r="Z200" s="158">
        <f t="shared" si="114"/>
        <v>12028.404917760003</v>
      </c>
      <c r="AA200" s="158">
        <f t="shared" si="114"/>
        <v>12218.02517958</v>
      </c>
      <c r="AB200" s="158">
        <f t="shared" si="114"/>
        <v>12313.924346790001</v>
      </c>
      <c r="AC200" s="158">
        <f t="shared" si="114"/>
        <v>12440.33487015</v>
      </c>
      <c r="AD200" s="158">
        <f t="shared" si="114"/>
        <v>12369.57407246</v>
      </c>
      <c r="AE200" s="158">
        <f t="shared" si="114"/>
        <v>12400.23954103</v>
      </c>
      <c r="AF200" s="158">
        <f t="shared" si="114"/>
        <v>12573.080089460002</v>
      </c>
      <c r="AG200" s="158">
        <f t="shared" si="114"/>
        <v>12983.86766666</v>
      </c>
      <c r="AH200" s="187">
        <f t="shared" si="114"/>
        <v>13348.63039455</v>
      </c>
    </row>
    <row r="201" spans="1:34">
      <c r="A201" t="s">
        <v>394</v>
      </c>
      <c r="C201" s="330">
        <f>SUM('Output - Jobs vs Yr (BAU)'!C53:C54)</f>
        <v>3675.98</v>
      </c>
      <c r="D201" s="330">
        <f>SUM('Output - Jobs vs Yr (BAU)'!D53:D54)</f>
        <v>3375.35</v>
      </c>
      <c r="E201" s="330">
        <f>SUM('Output - Jobs vs Yr (BAU)'!E53:E54)</f>
        <v>3164.6676611000003</v>
      </c>
      <c r="F201" s="330">
        <f>SUM('Output - Jobs vs Yr (BAU)'!F53:F54)</f>
        <v>3635.0750469000004</v>
      </c>
      <c r="G201" s="330">
        <f>SUM('Output - Jobs vs Yr (BAU)'!G53:G54)</f>
        <v>4249.1060348000001</v>
      </c>
      <c r="H201" s="286">
        <f>SUM('Output - Jobs vs Yr (BAU)'!H53:H54)</f>
        <v>4207.1911695000008</v>
      </c>
      <c r="I201" s="118">
        <f>SUM('Output - Jobs vs Yr (BAU)'!I53:I54)</f>
        <v>3056.0893495</v>
      </c>
      <c r="J201" s="118">
        <f>SUM('Output - Jobs vs Yr (BAU)'!J53:J54)</f>
        <v>3231.5761477999999</v>
      </c>
      <c r="K201" s="118">
        <f>SUM('Output - Jobs vs Yr (BAU)'!K53:K54)</f>
        <v>3240.9860835000009</v>
      </c>
      <c r="L201" s="118">
        <f>SUM('Output - Jobs vs Yr (BAU)'!L53:L54)</f>
        <v>3494.7982002999997</v>
      </c>
      <c r="M201" s="118">
        <f>SUM('Output - Jobs vs Yr (BAU)'!M53:M54)</f>
        <v>3597.5786726000001</v>
      </c>
      <c r="N201" s="177">
        <f>SUM('Output - Jobs vs Yr (BAU)'!N53:N54)</f>
        <v>3716.3216276999997</v>
      </c>
      <c r="O201" s="118">
        <f>SUM('Output - Jobs vs Yr (BAU)'!O53:O54)</f>
        <v>4118.6832796999997</v>
      </c>
      <c r="P201" s="118">
        <f>SUM('Output - Jobs vs Yr (BAU)'!P53:P54)</f>
        <v>4506.2459442000008</v>
      </c>
      <c r="Q201" s="118">
        <f>SUM('Output - Jobs vs Yr (BAU)'!Q53:Q54)</f>
        <v>4770.4584840000007</v>
      </c>
      <c r="R201" s="118">
        <f>SUM('Output - Jobs vs Yr (BAU)'!R53:R54)</f>
        <v>4874.3912800000007</v>
      </c>
      <c r="S201" s="118">
        <f>SUM('Output - Jobs vs Yr (BAU)'!S53:S54)</f>
        <v>5083.0089101000012</v>
      </c>
      <c r="T201" s="118">
        <f>SUM('Output - Jobs vs Yr (BAU)'!T53:T54)</f>
        <v>5365.9655202999993</v>
      </c>
      <c r="U201" s="118">
        <f>SUM('Output - Jobs vs Yr (BAU)'!U53:U54)</f>
        <v>5531.1114902999998</v>
      </c>
      <c r="V201" s="118">
        <f>SUM('Output - Jobs vs Yr (BAU)'!V53:V54)</f>
        <v>5646.5066569999999</v>
      </c>
      <c r="W201" s="118">
        <f>SUM('Output - Jobs vs Yr (BAU)'!W53:W54)</f>
        <v>5899.0683388999996</v>
      </c>
      <c r="X201" s="184">
        <f>SUM('Output - Jobs vs Yr (BAU)'!X53:X54)</f>
        <v>6122.6910579999994</v>
      </c>
      <c r="Y201" s="271">
        <f>SUM('Output - Jobs vs Yr (BAU)'!Y53:Y54)</f>
        <v>6118.5370081000001</v>
      </c>
      <c r="Z201" s="271">
        <f>SUM('Output - Jobs vs Yr (BAU)'!Z53:Z54)</f>
        <v>6330.7394304000009</v>
      </c>
      <c r="AA201" s="271">
        <f>SUM('Output - Jobs vs Yr (BAU)'!AA53:AA54)</f>
        <v>6430.5395681999998</v>
      </c>
      <c r="AB201" s="271">
        <f>SUM('Output - Jobs vs Yr (BAU)'!AB53:AB54)</f>
        <v>6481.0128141000005</v>
      </c>
      <c r="AC201" s="271">
        <f>SUM('Output - Jobs vs Yr (BAU)'!AC53:AC54)</f>
        <v>6547.5446684999997</v>
      </c>
      <c r="AD201" s="271">
        <f>SUM('Output - Jobs vs Yr (BAU)'!AD53:AD54)</f>
        <v>6510.3021433999993</v>
      </c>
      <c r="AE201" s="271">
        <f>SUM('Output - Jobs vs Yr (BAU)'!AE53:AE54)</f>
        <v>6526.4418636999999</v>
      </c>
      <c r="AF201" s="271">
        <f>SUM('Output - Jobs vs Yr (BAU)'!AF53:AF54)</f>
        <v>6617.4105734000004</v>
      </c>
      <c r="AG201" s="271">
        <f>SUM('Output - Jobs vs Yr (BAU)'!AG53:AG54)</f>
        <v>6833.6145613999997</v>
      </c>
      <c r="AH201" s="184">
        <f>SUM('Output - Jobs vs Yr (BAU)'!AH53:AH54)</f>
        <v>7025.5949445000006</v>
      </c>
    </row>
    <row r="202" spans="1:34">
      <c r="A202" t="s">
        <v>395</v>
      </c>
      <c r="C202" s="330">
        <f>SUM('Output - Jobs vs Yr (BAU)'!C71:C72)</f>
        <v>3308.3820000000001</v>
      </c>
      <c r="D202" s="330">
        <f>SUM('Output - Jobs vs Yr (BAU)'!D71:D72)</f>
        <v>3037.8150000000001</v>
      </c>
      <c r="E202" s="330">
        <f>SUM('Output - Jobs vs Yr (BAU)'!E71:E72)</f>
        <v>2848.2008949900001</v>
      </c>
      <c r="F202" s="330">
        <f>SUM('Output - Jobs vs Yr (BAU)'!F71:F72)</f>
        <v>3271.5675422100003</v>
      </c>
      <c r="G202" s="330">
        <f>SUM('Output - Jobs vs Yr (BAU)'!G71:G72)</f>
        <v>3824.1954313199999</v>
      </c>
      <c r="H202" s="286">
        <f>SUM('Output - Jobs vs Yr (BAU)'!H71:H72)</f>
        <v>3786.4720525500006</v>
      </c>
      <c r="I202" s="118">
        <f>SUM('Output - Jobs vs Yr (BAU)'!I71:I72)</f>
        <v>2750.4804145499998</v>
      </c>
      <c r="J202" s="118">
        <f>SUM('Output - Jobs vs Yr (BAU)'!J71:J72)</f>
        <v>2908.4185330200003</v>
      </c>
      <c r="K202" s="118">
        <f>SUM('Output - Jobs vs Yr (BAU)'!K71:K72)</f>
        <v>2916.8874751500007</v>
      </c>
      <c r="L202" s="118">
        <f>SUM('Output - Jobs vs Yr (BAU)'!L71:L72)</f>
        <v>3145.31838027</v>
      </c>
      <c r="M202" s="118">
        <f>SUM('Output - Jobs vs Yr (BAU)'!M71:M72)</f>
        <v>3237.8208053400003</v>
      </c>
      <c r="N202" s="177">
        <f>SUM('Output - Jobs vs Yr (BAU)'!N71:N72)</f>
        <v>3344.6894649299998</v>
      </c>
      <c r="O202" s="118">
        <f>SUM('Output - Jobs vs Yr (BAU)'!O71:O72)</f>
        <v>3706.8149517299998</v>
      </c>
      <c r="P202" s="118">
        <f>SUM('Output - Jobs vs Yr (BAU)'!P71:P72)</f>
        <v>4055.6213497800009</v>
      </c>
      <c r="Q202" s="118">
        <f>SUM('Output - Jobs vs Yr (BAU)'!Q71:Q72)</f>
        <v>4293.4126356000006</v>
      </c>
      <c r="R202" s="118">
        <f>SUM('Output - Jobs vs Yr (BAU)'!R71:R72)</f>
        <v>4386.9521520000008</v>
      </c>
      <c r="S202" s="118">
        <f>SUM('Output - Jobs vs Yr (BAU)'!S71:S72)</f>
        <v>4574.7080190900015</v>
      </c>
      <c r="T202" s="118">
        <f>SUM('Output - Jobs vs Yr (BAU)'!T71:T72)</f>
        <v>4829.3689682699996</v>
      </c>
      <c r="U202" s="118">
        <f>SUM('Output - Jobs vs Yr (BAU)'!U71:U72)</f>
        <v>4978.0003412700007</v>
      </c>
      <c r="V202" s="118">
        <f>SUM('Output - Jobs vs Yr (BAU)'!V71:V72)</f>
        <v>5081.8559912999999</v>
      </c>
      <c r="W202" s="118">
        <f>SUM('Output - Jobs vs Yr (BAU)'!W71:W72)</f>
        <v>5309.1615050099999</v>
      </c>
      <c r="X202" s="184">
        <f>SUM('Output - Jobs vs Yr (BAU)'!X71:X72)</f>
        <v>5510.4219521999994</v>
      </c>
      <c r="Y202" s="271">
        <f>SUM('Output - Jobs vs Yr (BAU)'!Y71:Y72)</f>
        <v>5506.6833072899999</v>
      </c>
      <c r="Z202" s="271">
        <f>SUM('Output - Jobs vs Yr (BAU)'!Z71:Z72)</f>
        <v>5697.665487360001</v>
      </c>
      <c r="AA202" s="271">
        <f>SUM('Output - Jobs vs Yr (BAU)'!AA71:AA72)</f>
        <v>5787.4856113800006</v>
      </c>
      <c r="AB202" s="271">
        <f>SUM('Output - Jobs vs Yr (BAU)'!AB71:AB72)</f>
        <v>5832.911532690001</v>
      </c>
      <c r="AC202" s="271">
        <f>SUM('Output - Jobs vs Yr (BAU)'!AC71:AC72)</f>
        <v>5892.7902016499993</v>
      </c>
      <c r="AD202" s="271">
        <f>SUM('Output - Jobs vs Yr (BAU)'!AD71:AD72)</f>
        <v>5859.2719290599998</v>
      </c>
      <c r="AE202" s="271">
        <f>SUM('Output - Jobs vs Yr (BAU)'!AE71:AE72)</f>
        <v>5873.7976773299997</v>
      </c>
      <c r="AF202" s="271">
        <f>SUM('Output - Jobs vs Yr (BAU)'!AF71:AF72)</f>
        <v>5955.6695160600011</v>
      </c>
      <c r="AG202" s="271">
        <f>SUM('Output - Jobs vs Yr (BAU)'!AG71:AG72)</f>
        <v>6150.2531052599998</v>
      </c>
      <c r="AH202" s="184">
        <f>SUM('Output - Jobs vs Yr (BAU)'!AH71:AH72)</f>
        <v>6323.0354500499998</v>
      </c>
    </row>
    <row r="203" spans="1:34">
      <c r="A203" s="1" t="s">
        <v>424</v>
      </c>
      <c r="C203" s="331">
        <f>SUM(C191,C194,C197,C200)</f>
        <v>8801.3764979999996</v>
      </c>
      <c r="D203" s="331">
        <f t="shared" ref="D203:AH203" si="115">SUM(D191,D194,D197,D200)</f>
        <v>8327.6331200000004</v>
      </c>
      <c r="E203" s="331">
        <f t="shared" si="115"/>
        <v>7895.9922915503366</v>
      </c>
      <c r="F203" s="331">
        <f t="shared" si="115"/>
        <v>8828.257221017202</v>
      </c>
      <c r="G203" s="331">
        <f t="shared" si="115"/>
        <v>10190.405986738733</v>
      </c>
      <c r="H203" s="402">
        <f t="shared" si="115"/>
        <v>10210.652003437823</v>
      </c>
      <c r="I203" s="14">
        <f t="shared" si="115"/>
        <v>7943.8391351407045</v>
      </c>
      <c r="J203" s="14">
        <f t="shared" si="115"/>
        <v>8753.3979289971085</v>
      </c>
      <c r="K203" s="14">
        <f t="shared" si="115"/>
        <v>9266.8646278272645</v>
      </c>
      <c r="L203" s="14">
        <f t="shared" si="115"/>
        <v>10106.441551797991</v>
      </c>
      <c r="M203" s="132">
        <f t="shared" si="115"/>
        <v>10399.144020780192</v>
      </c>
      <c r="N203" s="193">
        <f t="shared" si="115"/>
        <v>10725.353093742746</v>
      </c>
      <c r="O203" s="14">
        <f t="shared" si="115"/>
        <v>11733.714364378022</v>
      </c>
      <c r="P203" s="14">
        <f t="shared" si="115"/>
        <v>12824.452212857546</v>
      </c>
      <c r="Q203" s="14">
        <f t="shared" si="115"/>
        <v>13718.603370968172</v>
      </c>
      <c r="R203" s="14">
        <f t="shared" si="115"/>
        <v>14297.816641803945</v>
      </c>
      <c r="S203" s="14">
        <f t="shared" si="115"/>
        <v>15195.928935736471</v>
      </c>
      <c r="T203" s="14">
        <f t="shared" si="115"/>
        <v>16275.663318789959</v>
      </c>
      <c r="U203" s="14">
        <f t="shared" si="115"/>
        <v>17031.893903174307</v>
      </c>
      <c r="V203" s="14">
        <f t="shared" si="115"/>
        <v>17525.834196265852</v>
      </c>
      <c r="W203" s="14">
        <f t="shared" si="115"/>
        <v>18175.921136128571</v>
      </c>
      <c r="X203" s="187">
        <f t="shared" si="115"/>
        <v>18899.855106737392</v>
      </c>
      <c r="Y203" s="158">
        <f t="shared" si="115"/>
        <v>19412.177374703504</v>
      </c>
      <c r="Z203" s="158">
        <f t="shared" si="115"/>
        <v>20677.446710110351</v>
      </c>
      <c r="AA203" s="158">
        <f t="shared" si="115"/>
        <v>21603.584268848332</v>
      </c>
      <c r="AB203" s="158">
        <f t="shared" si="115"/>
        <v>22430.091656059714</v>
      </c>
      <c r="AC203" s="158">
        <f t="shared" si="115"/>
        <v>22832.494894823787</v>
      </c>
      <c r="AD203" s="158">
        <f t="shared" si="115"/>
        <v>22978.75892384912</v>
      </c>
      <c r="AE203" s="158">
        <f t="shared" si="115"/>
        <v>23204.802723680717</v>
      </c>
      <c r="AF203" s="158">
        <f t="shared" si="115"/>
        <v>23664.682832750041</v>
      </c>
      <c r="AG203" s="158">
        <f t="shared" si="115"/>
        <v>24432.086673000715</v>
      </c>
      <c r="AH203" s="187">
        <f t="shared" si="115"/>
        <v>24964.562485341718</v>
      </c>
    </row>
    <row r="204" spans="1:34">
      <c r="A204" s="1" t="s">
        <v>447</v>
      </c>
      <c r="C204" s="331"/>
      <c r="D204" s="331">
        <f>D194+D197</f>
        <v>1914.4681199999998</v>
      </c>
      <c r="E204" s="331">
        <f t="shared" ref="E204:AH204" si="116">E194+E197</f>
        <v>1883.1237354603365</v>
      </c>
      <c r="F204" s="331">
        <f t="shared" si="116"/>
        <v>1921.6146319072006</v>
      </c>
      <c r="G204" s="331">
        <f t="shared" si="116"/>
        <v>2117.1045206187346</v>
      </c>
      <c r="H204" s="402">
        <f t="shared" si="116"/>
        <v>2216.9887813878213</v>
      </c>
      <c r="I204" s="14">
        <f t="shared" si="116"/>
        <v>2137.2693710907042</v>
      </c>
      <c r="J204" s="14">
        <f t="shared" si="116"/>
        <v>2613.4032481771083</v>
      </c>
      <c r="K204" s="14">
        <f t="shared" si="116"/>
        <v>3108.9910691772629</v>
      </c>
      <c r="L204" s="14">
        <f t="shared" si="116"/>
        <v>3466.3249712279899</v>
      </c>
      <c r="M204" s="14">
        <f t="shared" si="116"/>
        <v>3563.7445428401916</v>
      </c>
      <c r="N204" s="187">
        <f t="shared" si="116"/>
        <v>3664.3420011127469</v>
      </c>
      <c r="O204" s="14">
        <f t="shared" si="116"/>
        <v>3908.2161329480232</v>
      </c>
      <c r="P204" s="14">
        <f t="shared" si="116"/>
        <v>4262.5849188775446</v>
      </c>
      <c r="Q204" s="14">
        <f t="shared" si="116"/>
        <v>4654.7322513681711</v>
      </c>
      <c r="R204" s="14">
        <f t="shared" si="116"/>
        <v>5036.473209803944</v>
      </c>
      <c r="S204" s="14">
        <f t="shared" si="116"/>
        <v>5538.2120065464678</v>
      </c>
      <c r="T204" s="14">
        <f t="shared" si="116"/>
        <v>6080.3288302199599</v>
      </c>
      <c r="U204" s="14">
        <f t="shared" si="116"/>
        <v>6522.7820716043061</v>
      </c>
      <c r="V204" s="14">
        <f t="shared" si="116"/>
        <v>6797.4715479658516</v>
      </c>
      <c r="W204" s="14">
        <f t="shared" si="116"/>
        <v>6967.691292218572</v>
      </c>
      <c r="X204" s="187">
        <f t="shared" si="116"/>
        <v>7266.7420965373949</v>
      </c>
      <c r="Y204" s="158">
        <f t="shared" si="116"/>
        <v>7786.9570593135049</v>
      </c>
      <c r="Z204" s="158">
        <f t="shared" si="116"/>
        <v>8649.0417923503501</v>
      </c>
      <c r="AA204" s="158">
        <f t="shared" si="116"/>
        <v>9385.5590892683322</v>
      </c>
      <c r="AB204" s="158">
        <f t="shared" si="116"/>
        <v>10116.167309269713</v>
      </c>
      <c r="AC204" s="158">
        <f t="shared" si="116"/>
        <v>10392.160024673787</v>
      </c>
      <c r="AD204" s="158">
        <f t="shared" si="116"/>
        <v>10609.184851389122</v>
      </c>
      <c r="AE204" s="158">
        <f t="shared" si="116"/>
        <v>10804.563182650718</v>
      </c>
      <c r="AF204" s="158">
        <f t="shared" si="116"/>
        <v>11091.602743290037</v>
      </c>
      <c r="AG204" s="158">
        <f t="shared" si="116"/>
        <v>11448.219006340714</v>
      </c>
      <c r="AH204" s="187">
        <f t="shared" si="116"/>
        <v>11615.932090791715</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452</v>
      </c>
      <c r="C206" s="331"/>
      <c r="D206" s="331">
        <f>D194</f>
        <v>1299.72597</v>
      </c>
      <c r="E206" s="331">
        <f>D206+E194</f>
        <v>2463.091265561457</v>
      </c>
      <c r="F206" s="331">
        <f>E206+F194</f>
        <v>3708.1481830144112</v>
      </c>
      <c r="G206" s="331">
        <f>F206+G194</f>
        <v>5268.8469641167649</v>
      </c>
      <c r="H206" s="402">
        <f t="shared" ref="H206:X206" si="117">G206+H194</f>
        <v>6917.595316064886</v>
      </c>
      <c r="I206" s="14">
        <f t="shared" si="117"/>
        <v>8477.2627185944148</v>
      </c>
      <c r="J206" s="14">
        <f t="shared" si="117"/>
        <v>10502.863794634144</v>
      </c>
      <c r="K206" s="14">
        <f t="shared" si="117"/>
        <v>13016.880915067442</v>
      </c>
      <c r="L206" s="14">
        <f t="shared" si="117"/>
        <v>15890.78286251188</v>
      </c>
      <c r="M206" s="14">
        <f t="shared" si="117"/>
        <v>18862.104186345576</v>
      </c>
      <c r="N206" s="187">
        <f t="shared" si="117"/>
        <v>21934.02316367477</v>
      </c>
      <c r="O206" s="14">
        <f t="shared" si="117"/>
        <v>25246.752514953732</v>
      </c>
      <c r="P206" s="14">
        <f t="shared" si="117"/>
        <v>28913.850847385158</v>
      </c>
      <c r="Q206" s="14">
        <f t="shared" si="117"/>
        <v>32973.096578860488</v>
      </c>
      <c r="R206" s="14">
        <f t="shared" si="117"/>
        <v>37414.083268771588</v>
      </c>
      <c r="S206" s="14">
        <f t="shared" si="117"/>
        <v>42356.808755425212</v>
      </c>
      <c r="T206" s="14">
        <f t="shared" si="117"/>
        <v>47841.65113674249</v>
      </c>
      <c r="U206" s="14">
        <f t="shared" si="117"/>
        <v>53768.946759444116</v>
      </c>
      <c r="V206" s="14">
        <f t="shared" si="117"/>
        <v>59970.931858507291</v>
      </c>
      <c r="W206" s="14">
        <f t="shared" si="117"/>
        <v>66339.53979007891</v>
      </c>
      <c r="X206" s="187">
        <f t="shared" si="117"/>
        <v>73007.198525969347</v>
      </c>
      <c r="Y206" s="158">
        <f t="shared" ref="Y206:AH206" si="118">X206+Y194</f>
        <v>80194.291829792928</v>
      </c>
      <c r="Z206" s="158">
        <f t="shared" si="118"/>
        <v>88243.469862216472</v>
      </c>
      <c r="AA206" s="158">
        <f t="shared" si="118"/>
        <v>97029.165191558001</v>
      </c>
      <c r="AB206" s="158">
        <f t="shared" si="118"/>
        <v>106545.46874090091</v>
      </c>
      <c r="AC206" s="158">
        <f t="shared" si="118"/>
        <v>116336.61672204161</v>
      </c>
      <c r="AD206" s="158">
        <f t="shared" si="118"/>
        <v>126344.78933023782</v>
      </c>
      <c r="AE206" s="158">
        <f t="shared" si="118"/>
        <v>136548.34040723907</v>
      </c>
      <c r="AF206" s="158">
        <f t="shared" si="118"/>
        <v>147038.93124897635</v>
      </c>
      <c r="AG206" s="158">
        <f t="shared" si="118"/>
        <v>157883.36476372616</v>
      </c>
      <c r="AH206" s="187">
        <f t="shared" si="118"/>
        <v>168895.51142504334</v>
      </c>
    </row>
    <row r="207" spans="1:34">
      <c r="A207" s="1" t="s">
        <v>455</v>
      </c>
      <c r="C207" s="331"/>
      <c r="D207" s="331">
        <f>D200</f>
        <v>6413.165</v>
      </c>
      <c r="E207" s="331">
        <f>D207+E200</f>
        <v>12426.03355609</v>
      </c>
      <c r="F207" s="331">
        <f>E207+F200</f>
        <v>19332.676145199999</v>
      </c>
      <c r="G207" s="331">
        <f t="shared" ref="G207:X207" si="119">F207+G200</f>
        <v>27405.977611319999</v>
      </c>
      <c r="H207" s="402">
        <f t="shared" si="119"/>
        <v>35399.640833370002</v>
      </c>
      <c r="I207" s="14">
        <f t="shared" si="119"/>
        <v>41206.210597420002</v>
      </c>
      <c r="J207" s="14">
        <f t="shared" si="119"/>
        <v>47346.205278239999</v>
      </c>
      <c r="K207" s="14">
        <f t="shared" si="119"/>
        <v>53504.078836890003</v>
      </c>
      <c r="L207" s="14">
        <f t="shared" si="119"/>
        <v>60144.195417460003</v>
      </c>
      <c r="M207" s="14">
        <f t="shared" si="119"/>
        <v>66979.594895400005</v>
      </c>
      <c r="N207" s="187">
        <f t="shared" si="119"/>
        <v>74040.605988030002</v>
      </c>
      <c r="O207" s="14">
        <f t="shared" si="119"/>
        <v>81866.104219460001</v>
      </c>
      <c r="P207" s="14">
        <f t="shared" si="119"/>
        <v>90427.971513440003</v>
      </c>
      <c r="Q207" s="14">
        <f t="shared" si="119"/>
        <v>99491.842633040011</v>
      </c>
      <c r="R207" s="14">
        <f t="shared" si="119"/>
        <v>108753.18606504</v>
      </c>
      <c r="S207" s="14">
        <f t="shared" si="119"/>
        <v>118410.90299423001</v>
      </c>
      <c r="T207" s="14">
        <f t="shared" si="119"/>
        <v>128606.2374828</v>
      </c>
      <c r="U207" s="14">
        <f t="shared" si="119"/>
        <v>139115.34931437002</v>
      </c>
      <c r="V207" s="14">
        <f t="shared" si="119"/>
        <v>149843.71196267003</v>
      </c>
      <c r="W207" s="14">
        <f t="shared" si="119"/>
        <v>161051.94180658003</v>
      </c>
      <c r="X207" s="187">
        <f t="shared" si="119"/>
        <v>172685.05481678003</v>
      </c>
      <c r="Y207" s="158">
        <f t="shared" ref="Y207:AH207" si="120">X207+Y200</f>
        <v>184310.27513217003</v>
      </c>
      <c r="Z207" s="158">
        <f t="shared" si="120"/>
        <v>196338.68004993003</v>
      </c>
      <c r="AA207" s="158">
        <f t="shared" si="120"/>
        <v>208556.70522951003</v>
      </c>
      <c r="AB207" s="158">
        <f t="shared" si="120"/>
        <v>220870.62957630004</v>
      </c>
      <c r="AC207" s="158">
        <f t="shared" si="120"/>
        <v>233310.96444645003</v>
      </c>
      <c r="AD207" s="158">
        <f t="shared" si="120"/>
        <v>245680.53851891003</v>
      </c>
      <c r="AE207" s="158">
        <f t="shared" si="120"/>
        <v>258080.77805994003</v>
      </c>
      <c r="AF207" s="158">
        <f t="shared" si="120"/>
        <v>270653.85814940004</v>
      </c>
      <c r="AG207" s="158">
        <f t="shared" si="120"/>
        <v>283637.72581606003</v>
      </c>
      <c r="AH207" s="187">
        <f t="shared" si="120"/>
        <v>296986.35621061001</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411</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41">
        <f>SUM(C214:C215)</f>
        <v>1115.6320780000001</v>
      </c>
      <c r="D213" s="341">
        <f t="shared" ref="D213:AH213" si="124">SUM(D214:D215)</f>
        <v>1348.2793206368833</v>
      </c>
      <c r="E213" s="341">
        <f t="shared" si="124"/>
        <v>1442.936504836186</v>
      </c>
      <c r="F213" s="341">
        <f t="shared" si="124"/>
        <v>1978.5215560972592</v>
      </c>
      <c r="G213" s="341">
        <f t="shared" si="124"/>
        <v>2753.706246427831</v>
      </c>
      <c r="H213" s="405">
        <f t="shared" si="124"/>
        <v>1648.7480819481216</v>
      </c>
      <c r="I213" s="15">
        <f t="shared" si="124"/>
        <v>1578.0479616384828</v>
      </c>
      <c r="J213" s="15">
        <f t="shared" si="124"/>
        <v>2025.6064492850091</v>
      </c>
      <c r="K213" s="15">
        <f t="shared" si="124"/>
        <v>2611.3139010995646</v>
      </c>
      <c r="L213" s="15">
        <f t="shared" si="124"/>
        <v>3174.8915646291434</v>
      </c>
      <c r="M213" s="15">
        <f t="shared" si="124"/>
        <v>3942.5783305757741</v>
      </c>
      <c r="N213" s="190">
        <f t="shared" si="124"/>
        <v>4896.4036150555912</v>
      </c>
      <c r="O213" s="15">
        <f t="shared" si="124"/>
        <v>5588.7534933755915</v>
      </c>
      <c r="P213" s="15">
        <f t="shared" si="124"/>
        <v>6342.0314029979472</v>
      </c>
      <c r="Q213" s="15">
        <f t="shared" si="124"/>
        <v>7016.8771511097711</v>
      </c>
      <c r="R213" s="15">
        <f t="shared" si="124"/>
        <v>7542.3925134079545</v>
      </c>
      <c r="S213" s="15">
        <f t="shared" si="124"/>
        <v>8223.0977719047296</v>
      </c>
      <c r="T213" s="15">
        <f t="shared" si="124"/>
        <v>9072.6807454029167</v>
      </c>
      <c r="U213" s="15">
        <f t="shared" si="124"/>
        <v>9797.9481554402191</v>
      </c>
      <c r="V213" s="15">
        <f t="shared" si="124"/>
        <v>10441.42122955882</v>
      </c>
      <c r="W213" s="15">
        <f t="shared" si="124"/>
        <v>11284.786408124161</v>
      </c>
      <c r="X213" s="190">
        <f t="shared" si="124"/>
        <v>12180.527207577648</v>
      </c>
      <c r="Y213" s="130">
        <f t="shared" si="124"/>
        <v>12703.972953146933</v>
      </c>
      <c r="Z213" s="130">
        <f t="shared" si="124"/>
        <v>13715.676788180474</v>
      </c>
      <c r="AA213" s="130">
        <f t="shared" si="124"/>
        <v>14543.174770198821</v>
      </c>
      <c r="AB213" s="130">
        <f t="shared" si="124"/>
        <v>15338.372639319985</v>
      </c>
      <c r="AC213" s="130">
        <f t="shared" si="124"/>
        <v>16031.525127691719</v>
      </c>
      <c r="AD213" s="130">
        <f t="shared" si="124"/>
        <v>16523.807620143474</v>
      </c>
      <c r="AE213" s="130">
        <f t="shared" si="124"/>
        <v>17103.207117723981</v>
      </c>
      <c r="AF213" s="130">
        <f t="shared" si="124"/>
        <v>17881.216976516454</v>
      </c>
      <c r="AG213" s="130">
        <f t="shared" si="124"/>
        <v>18960.400385570698</v>
      </c>
      <c r="AH213" s="190">
        <f t="shared" si="124"/>
        <v>19951.068414553847</v>
      </c>
    </row>
    <row r="214" spans="1:34">
      <c r="A214" t="s">
        <v>397</v>
      </c>
      <c r="C214" s="331">
        <f>C115</f>
        <v>587.17491999999993</v>
      </c>
      <c r="D214" s="331">
        <f t="shared" ref="D214:AH214" si="125">D115</f>
        <v>709.62083908087254</v>
      </c>
      <c r="E214" s="331">
        <f t="shared" si="125"/>
        <v>759.4404146277908</v>
      </c>
      <c r="F214" s="331">
        <f t="shared" si="125"/>
        <v>1041.3273183532408</v>
      </c>
      <c r="G214" s="331">
        <f t="shared" si="125"/>
        <v>1449.3193065349565</v>
      </c>
      <c r="H214" s="402">
        <f t="shared" si="125"/>
        <v>867.76229049901133</v>
      </c>
      <c r="I214" s="14">
        <f t="shared" si="125"/>
        <v>830.55170086235933</v>
      </c>
      <c r="J214" s="14">
        <f t="shared" si="125"/>
        <v>1066.108799623689</v>
      </c>
      <c r="K214" s="14">
        <f t="shared" si="125"/>
        <v>1374.3758918460146</v>
      </c>
      <c r="L214" s="14">
        <f t="shared" si="125"/>
        <v>1670.995741741624</v>
      </c>
      <c r="M214" s="14">
        <f t="shared" si="125"/>
        <v>2075.0414294077959</v>
      </c>
      <c r="N214" s="182">
        <f t="shared" si="125"/>
        <v>2577.0547607447124</v>
      </c>
      <c r="O214" s="14">
        <f t="shared" si="125"/>
        <v>2941.4494655724357</v>
      </c>
      <c r="P214" s="14">
        <f t="shared" si="125"/>
        <v>3337.9115581146325</v>
      </c>
      <c r="Q214" s="14">
        <f t="shared" si="125"/>
        <v>3693.0935620230575</v>
      </c>
      <c r="R214" s="14">
        <f t="shared" si="125"/>
        <v>3969.6806191216256</v>
      </c>
      <c r="S214" s="14">
        <f t="shared" si="125"/>
        <v>4327.946576135294</v>
      </c>
      <c r="T214" s="14">
        <f t="shared" si="125"/>
        <v>4775.0955488566324</v>
      </c>
      <c r="U214" s="14">
        <f t="shared" si="125"/>
        <v>5156.8152719004174</v>
      </c>
      <c r="V214" s="14">
        <f t="shared" si="125"/>
        <v>5495.4853406769171</v>
      </c>
      <c r="W214" s="14">
        <f t="shared" si="125"/>
        <v>5939.3617894617564</v>
      </c>
      <c r="X214" s="187">
        <f t="shared" si="125"/>
        <v>6410.8043569263828</v>
      </c>
      <c r="Y214" s="158">
        <f t="shared" si="125"/>
        <v>6686.3021419666329</v>
      </c>
      <c r="Z214" s="158">
        <f t="shared" si="125"/>
        <v>7218.7778914167257</v>
      </c>
      <c r="AA214" s="158">
        <f t="shared" si="125"/>
        <v>7654.3031833901923</v>
      </c>
      <c r="AB214" s="158">
        <f t="shared" si="125"/>
        <v>8072.8284144499039</v>
      </c>
      <c r="AC214" s="158">
        <f t="shared" si="125"/>
        <v>8437.6455456577733</v>
      </c>
      <c r="AD214" s="158">
        <f t="shared" si="125"/>
        <v>8696.7416170893066</v>
      </c>
      <c r="AE214" s="158">
        <f t="shared" si="125"/>
        <v>9001.6887478817498</v>
      </c>
      <c r="AF214" s="158">
        <f t="shared" si="125"/>
        <v>9411.1676569207266</v>
      </c>
      <c r="AG214" s="158">
        <f t="shared" si="125"/>
        <v>9979.158974766442</v>
      </c>
      <c r="AH214" s="187">
        <f t="shared" si="125"/>
        <v>10500.563246374801</v>
      </c>
    </row>
    <row r="215" spans="1:34">
      <c r="A215" t="s">
        <v>398</v>
      </c>
      <c r="C215" s="331">
        <f>C142</f>
        <v>528.45715800000005</v>
      </c>
      <c r="D215" s="331">
        <f t="shared" ref="D215:AH215" si="126">D142</f>
        <v>638.65848155601088</v>
      </c>
      <c r="E215" s="331">
        <f t="shared" si="126"/>
        <v>683.49609020839534</v>
      </c>
      <c r="F215" s="331">
        <f t="shared" si="126"/>
        <v>937.19423774401855</v>
      </c>
      <c r="G215" s="331">
        <f t="shared" si="126"/>
        <v>1304.3869398928746</v>
      </c>
      <c r="H215" s="402">
        <f t="shared" si="126"/>
        <v>780.98579144911025</v>
      </c>
      <c r="I215" s="14">
        <f t="shared" si="126"/>
        <v>747.49626077612345</v>
      </c>
      <c r="J215" s="14">
        <f t="shared" si="126"/>
        <v>959.49764966132011</v>
      </c>
      <c r="K215" s="14">
        <f t="shared" si="126"/>
        <v>1236.9380092535503</v>
      </c>
      <c r="L215" s="14">
        <f t="shared" si="126"/>
        <v>1503.8958228875197</v>
      </c>
      <c r="M215" s="14">
        <f t="shared" si="126"/>
        <v>1867.5369011679782</v>
      </c>
      <c r="N215" s="182">
        <f t="shared" si="126"/>
        <v>2319.3488543108792</v>
      </c>
      <c r="O215" s="14">
        <f t="shared" si="126"/>
        <v>2647.3040278031558</v>
      </c>
      <c r="P215" s="14">
        <f t="shared" si="126"/>
        <v>3004.1198448833143</v>
      </c>
      <c r="Q215" s="14">
        <f t="shared" si="126"/>
        <v>3323.7835890867132</v>
      </c>
      <c r="R215" s="14">
        <f t="shared" si="126"/>
        <v>3572.7118942863285</v>
      </c>
      <c r="S215" s="14">
        <f t="shared" si="126"/>
        <v>3895.1511957694365</v>
      </c>
      <c r="T215" s="14">
        <f t="shared" si="126"/>
        <v>4297.5851965462844</v>
      </c>
      <c r="U215" s="14">
        <f t="shared" si="126"/>
        <v>4641.1328835398008</v>
      </c>
      <c r="V215" s="14">
        <f t="shared" si="126"/>
        <v>4945.9358888819033</v>
      </c>
      <c r="W215" s="14">
        <f t="shared" si="126"/>
        <v>5345.4246186624041</v>
      </c>
      <c r="X215" s="187">
        <f t="shared" si="126"/>
        <v>5769.7228506512647</v>
      </c>
      <c r="Y215" s="158">
        <f t="shared" si="126"/>
        <v>6017.6708111803</v>
      </c>
      <c r="Z215" s="158">
        <f t="shared" si="126"/>
        <v>6496.898896763747</v>
      </c>
      <c r="AA215" s="158">
        <f t="shared" si="126"/>
        <v>6888.8715868086274</v>
      </c>
      <c r="AB215" s="158">
        <f t="shared" si="126"/>
        <v>7265.5442248700811</v>
      </c>
      <c r="AC215" s="158">
        <f t="shared" si="126"/>
        <v>7593.8795820339456</v>
      </c>
      <c r="AD215" s="158">
        <f t="shared" si="126"/>
        <v>7827.0660030541658</v>
      </c>
      <c r="AE215" s="158">
        <f t="shared" si="126"/>
        <v>8101.5183698422306</v>
      </c>
      <c r="AF215" s="158">
        <f t="shared" si="126"/>
        <v>8470.0493195957279</v>
      </c>
      <c r="AG215" s="158">
        <f t="shared" si="126"/>
        <v>8981.2414108042576</v>
      </c>
      <c r="AH215" s="187">
        <f t="shared" si="126"/>
        <v>9450.5051681790446</v>
      </c>
    </row>
    <row r="216" spans="1:34">
      <c r="A216" t="s">
        <v>399</v>
      </c>
      <c r="C216" s="331">
        <f>SUM(C217:C218)</f>
        <v>701.38214999999991</v>
      </c>
      <c r="D216" s="331">
        <f t="shared" ref="D216:AH216" si="127">SUM(D217:D218)</f>
        <v>639.33751719189218</v>
      </c>
      <c r="E216" s="331">
        <f t="shared" si="127"/>
        <v>594.40784095002869</v>
      </c>
      <c r="F216" s="331">
        <f t="shared" si="127"/>
        <v>658.34923233352538</v>
      </c>
      <c r="G216" s="331">
        <f t="shared" si="127"/>
        <v>739.0855433103045</v>
      </c>
      <c r="H216" s="402">
        <f t="shared" si="127"/>
        <v>568.24042943969971</v>
      </c>
      <c r="I216" s="14">
        <f t="shared" si="127"/>
        <v>439.80531935014756</v>
      </c>
      <c r="J216" s="14">
        <f t="shared" si="127"/>
        <v>478.42429363807395</v>
      </c>
      <c r="K216" s="14">
        <f t="shared" si="127"/>
        <v>499.78596032179803</v>
      </c>
      <c r="L216" s="14">
        <f t="shared" si="127"/>
        <v>546.96741561364468</v>
      </c>
      <c r="M216" s="14">
        <f t="shared" si="127"/>
        <v>569.51552202109826</v>
      </c>
      <c r="N216" s="190">
        <f t="shared" si="127"/>
        <v>592.42302378355237</v>
      </c>
      <c r="O216" s="14">
        <f t="shared" si="127"/>
        <v>623.98336395141087</v>
      </c>
      <c r="P216" s="14">
        <f t="shared" si="127"/>
        <v>652.33849049681885</v>
      </c>
      <c r="Q216" s="14">
        <f t="shared" si="127"/>
        <v>663.73734066053055</v>
      </c>
      <c r="R216" s="14">
        <f t="shared" si="127"/>
        <v>654.81713837551047</v>
      </c>
      <c r="S216" s="15">
        <f t="shared" si="127"/>
        <v>653.84561729198379</v>
      </c>
      <c r="T216" s="14">
        <f t="shared" si="127"/>
        <v>659.14677041017637</v>
      </c>
      <c r="U216" s="14">
        <f t="shared" si="127"/>
        <v>648.72300275608166</v>
      </c>
      <c r="V216" s="14">
        <f t="shared" si="127"/>
        <v>628.21410849283507</v>
      </c>
      <c r="W216" s="14">
        <f t="shared" si="127"/>
        <v>614.98571504103847</v>
      </c>
      <c r="X216" s="187">
        <f t="shared" si="127"/>
        <v>599.08336064695516</v>
      </c>
      <c r="Y216" s="158">
        <f t="shared" si="127"/>
        <v>596.20654053413921</v>
      </c>
      <c r="Z216" s="158">
        <f t="shared" si="127"/>
        <v>613.99546949195496</v>
      </c>
      <c r="AA216" s="158">
        <f t="shared" si="127"/>
        <v>620.79352371138214</v>
      </c>
      <c r="AB216" s="158">
        <f t="shared" si="127"/>
        <v>624.09510114505531</v>
      </c>
      <c r="AC216" s="158">
        <f t="shared" si="127"/>
        <v>621.53737990588763</v>
      </c>
      <c r="AD216" s="158">
        <f t="shared" si="127"/>
        <v>610.17494964208106</v>
      </c>
      <c r="AE216" s="158">
        <f t="shared" si="127"/>
        <v>601.30894095614303</v>
      </c>
      <c r="AF216" s="158">
        <f t="shared" si="127"/>
        <v>598.2872785466833</v>
      </c>
      <c r="AG216" s="158">
        <f t="shared" si="127"/>
        <v>603.47842123542114</v>
      </c>
      <c r="AH216" s="187">
        <f t="shared" si="127"/>
        <v>603.78542947452047</v>
      </c>
    </row>
    <row r="217" spans="1:34">
      <c r="A217" t="s">
        <v>400</v>
      </c>
      <c r="C217" s="331">
        <f>C114</f>
        <v>369.14849999999996</v>
      </c>
      <c r="D217" s="331">
        <f t="shared" ref="D217:AH217" si="128">D114</f>
        <v>336.49343010099591</v>
      </c>
      <c r="E217" s="331">
        <f t="shared" si="128"/>
        <v>312.84623207896249</v>
      </c>
      <c r="F217" s="331">
        <f t="shared" si="128"/>
        <v>346.49959596501338</v>
      </c>
      <c r="G217" s="331">
        <f t="shared" si="128"/>
        <v>388.99239121594974</v>
      </c>
      <c r="H217" s="402">
        <f t="shared" si="128"/>
        <v>299.07391023142094</v>
      </c>
      <c r="I217" s="14">
        <f t="shared" si="128"/>
        <v>231.47648386849869</v>
      </c>
      <c r="J217" s="14">
        <f t="shared" si="128"/>
        <v>251.80225980951261</v>
      </c>
      <c r="K217" s="14">
        <f t="shared" si="128"/>
        <v>263.04524227463054</v>
      </c>
      <c r="L217" s="14">
        <f t="shared" si="128"/>
        <v>287.87758716507614</v>
      </c>
      <c r="M217" s="14">
        <f t="shared" si="128"/>
        <v>299.74501159005172</v>
      </c>
      <c r="N217" s="187">
        <f t="shared" si="128"/>
        <v>311.80159146502757</v>
      </c>
      <c r="O217" s="14">
        <f t="shared" si="128"/>
        <v>328.41229681653203</v>
      </c>
      <c r="P217" s="14">
        <f t="shared" si="128"/>
        <v>343.33604762990461</v>
      </c>
      <c r="Q217" s="14">
        <f t="shared" si="128"/>
        <v>349.3354424529108</v>
      </c>
      <c r="R217" s="14">
        <f t="shared" si="128"/>
        <v>344.64059914500552</v>
      </c>
      <c r="S217" s="14">
        <f t="shared" si="128"/>
        <v>344.12927225893884</v>
      </c>
      <c r="T217" s="14">
        <f t="shared" si="128"/>
        <v>346.91935284746125</v>
      </c>
      <c r="U217" s="14">
        <f t="shared" si="128"/>
        <v>341.43315934530614</v>
      </c>
      <c r="V217" s="14">
        <f t="shared" si="128"/>
        <v>330.63900446991317</v>
      </c>
      <c r="W217" s="14">
        <f t="shared" si="128"/>
        <v>323.67669212686235</v>
      </c>
      <c r="X217" s="187">
        <f t="shared" si="128"/>
        <v>315.30703191945008</v>
      </c>
      <c r="Y217" s="158">
        <f t="shared" si="128"/>
        <v>313.79291607059957</v>
      </c>
      <c r="Z217" s="158">
        <f t="shared" si="128"/>
        <v>323.1555102589237</v>
      </c>
      <c r="AA217" s="158">
        <f t="shared" si="128"/>
        <v>326.73343353230638</v>
      </c>
      <c r="AB217" s="158">
        <f t="shared" si="128"/>
        <v>328.47110586581857</v>
      </c>
      <c r="AC217" s="158">
        <f t="shared" si="128"/>
        <v>327.12493679257244</v>
      </c>
      <c r="AD217" s="158">
        <f t="shared" si="128"/>
        <v>321.1447103379374</v>
      </c>
      <c r="AE217" s="158">
        <f t="shared" si="128"/>
        <v>316.47838997691741</v>
      </c>
      <c r="AF217" s="158">
        <f t="shared" si="128"/>
        <v>314.88804134035962</v>
      </c>
      <c r="AG217" s="158">
        <f t="shared" si="128"/>
        <v>317.6202217028532</v>
      </c>
      <c r="AH217" s="187">
        <f t="shared" si="128"/>
        <v>317.78180498658969</v>
      </c>
    </row>
    <row r="218" spans="1:34">
      <c r="A218" t="s">
        <v>401</v>
      </c>
      <c r="C218" s="331">
        <f>C141</f>
        <v>332.23364999999995</v>
      </c>
      <c r="D218" s="331">
        <f t="shared" ref="D218:AH218" si="129">D141</f>
        <v>302.84408709089632</v>
      </c>
      <c r="E218" s="331">
        <f t="shared" si="129"/>
        <v>281.56160887106626</v>
      </c>
      <c r="F218" s="331">
        <f t="shared" si="129"/>
        <v>311.84963636851205</v>
      </c>
      <c r="G218" s="331">
        <f t="shared" si="129"/>
        <v>350.09315209435476</v>
      </c>
      <c r="H218" s="402">
        <f t="shared" si="129"/>
        <v>269.16651920827883</v>
      </c>
      <c r="I218" s="14">
        <f t="shared" si="129"/>
        <v>208.32883548164884</v>
      </c>
      <c r="J218" s="14">
        <f t="shared" si="129"/>
        <v>226.62203382856134</v>
      </c>
      <c r="K218" s="14">
        <f t="shared" si="129"/>
        <v>236.74071804716749</v>
      </c>
      <c r="L218" s="14">
        <f t="shared" si="129"/>
        <v>259.08982844856854</v>
      </c>
      <c r="M218" s="14">
        <f t="shared" si="129"/>
        <v>269.77051043104655</v>
      </c>
      <c r="N218" s="187">
        <f t="shared" si="129"/>
        <v>280.6214323185248</v>
      </c>
      <c r="O218" s="14">
        <f t="shared" si="129"/>
        <v>295.57106713487883</v>
      </c>
      <c r="P218" s="14">
        <f t="shared" si="129"/>
        <v>309.00244286691418</v>
      </c>
      <c r="Q218" s="14">
        <f t="shared" si="129"/>
        <v>314.40189820761975</v>
      </c>
      <c r="R218" s="14">
        <f t="shared" si="129"/>
        <v>310.176539230505</v>
      </c>
      <c r="S218" s="14">
        <f t="shared" si="129"/>
        <v>309.71634503304495</v>
      </c>
      <c r="T218" s="14">
        <f t="shared" si="129"/>
        <v>312.22741756271512</v>
      </c>
      <c r="U218" s="14">
        <f t="shared" si="129"/>
        <v>307.28984341077552</v>
      </c>
      <c r="V218" s="14">
        <f t="shared" si="129"/>
        <v>297.57510402292189</v>
      </c>
      <c r="W218" s="14">
        <f t="shared" si="129"/>
        <v>291.30902291417613</v>
      </c>
      <c r="X218" s="187">
        <f t="shared" si="129"/>
        <v>283.77632872750507</v>
      </c>
      <c r="Y218" s="158">
        <f t="shared" si="129"/>
        <v>282.41362446353963</v>
      </c>
      <c r="Z218" s="158">
        <f t="shared" si="129"/>
        <v>290.83995923303132</v>
      </c>
      <c r="AA218" s="158">
        <f t="shared" si="129"/>
        <v>294.06009017907576</v>
      </c>
      <c r="AB218" s="158">
        <f t="shared" si="129"/>
        <v>295.62399527923674</v>
      </c>
      <c r="AC218" s="158">
        <f t="shared" si="129"/>
        <v>294.41244311331519</v>
      </c>
      <c r="AD218" s="158">
        <f t="shared" si="129"/>
        <v>289.03023930414366</v>
      </c>
      <c r="AE218" s="158">
        <f t="shared" si="129"/>
        <v>284.83055097922568</v>
      </c>
      <c r="AF218" s="158">
        <f t="shared" si="129"/>
        <v>283.39923720632368</v>
      </c>
      <c r="AG218" s="158">
        <f t="shared" si="129"/>
        <v>285.85819953256788</v>
      </c>
      <c r="AH218" s="187">
        <f t="shared" si="129"/>
        <v>286.00362448793072</v>
      </c>
    </row>
    <row r="219" spans="1:34" s="1" customFormat="1">
      <c r="A219" s="1" t="s">
        <v>393</v>
      </c>
      <c r="B219" s="13"/>
      <c r="C219" s="341">
        <f>SUM(C220:C221)</f>
        <v>6973.4484379999976</v>
      </c>
      <c r="D219" s="341">
        <f t="shared" ref="D219:AH219" si="130">SUM(D220:D221)</f>
        <v>6389.4864833147167</v>
      </c>
      <c r="E219" s="341">
        <f t="shared" si="130"/>
        <v>6031.514962675612</v>
      </c>
      <c r="F219" s="341">
        <f t="shared" si="130"/>
        <v>6719.241181169582</v>
      </c>
      <c r="G219" s="341">
        <f t="shared" si="130"/>
        <v>7553.7016305268589</v>
      </c>
      <c r="H219" s="405">
        <f t="shared" si="130"/>
        <v>8129.9921298022655</v>
      </c>
      <c r="I219" s="15">
        <f t="shared" si="130"/>
        <v>6083.3027733641438</v>
      </c>
      <c r="J219" s="15">
        <f t="shared" si="130"/>
        <v>6406.6560679218373</v>
      </c>
      <c r="K219" s="15">
        <f t="shared" si="130"/>
        <v>6400.4915291650159</v>
      </c>
      <c r="L219" s="15">
        <f t="shared" si="130"/>
        <v>6792.2404033099101</v>
      </c>
      <c r="M219" s="15">
        <f t="shared" si="130"/>
        <v>6723.6135037157528</v>
      </c>
      <c r="N219" s="190">
        <f t="shared" si="130"/>
        <v>6581.6749554670232</v>
      </c>
      <c r="O219" s="15">
        <f t="shared" si="130"/>
        <v>7153.2128525953285</v>
      </c>
      <c r="P219" s="15">
        <f t="shared" si="130"/>
        <v>7725.0763511374225</v>
      </c>
      <c r="Q219" s="15">
        <f t="shared" si="130"/>
        <v>8129.1978433926688</v>
      </c>
      <c r="R219" s="15">
        <f t="shared" si="130"/>
        <v>8305.5610504877714</v>
      </c>
      <c r="S219" s="15">
        <f t="shared" si="130"/>
        <v>8601.5331173930463</v>
      </c>
      <c r="T219" s="15">
        <f t="shared" si="130"/>
        <v>9008.7008545948975</v>
      </c>
      <c r="U219" s="15">
        <f t="shared" si="130"/>
        <v>9228.2895941590668</v>
      </c>
      <c r="V219" s="15">
        <f t="shared" si="130"/>
        <v>9320.9280588520814</v>
      </c>
      <c r="W219" s="15">
        <f t="shared" si="130"/>
        <v>9539.9395712362766</v>
      </c>
      <c r="X219" s="190">
        <f t="shared" si="130"/>
        <v>9742.6810975890985</v>
      </c>
      <c r="Y219" s="130">
        <f t="shared" si="130"/>
        <v>9751.9327220630257</v>
      </c>
      <c r="Z219" s="130">
        <f t="shared" si="130"/>
        <v>10099.101705142712</v>
      </c>
      <c r="AA219" s="130">
        <f t="shared" si="130"/>
        <v>10265.552512622548</v>
      </c>
      <c r="AB219" s="130">
        <f t="shared" si="130"/>
        <v>10372.734533230438</v>
      </c>
      <c r="AC219" s="130">
        <f t="shared" si="130"/>
        <v>10379.962653381615</v>
      </c>
      <c r="AD219" s="130">
        <f t="shared" si="130"/>
        <v>10236.111422955895</v>
      </c>
      <c r="AE219" s="130">
        <f t="shared" si="130"/>
        <v>10129.587247154241</v>
      </c>
      <c r="AF219" s="130">
        <f t="shared" si="130"/>
        <v>10117.385468613733</v>
      </c>
      <c r="AG219" s="130">
        <f t="shared" si="130"/>
        <v>10240.556183124661</v>
      </c>
      <c r="AH219" s="190">
        <f t="shared" si="130"/>
        <v>10276.894497073263</v>
      </c>
    </row>
    <row r="220" spans="1:34">
      <c r="A220" t="s">
        <v>402</v>
      </c>
      <c r="C220" s="331">
        <f>SUM(C116:C117)</f>
        <v>3670.2360199999989</v>
      </c>
      <c r="D220" s="331">
        <f t="shared" ref="D220:AH220" si="131">SUM(D116:D117)</f>
        <v>3362.8876227972196</v>
      </c>
      <c r="E220" s="331">
        <f t="shared" si="131"/>
        <v>3174.4815593029539</v>
      </c>
      <c r="F220" s="331">
        <f t="shared" si="131"/>
        <v>3536.4427269313587</v>
      </c>
      <c r="G220" s="331">
        <f t="shared" si="131"/>
        <v>3975.6324371193996</v>
      </c>
      <c r="H220" s="402">
        <f t="shared" si="131"/>
        <v>4278.9432262117189</v>
      </c>
      <c r="I220" s="14">
        <f t="shared" si="131"/>
        <v>3201.738301770602</v>
      </c>
      <c r="J220" s="14">
        <f t="shared" si="131"/>
        <v>3371.9242462746511</v>
      </c>
      <c r="K220" s="14">
        <f t="shared" si="131"/>
        <v>3368.6797521921139</v>
      </c>
      <c r="L220" s="14">
        <f t="shared" si="131"/>
        <v>3574.8633701631106</v>
      </c>
      <c r="M220" s="14">
        <f t="shared" si="131"/>
        <v>3538.7439493240804</v>
      </c>
      <c r="N220" s="187">
        <f t="shared" si="131"/>
        <v>3464.0394502458016</v>
      </c>
      <c r="O220" s="14">
        <f t="shared" si="131"/>
        <v>3764.8488697870148</v>
      </c>
      <c r="P220" s="14">
        <f t="shared" si="131"/>
        <v>4065.8296584933805</v>
      </c>
      <c r="Q220" s="14">
        <f t="shared" si="131"/>
        <v>4278.5251807329832</v>
      </c>
      <c r="R220" s="14">
        <f t="shared" si="131"/>
        <v>4371.3479213093533</v>
      </c>
      <c r="S220" s="14">
        <f t="shared" si="131"/>
        <v>4527.1226933647604</v>
      </c>
      <c r="T220" s="14">
        <f t="shared" si="131"/>
        <v>4741.4215024183668</v>
      </c>
      <c r="U220" s="14">
        <f t="shared" si="131"/>
        <v>4856.9945232416139</v>
      </c>
      <c r="V220" s="14">
        <f t="shared" si="131"/>
        <v>4905.7516099221484</v>
      </c>
      <c r="W220" s="14">
        <f t="shared" si="131"/>
        <v>5021.0208269664618</v>
      </c>
      <c r="X220" s="187">
        <f t="shared" si="131"/>
        <v>5127.7268934679469</v>
      </c>
      <c r="Y220" s="158">
        <f t="shared" si="131"/>
        <v>5132.5961695068563</v>
      </c>
      <c r="Z220" s="158">
        <f t="shared" si="131"/>
        <v>5315.3166869172155</v>
      </c>
      <c r="AA220" s="158">
        <f t="shared" si="131"/>
        <v>5402.9223750644987</v>
      </c>
      <c r="AB220" s="158">
        <f t="shared" si="131"/>
        <v>5459.333964858125</v>
      </c>
      <c r="AC220" s="158">
        <f t="shared" si="131"/>
        <v>5463.138238621902</v>
      </c>
      <c r="AD220" s="158">
        <f t="shared" si="131"/>
        <v>5387.4270647136291</v>
      </c>
      <c r="AE220" s="158">
        <f t="shared" si="131"/>
        <v>5331.3617090285479</v>
      </c>
      <c r="AF220" s="158">
        <f t="shared" si="131"/>
        <v>5324.9397203230174</v>
      </c>
      <c r="AG220" s="158">
        <f t="shared" si="131"/>
        <v>5389.766412170874</v>
      </c>
      <c r="AH220" s="187">
        <f t="shared" si="131"/>
        <v>5408.8918405648747</v>
      </c>
    </row>
    <row r="221" spans="1:34">
      <c r="A221" t="s">
        <v>403</v>
      </c>
      <c r="C221" s="331">
        <f>SUM(C143:C144)</f>
        <v>3303.2124179999992</v>
      </c>
      <c r="D221" s="331">
        <f t="shared" ref="D221:AH221" si="132">SUM(D143:D144)</f>
        <v>3026.5988605174975</v>
      </c>
      <c r="E221" s="331">
        <f t="shared" si="132"/>
        <v>2857.0334033726585</v>
      </c>
      <c r="F221" s="331">
        <f t="shared" si="132"/>
        <v>3182.7984542382228</v>
      </c>
      <c r="G221" s="331">
        <f t="shared" si="132"/>
        <v>3578.0691934074594</v>
      </c>
      <c r="H221" s="402">
        <f t="shared" si="132"/>
        <v>3851.0489035905471</v>
      </c>
      <c r="I221" s="14">
        <f t="shared" si="132"/>
        <v>2881.5644715935418</v>
      </c>
      <c r="J221" s="14">
        <f t="shared" si="132"/>
        <v>3034.7318216471863</v>
      </c>
      <c r="K221" s="14">
        <f t="shared" si="132"/>
        <v>3031.8117769729024</v>
      </c>
      <c r="L221" s="14">
        <f t="shared" si="132"/>
        <v>3217.3770331467999</v>
      </c>
      <c r="M221" s="14">
        <f t="shared" si="132"/>
        <v>3184.8695543916724</v>
      </c>
      <c r="N221" s="187">
        <f t="shared" si="132"/>
        <v>3117.6355052212216</v>
      </c>
      <c r="O221" s="14">
        <f t="shared" si="132"/>
        <v>3388.3639828083133</v>
      </c>
      <c r="P221" s="14">
        <f t="shared" si="132"/>
        <v>3659.2466926440425</v>
      </c>
      <c r="Q221" s="14">
        <f t="shared" si="132"/>
        <v>3850.6726626596851</v>
      </c>
      <c r="R221" s="14">
        <f t="shared" si="132"/>
        <v>3934.2131291784181</v>
      </c>
      <c r="S221" s="14">
        <f t="shared" si="132"/>
        <v>4074.410424028285</v>
      </c>
      <c r="T221" s="14">
        <f t="shared" si="132"/>
        <v>4267.2793521765307</v>
      </c>
      <c r="U221" s="14">
        <f t="shared" si="132"/>
        <v>4371.2950709174529</v>
      </c>
      <c r="V221" s="14">
        <f t="shared" si="132"/>
        <v>4415.1764489299339</v>
      </c>
      <c r="W221" s="14">
        <f t="shared" si="132"/>
        <v>4518.9187442698149</v>
      </c>
      <c r="X221" s="187">
        <f t="shared" si="132"/>
        <v>4614.9542041211516</v>
      </c>
      <c r="Y221" s="158">
        <f t="shared" si="132"/>
        <v>4619.3365525561703</v>
      </c>
      <c r="Z221" s="158">
        <f t="shared" si="132"/>
        <v>4783.7850182254952</v>
      </c>
      <c r="AA221" s="158">
        <f t="shared" si="132"/>
        <v>4862.6301375580488</v>
      </c>
      <c r="AB221" s="158">
        <f t="shared" si="132"/>
        <v>4913.4005683723126</v>
      </c>
      <c r="AC221" s="158">
        <f t="shared" si="132"/>
        <v>4916.8244147597125</v>
      </c>
      <c r="AD221" s="158">
        <f t="shared" si="132"/>
        <v>4848.6843582422662</v>
      </c>
      <c r="AE221" s="158">
        <f t="shared" si="132"/>
        <v>4798.2255381256928</v>
      </c>
      <c r="AF221" s="158">
        <f t="shared" si="132"/>
        <v>4792.4457482907155</v>
      </c>
      <c r="AG221" s="158">
        <f t="shared" si="132"/>
        <v>4850.7897709537874</v>
      </c>
      <c r="AH221" s="187">
        <f t="shared" si="132"/>
        <v>4868.0026565083872</v>
      </c>
    </row>
    <row r="222" spans="1:34">
      <c r="A222" s="1" t="s">
        <v>425</v>
      </c>
      <c r="C222" s="331">
        <f>SUM(C210,C213,C216,C219)</f>
        <v>8790.4626659999976</v>
      </c>
      <c r="D222" s="331">
        <f t="shared" ref="D222:AH222" si="133">SUM(D210,D213,D216,D219)</f>
        <v>8377.1033211434915</v>
      </c>
      <c r="E222" s="331">
        <f t="shared" si="133"/>
        <v>8068.8593084618269</v>
      </c>
      <c r="F222" s="331">
        <f t="shared" si="133"/>
        <v>9356.1119696003661</v>
      </c>
      <c r="G222" s="331">
        <f t="shared" si="133"/>
        <v>11046.493420264995</v>
      </c>
      <c r="H222" s="402">
        <f t="shared" si="133"/>
        <v>10346.980641190086</v>
      </c>
      <c r="I222" s="14">
        <f t="shared" si="133"/>
        <v>8101.1560543527739</v>
      </c>
      <c r="J222" s="14">
        <f t="shared" si="133"/>
        <v>8910.6868108449198</v>
      </c>
      <c r="K222" s="14">
        <f t="shared" si="133"/>
        <v>9511.5913905863781</v>
      </c>
      <c r="L222" s="14">
        <f t="shared" si="133"/>
        <v>10514.099383552699</v>
      </c>
      <c r="M222" s="14">
        <f t="shared" si="133"/>
        <v>11235.707356312625</v>
      </c>
      <c r="N222" s="187">
        <f t="shared" si="133"/>
        <v>12070.501594306166</v>
      </c>
      <c r="O222" s="14">
        <f t="shared" si="133"/>
        <v>13365.94970992233</v>
      </c>
      <c r="P222" s="14">
        <f t="shared" si="133"/>
        <v>14719.446244632189</v>
      </c>
      <c r="Q222" s="14">
        <f t="shared" si="133"/>
        <v>15809.812335162969</v>
      </c>
      <c r="R222" s="14">
        <f t="shared" si="133"/>
        <v>16502.770702271235</v>
      </c>
      <c r="S222" s="14">
        <f t="shared" si="133"/>
        <v>17478.476506589759</v>
      </c>
      <c r="T222" s="14">
        <f t="shared" si="133"/>
        <v>18740.528370407992</v>
      </c>
      <c r="U222" s="14">
        <f t="shared" si="133"/>
        <v>19674.960752355368</v>
      </c>
      <c r="V222" s="14">
        <f t="shared" si="133"/>
        <v>20390.563396903737</v>
      </c>
      <c r="W222" s="14">
        <f t="shared" si="133"/>
        <v>21439.711694401478</v>
      </c>
      <c r="X222" s="187">
        <f t="shared" si="133"/>
        <v>22522.291665813704</v>
      </c>
      <c r="Y222" s="158">
        <f t="shared" si="133"/>
        <v>23052.112215744099</v>
      </c>
      <c r="Z222" s="158">
        <f t="shared" si="133"/>
        <v>24428.773962815139</v>
      </c>
      <c r="AA222" s="158">
        <f t="shared" si="133"/>
        <v>25429.52080653275</v>
      </c>
      <c r="AB222" s="158">
        <f t="shared" si="133"/>
        <v>26335.202273695479</v>
      </c>
      <c r="AC222" s="158">
        <f t="shared" si="133"/>
        <v>27033.025160979221</v>
      </c>
      <c r="AD222" s="158">
        <f t="shared" si="133"/>
        <v>27370.093992741451</v>
      </c>
      <c r="AE222" s="158">
        <f t="shared" si="133"/>
        <v>27834.103305834367</v>
      </c>
      <c r="AF222" s="158">
        <f t="shared" si="133"/>
        <v>28596.889723676868</v>
      </c>
      <c r="AG222" s="158">
        <f t="shared" si="133"/>
        <v>29804.434989930778</v>
      </c>
      <c r="AH222" s="187">
        <f t="shared" si="133"/>
        <v>30831.748341101629</v>
      </c>
    </row>
    <row r="223" spans="1:34" s="1" customFormat="1">
      <c r="A223" s="1" t="s">
        <v>443</v>
      </c>
      <c r="B223" s="13"/>
      <c r="C223" s="328" t="s">
        <v>0</v>
      </c>
      <c r="D223" s="341">
        <f>D210+D213</f>
        <v>1348.2793206368833</v>
      </c>
      <c r="E223" s="341">
        <f t="shared" ref="E223:AH223" si="134">E210+E213</f>
        <v>1442.936504836186</v>
      </c>
      <c r="F223" s="341">
        <f t="shared" si="134"/>
        <v>1978.5215560972592</v>
      </c>
      <c r="G223" s="341">
        <f t="shared" si="134"/>
        <v>2753.706246427831</v>
      </c>
      <c r="H223" s="405">
        <f>H210+H213</f>
        <v>1648.7480819481216</v>
      </c>
      <c r="I223" s="15">
        <f t="shared" si="134"/>
        <v>1578.0479616384828</v>
      </c>
      <c r="J223" s="15">
        <f t="shared" si="134"/>
        <v>2025.6064492850091</v>
      </c>
      <c r="K223" s="15">
        <f t="shared" si="134"/>
        <v>2611.3139010995646</v>
      </c>
      <c r="L223" s="15">
        <f t="shared" si="134"/>
        <v>3174.8915646291434</v>
      </c>
      <c r="M223" s="15">
        <f t="shared" si="134"/>
        <v>3942.5783305757741</v>
      </c>
      <c r="N223" s="190">
        <f t="shared" si="134"/>
        <v>4896.4036150555912</v>
      </c>
      <c r="O223" s="15">
        <f t="shared" si="134"/>
        <v>5588.7534933755915</v>
      </c>
      <c r="P223" s="15">
        <f t="shared" si="134"/>
        <v>6342.0314029979472</v>
      </c>
      <c r="Q223" s="15">
        <f t="shared" si="134"/>
        <v>7016.8771511097711</v>
      </c>
      <c r="R223" s="15">
        <f t="shared" si="134"/>
        <v>7542.3925134079545</v>
      </c>
      <c r="S223" s="15">
        <f t="shared" si="134"/>
        <v>8223.0977719047296</v>
      </c>
      <c r="T223" s="15">
        <f t="shared" si="134"/>
        <v>9072.6807454029167</v>
      </c>
      <c r="U223" s="15">
        <f t="shared" si="134"/>
        <v>9797.9481554402191</v>
      </c>
      <c r="V223" s="15">
        <f t="shared" si="134"/>
        <v>10441.42122955882</v>
      </c>
      <c r="W223" s="15">
        <f t="shared" si="134"/>
        <v>11284.786408124161</v>
      </c>
      <c r="X223" s="190">
        <f t="shared" si="134"/>
        <v>12180.527207577648</v>
      </c>
      <c r="Y223" s="130">
        <f t="shared" si="134"/>
        <v>12703.972953146933</v>
      </c>
      <c r="Z223" s="130">
        <f t="shared" si="134"/>
        <v>13715.676788180474</v>
      </c>
      <c r="AA223" s="130">
        <f t="shared" si="134"/>
        <v>14543.174770198821</v>
      </c>
      <c r="AB223" s="130">
        <f t="shared" si="134"/>
        <v>15338.372639319985</v>
      </c>
      <c r="AC223" s="130">
        <f t="shared" si="134"/>
        <v>16031.525127691719</v>
      </c>
      <c r="AD223" s="130">
        <f t="shared" si="134"/>
        <v>16523.807620143474</v>
      </c>
      <c r="AE223" s="130">
        <f t="shared" si="134"/>
        <v>17103.207117723981</v>
      </c>
      <c r="AF223" s="130">
        <f t="shared" si="134"/>
        <v>17881.216976516454</v>
      </c>
      <c r="AG223" s="130">
        <f t="shared" si="134"/>
        <v>18960.400385570698</v>
      </c>
      <c r="AH223" s="190">
        <f t="shared" si="134"/>
        <v>19951.068414553847</v>
      </c>
    </row>
    <row r="224" spans="1:34">
      <c r="A224" t="s">
        <v>446</v>
      </c>
      <c r="D224" s="331">
        <f>D210+D213+D216</f>
        <v>1987.6168378287755</v>
      </c>
      <c r="E224" s="331">
        <f t="shared" ref="E224:AH224" si="135">E210+E213+E216</f>
        <v>2037.3443457862147</v>
      </c>
      <c r="F224" s="331">
        <f t="shared" si="135"/>
        <v>2636.8707884307846</v>
      </c>
      <c r="G224" s="331">
        <f t="shared" si="135"/>
        <v>3492.7917897381358</v>
      </c>
      <c r="H224" s="402">
        <f t="shared" si="135"/>
        <v>2216.9885113878213</v>
      </c>
      <c r="I224" s="14">
        <f t="shared" si="135"/>
        <v>2017.8532809886303</v>
      </c>
      <c r="J224" s="14">
        <f t="shared" si="135"/>
        <v>2504.0307429230829</v>
      </c>
      <c r="K224" s="14">
        <f t="shared" si="135"/>
        <v>3111.0998614213627</v>
      </c>
      <c r="L224" s="14">
        <f t="shared" si="135"/>
        <v>3721.8589802427882</v>
      </c>
      <c r="M224" s="14">
        <f t="shared" si="135"/>
        <v>4512.0938525968722</v>
      </c>
      <c r="N224" s="187">
        <f t="shared" si="135"/>
        <v>5488.8266388391439</v>
      </c>
      <c r="O224" s="14">
        <f t="shared" si="135"/>
        <v>6212.7368573270023</v>
      </c>
      <c r="P224" s="14">
        <f t="shared" si="135"/>
        <v>6994.3698934947661</v>
      </c>
      <c r="Q224" s="14">
        <f t="shared" si="135"/>
        <v>7680.6144917703014</v>
      </c>
      <c r="R224" s="14">
        <f t="shared" si="135"/>
        <v>8197.2096517834652</v>
      </c>
      <c r="S224" s="14">
        <f t="shared" si="135"/>
        <v>8876.9433891967128</v>
      </c>
      <c r="T224" s="14">
        <f t="shared" si="135"/>
        <v>9731.8275158130928</v>
      </c>
      <c r="U224" s="14">
        <f t="shared" si="135"/>
        <v>10446.671158196301</v>
      </c>
      <c r="V224" s="14">
        <f t="shared" si="135"/>
        <v>11069.635338051656</v>
      </c>
      <c r="W224" s="14">
        <f t="shared" si="135"/>
        <v>11899.772123165199</v>
      </c>
      <c r="X224" s="187">
        <f t="shared" si="135"/>
        <v>12779.610568224603</v>
      </c>
      <c r="Y224" s="158">
        <f t="shared" si="135"/>
        <v>13300.179493681073</v>
      </c>
      <c r="Z224" s="158">
        <f t="shared" si="135"/>
        <v>14329.672257672428</v>
      </c>
      <c r="AA224" s="158">
        <f t="shared" si="135"/>
        <v>15163.968293910202</v>
      </c>
      <c r="AB224" s="158">
        <f t="shared" si="135"/>
        <v>15962.467740465041</v>
      </c>
      <c r="AC224" s="158">
        <f t="shared" si="135"/>
        <v>16653.062507597606</v>
      </c>
      <c r="AD224" s="158">
        <f t="shared" si="135"/>
        <v>17133.982569785556</v>
      </c>
      <c r="AE224" s="158">
        <f t="shared" si="135"/>
        <v>17704.516058680125</v>
      </c>
      <c r="AF224" s="158">
        <f t="shared" si="135"/>
        <v>18479.504255063137</v>
      </c>
      <c r="AG224" s="158">
        <f t="shared" si="135"/>
        <v>19563.878806806119</v>
      </c>
      <c r="AH224" s="187">
        <f t="shared" si="135"/>
        <v>20554.853844028366</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453</v>
      </c>
      <c r="D226" s="331">
        <f>D210+D213</f>
        <v>1348.2793206368833</v>
      </c>
      <c r="E226" s="331">
        <f>D226+E210+E213</f>
        <v>2791.2158254730693</v>
      </c>
      <c r="F226" s="331">
        <f>E226+F210+F213</f>
        <v>4769.7373815703286</v>
      </c>
      <c r="G226" s="331">
        <f>F226+G210+G213</f>
        <v>7523.4436279981601</v>
      </c>
      <c r="H226" s="402">
        <f t="shared" ref="H226:X226" si="136">G226+H210+H213</f>
        <v>9172.1917099462808</v>
      </c>
      <c r="I226" s="14">
        <f t="shared" si="136"/>
        <v>10750.239671584764</v>
      </c>
      <c r="J226" s="14">
        <f t="shared" si="136"/>
        <v>12775.846120869774</v>
      </c>
      <c r="K226" s="14">
        <f t="shared" si="136"/>
        <v>15387.160021969339</v>
      </c>
      <c r="L226" s="14">
        <f t="shared" si="136"/>
        <v>18562.051586598482</v>
      </c>
      <c r="M226" s="14">
        <f t="shared" si="136"/>
        <v>22504.629917174258</v>
      </c>
      <c r="N226" s="187">
        <f t="shared" si="136"/>
        <v>27401.033532229849</v>
      </c>
      <c r="O226" s="14">
        <f t="shared" si="136"/>
        <v>32989.787025605438</v>
      </c>
      <c r="P226" s="14">
        <f t="shared" si="136"/>
        <v>39331.818428603387</v>
      </c>
      <c r="Q226" s="14">
        <f t="shared" si="136"/>
        <v>46348.69557971316</v>
      </c>
      <c r="R226" s="14">
        <f t="shared" si="136"/>
        <v>53891.088093121114</v>
      </c>
      <c r="S226" s="14">
        <f t="shared" si="136"/>
        <v>62114.185865025844</v>
      </c>
      <c r="T226" s="14">
        <f t="shared" si="136"/>
        <v>71186.866610428755</v>
      </c>
      <c r="U226" s="14">
        <f t="shared" si="136"/>
        <v>80984.81476586897</v>
      </c>
      <c r="V226" s="14">
        <f t="shared" si="136"/>
        <v>91426.235995427793</v>
      </c>
      <c r="W226" s="14">
        <f t="shared" si="136"/>
        <v>102711.02240355195</v>
      </c>
      <c r="X226" s="187">
        <f t="shared" si="136"/>
        <v>114891.54961112959</v>
      </c>
      <c r="Y226" s="158">
        <f t="shared" ref="Y226:AH226" si="137">X226+Y210+Y213</f>
        <v>127595.52256427653</v>
      </c>
      <c r="Z226" s="158">
        <f t="shared" si="137"/>
        <v>141311.19935245701</v>
      </c>
      <c r="AA226" s="158">
        <f t="shared" si="137"/>
        <v>155854.37412265583</v>
      </c>
      <c r="AB226" s="158">
        <f t="shared" si="137"/>
        <v>171192.74676197581</v>
      </c>
      <c r="AC226" s="158">
        <f t="shared" si="137"/>
        <v>187224.27188966752</v>
      </c>
      <c r="AD226" s="158">
        <f t="shared" si="137"/>
        <v>203748.07950981101</v>
      </c>
      <c r="AE226" s="158">
        <f t="shared" si="137"/>
        <v>220851.28662753498</v>
      </c>
      <c r="AF226" s="158">
        <f t="shared" si="137"/>
        <v>238732.50360405142</v>
      </c>
      <c r="AG226" s="158">
        <f t="shared" si="137"/>
        <v>257692.90398962214</v>
      </c>
      <c r="AH226" s="187">
        <f t="shared" si="137"/>
        <v>277643.97240417596</v>
      </c>
    </row>
    <row r="227" spans="1:34">
      <c r="A227" s="1" t="s">
        <v>454</v>
      </c>
      <c r="D227" s="331">
        <f>D219</f>
        <v>6389.4864833147167</v>
      </c>
      <c r="E227" s="331">
        <f>D227+E219</f>
        <v>12421.001445990329</v>
      </c>
      <c r="F227" s="331">
        <f>E227+F219</f>
        <v>19140.242627159911</v>
      </c>
      <c r="G227" s="331">
        <f t="shared" ref="G227:X227" si="138">F227+G219</f>
        <v>26693.94425768677</v>
      </c>
      <c r="H227" s="402">
        <f t="shared" si="138"/>
        <v>34823.936387489033</v>
      </c>
      <c r="I227" s="14">
        <f t="shared" si="138"/>
        <v>40907.239160853176</v>
      </c>
      <c r="J227" s="14">
        <f t="shared" si="138"/>
        <v>47313.895228775014</v>
      </c>
      <c r="K227" s="14">
        <f t="shared" si="138"/>
        <v>53714.386757940032</v>
      </c>
      <c r="L227" s="14">
        <f t="shared" si="138"/>
        <v>60506.62716124994</v>
      </c>
      <c r="M227" s="14">
        <f t="shared" si="138"/>
        <v>67230.240664965691</v>
      </c>
      <c r="N227" s="187">
        <f t="shared" si="138"/>
        <v>73811.915620432716</v>
      </c>
      <c r="O227" s="14">
        <f t="shared" si="138"/>
        <v>80965.128473028046</v>
      </c>
      <c r="P227" s="14">
        <f t="shared" si="138"/>
        <v>88690.20482416547</v>
      </c>
      <c r="Q227" s="14">
        <f t="shared" si="138"/>
        <v>96819.402667558141</v>
      </c>
      <c r="R227" s="14">
        <f t="shared" si="138"/>
        <v>105124.96371804591</v>
      </c>
      <c r="S227" s="14">
        <f t="shared" si="138"/>
        <v>113726.49683543896</v>
      </c>
      <c r="T227" s="14">
        <f t="shared" si="138"/>
        <v>122735.19769003385</v>
      </c>
      <c r="U227" s="14">
        <f t="shared" si="138"/>
        <v>131963.4872841929</v>
      </c>
      <c r="V227" s="14">
        <f t="shared" si="138"/>
        <v>141284.415343045</v>
      </c>
      <c r="W227" s="14">
        <f t="shared" si="138"/>
        <v>150824.35491428128</v>
      </c>
      <c r="X227" s="187">
        <f t="shared" si="138"/>
        <v>160567.03601187037</v>
      </c>
      <c r="Y227" s="158">
        <f t="shared" ref="Y227:AH227" si="139">X227+Y219</f>
        <v>170318.96873393341</v>
      </c>
      <c r="Z227" s="158">
        <f t="shared" si="139"/>
        <v>180418.07043907611</v>
      </c>
      <c r="AA227" s="158">
        <f t="shared" si="139"/>
        <v>190683.62295169866</v>
      </c>
      <c r="AB227" s="158">
        <f t="shared" si="139"/>
        <v>201056.35748492909</v>
      </c>
      <c r="AC227" s="158">
        <f t="shared" si="139"/>
        <v>211436.32013831069</v>
      </c>
      <c r="AD227" s="158">
        <f t="shared" si="139"/>
        <v>221672.4315612666</v>
      </c>
      <c r="AE227" s="158">
        <f t="shared" si="139"/>
        <v>231802.01880842083</v>
      </c>
      <c r="AF227" s="158">
        <f t="shared" si="139"/>
        <v>241919.40427703457</v>
      </c>
      <c r="AG227" s="158">
        <f t="shared" si="139"/>
        <v>252159.96046015923</v>
      </c>
      <c r="AH227" s="187">
        <f t="shared" si="139"/>
        <v>262436.85495723248</v>
      </c>
    </row>
    <row r="228" spans="1:34">
      <c r="A228" s="1" t="s">
        <v>456</v>
      </c>
      <c r="D228" s="331">
        <f t="shared" ref="D228:AH228" si="140">D227-D207</f>
        <v>-23.678516685283284</v>
      </c>
      <c r="E228" s="331">
        <f t="shared" si="140"/>
        <v>-5.0321100996716268</v>
      </c>
      <c r="F228" s="331">
        <f t="shared" si="140"/>
        <v>-192.43351804008853</v>
      </c>
      <c r="G228" s="331">
        <f t="shared" si="140"/>
        <v>-712.03335363322913</v>
      </c>
      <c r="H228" s="402">
        <f>H227-H207</f>
        <v>-575.70444588096871</v>
      </c>
      <c r="I228" s="14">
        <f t="shared" si="140"/>
        <v>-298.97143656682601</v>
      </c>
      <c r="J228" s="14">
        <f t="shared" si="140"/>
        <v>-32.310049464984331</v>
      </c>
      <c r="K228" s="14">
        <f t="shared" si="140"/>
        <v>210.30792105002911</v>
      </c>
      <c r="L228" s="14">
        <f t="shared" si="140"/>
        <v>362.43174378993717</v>
      </c>
      <c r="M228" s="14">
        <f t="shared" si="140"/>
        <v>250.64576956568635</v>
      </c>
      <c r="N228" s="187">
        <f t="shared" si="140"/>
        <v>-228.69036759728624</v>
      </c>
      <c r="O228" s="14">
        <f t="shared" si="140"/>
        <v>-900.97574643195549</v>
      </c>
      <c r="P228" s="14">
        <f t="shared" si="140"/>
        <v>-1737.7666892745328</v>
      </c>
      <c r="Q228" s="14">
        <f t="shared" si="140"/>
        <v>-2672.4399654818699</v>
      </c>
      <c r="R228" s="14">
        <f t="shared" si="140"/>
        <v>-3628.2223469940946</v>
      </c>
      <c r="S228" s="14">
        <f t="shared" si="140"/>
        <v>-4684.4061587910546</v>
      </c>
      <c r="T228" s="14">
        <f t="shared" si="140"/>
        <v>-5871.0397927661543</v>
      </c>
      <c r="U228" s="14">
        <f t="shared" si="140"/>
        <v>-7151.8620301771152</v>
      </c>
      <c r="V228" s="14">
        <f t="shared" si="140"/>
        <v>-8559.2966196250345</v>
      </c>
      <c r="W228" s="14">
        <f t="shared" si="140"/>
        <v>-10227.586892298743</v>
      </c>
      <c r="X228" s="187">
        <f t="shared" si="140"/>
        <v>-12118.018804909661</v>
      </c>
      <c r="Y228" s="158">
        <f t="shared" si="140"/>
        <v>-13991.306398236629</v>
      </c>
      <c r="Z228" s="158">
        <f t="shared" si="140"/>
        <v>-15920.60961085392</v>
      </c>
      <c r="AA228" s="158">
        <f t="shared" si="140"/>
        <v>-17873.082277811365</v>
      </c>
      <c r="AB228" s="158">
        <f t="shared" si="140"/>
        <v>-19814.272091370949</v>
      </c>
      <c r="AC228" s="158">
        <f t="shared" si="140"/>
        <v>-21874.644308139337</v>
      </c>
      <c r="AD228" s="158">
        <f t="shared" si="140"/>
        <v>-24008.106957643438</v>
      </c>
      <c r="AE228" s="158">
        <f t="shared" si="140"/>
        <v>-26278.759251519194</v>
      </c>
      <c r="AF228" s="158">
        <f t="shared" si="140"/>
        <v>-28734.45387236547</v>
      </c>
      <c r="AG228" s="158">
        <f t="shared" si="140"/>
        <v>-31477.765355900803</v>
      </c>
      <c r="AH228" s="187">
        <f t="shared" si="140"/>
        <v>-34549.50125337753</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331">
        <f t="shared" ref="C234:AH234" si="145">C213-C194</f>
        <v>-2.7000000000043656E-4</v>
      </c>
      <c r="D234" s="331">
        <f t="shared" si="145"/>
        <v>48.553350636883351</v>
      </c>
      <c r="E234" s="331">
        <f t="shared" si="145"/>
        <v>279.57120927472897</v>
      </c>
      <c r="F234" s="331">
        <f t="shared" si="145"/>
        <v>733.4646386443053</v>
      </c>
      <c r="G234" s="331">
        <f t="shared" si="145"/>
        <v>1193.0074653254774</v>
      </c>
      <c r="H234" s="402">
        <f>H213-H194</f>
        <v>-2.7000000000043656E-4</v>
      </c>
      <c r="I234" s="14">
        <f t="shared" si="145"/>
        <v>18.380559108954913</v>
      </c>
      <c r="J234" s="14">
        <f t="shared" si="145"/>
        <v>5.3732452793155971E-3</v>
      </c>
      <c r="K234" s="14">
        <f t="shared" si="145"/>
        <v>97.296780666265477</v>
      </c>
      <c r="L234" s="14">
        <f t="shared" si="145"/>
        <v>300.98961718470582</v>
      </c>
      <c r="M234" s="14">
        <f t="shared" si="145"/>
        <v>971.25700674207837</v>
      </c>
      <c r="N234" s="187">
        <f t="shared" si="145"/>
        <v>1824.4846377263966</v>
      </c>
      <c r="O234" s="14">
        <f t="shared" si="145"/>
        <v>2276.0241420966304</v>
      </c>
      <c r="P234" s="14">
        <f t="shared" si="145"/>
        <v>2674.9330705665216</v>
      </c>
      <c r="Q234" s="14">
        <f t="shared" si="145"/>
        <v>2957.631419634442</v>
      </c>
      <c r="R234" s="14">
        <f t="shared" si="145"/>
        <v>3101.4058234968525</v>
      </c>
      <c r="S234" s="14">
        <f t="shared" si="145"/>
        <v>3280.3722852511037</v>
      </c>
      <c r="T234" s="14">
        <f t="shared" si="145"/>
        <v>3587.8383640856382</v>
      </c>
      <c r="U234" s="14">
        <f t="shared" si="145"/>
        <v>3870.6525327385934</v>
      </c>
      <c r="V234" s="14">
        <f t="shared" si="145"/>
        <v>4239.4361304956492</v>
      </c>
      <c r="W234" s="14">
        <f t="shared" si="145"/>
        <v>4916.1784765525435</v>
      </c>
      <c r="X234" s="187">
        <f t="shared" si="145"/>
        <v>5512.8684716872085</v>
      </c>
      <c r="Y234" s="158">
        <f t="shared" si="145"/>
        <v>5516.8796493233513</v>
      </c>
      <c r="Z234" s="158">
        <f t="shared" si="145"/>
        <v>5666.4987557569311</v>
      </c>
      <c r="AA234" s="158">
        <f t="shared" si="145"/>
        <v>5757.4794408572961</v>
      </c>
      <c r="AB234" s="158">
        <f t="shared" si="145"/>
        <v>5822.0690899770798</v>
      </c>
      <c r="AC234" s="158">
        <f t="shared" si="145"/>
        <v>6240.377146551009</v>
      </c>
      <c r="AD234" s="158">
        <f t="shared" si="145"/>
        <v>6515.635011947259</v>
      </c>
      <c r="AE234" s="158">
        <f t="shared" si="145"/>
        <v>6899.6560407227335</v>
      </c>
      <c r="AF234" s="158">
        <f t="shared" si="145"/>
        <v>7390.6261347791733</v>
      </c>
      <c r="AG234" s="158">
        <f t="shared" si="145"/>
        <v>8115.9668708208956</v>
      </c>
      <c r="AH234" s="187">
        <f t="shared" si="145"/>
        <v>8938.9217532366529</v>
      </c>
    </row>
    <row r="235" spans="1:34">
      <c r="A235" t="s">
        <v>417</v>
      </c>
      <c r="C235" s="331">
        <f t="shared" ref="C235:AH235" si="146">C214-C195</f>
        <v>0</v>
      </c>
      <c r="D235" s="331">
        <f t="shared" si="146"/>
        <v>25.554539080872587</v>
      </c>
      <c r="E235" s="331">
        <f t="shared" si="146"/>
        <v>147.14289064807667</v>
      </c>
      <c r="F235" s="331">
        <f t="shared" si="146"/>
        <v>386.03420390431768</v>
      </c>
      <c r="G235" s="331">
        <f t="shared" si="146"/>
        <v>627.89889542845469</v>
      </c>
      <c r="H235" s="402">
        <f t="shared" si="146"/>
        <v>0</v>
      </c>
      <c r="I235" s="14">
        <f t="shared" si="146"/>
        <v>9.6741205836603967</v>
      </c>
      <c r="J235" s="14">
        <f t="shared" si="146"/>
        <v>2.9701290943648928E-3</v>
      </c>
      <c r="K235" s="14">
        <f t="shared" si="146"/>
        <v>51.208986354804438</v>
      </c>
      <c r="L235" s="14">
        <f t="shared" si="146"/>
        <v>158.41576940244613</v>
      </c>
      <c r="M235" s="14">
        <f t="shared" si="146"/>
        <v>511.18810107427157</v>
      </c>
      <c r="N235" s="187">
        <f t="shared" si="146"/>
        <v>960.25529899250478</v>
      </c>
      <c r="O235" s="14">
        <f t="shared" si="146"/>
        <v>1197.9077017414036</v>
      </c>
      <c r="P235" s="14">
        <f t="shared" si="146"/>
        <v>1407.8598042033557</v>
      </c>
      <c r="Q235" s="14">
        <f t="shared" si="146"/>
        <v>1556.6484401939369</v>
      </c>
      <c r="R235" s="14">
        <f t="shared" si="146"/>
        <v>1632.3192033789405</v>
      </c>
      <c r="S235" s="14">
        <f t="shared" si="146"/>
        <v>1726.5121094754909</v>
      </c>
      <c r="T235" s="14">
        <f t="shared" si="146"/>
        <v>1888.3364007949071</v>
      </c>
      <c r="U235" s="14">
        <f t="shared" si="146"/>
        <v>2037.1859967942992</v>
      </c>
      <c r="V235" s="14">
        <f t="shared" si="146"/>
        <v>2231.2826569594586</v>
      </c>
      <c r="W235" s="14">
        <f t="shared" si="146"/>
        <v>2587.4628781082738</v>
      </c>
      <c r="X235" s="187">
        <f t="shared" si="146"/>
        <v>2901.5102854050983</v>
      </c>
      <c r="Y235" s="158">
        <f t="shared" si="146"/>
        <v>2903.6214557436952</v>
      </c>
      <c r="Z235" s="158">
        <f t="shared" si="146"/>
        <v>2982.368400667493</v>
      </c>
      <c r="AA235" s="158">
        <f t="shared" si="146"/>
        <v>3030.2530100525473</v>
      </c>
      <c r="AB235" s="158">
        <f t="shared" si="146"/>
        <v>3064.2475990062694</v>
      </c>
      <c r="AC235" s="158">
        <f t="shared" si="146"/>
        <v>3284.4097661100304</v>
      </c>
      <c r="AD235" s="158">
        <f t="shared" si="146"/>
        <v>3429.2823496176134</v>
      </c>
      <c r="AE235" s="158">
        <f t="shared" si="146"/>
        <v>3631.3987073547769</v>
      </c>
      <c r="AF235" s="158">
        <f t="shared" si="146"/>
        <v>3889.8040560063682</v>
      </c>
      <c r="AG235" s="158">
        <f t="shared" si="146"/>
        <v>4271.5623880560197</v>
      </c>
      <c r="AH235" s="187">
        <f t="shared" si="146"/>
        <v>4704.6965825236448</v>
      </c>
    </row>
    <row r="236" spans="1:34">
      <c r="A236" t="s">
        <v>418</v>
      </c>
      <c r="C236" s="331">
        <f t="shared" ref="C236:AH236" si="147">C215-C196</f>
        <v>-2.7000000000043656E-4</v>
      </c>
      <c r="D236" s="331">
        <f t="shared" si="147"/>
        <v>22.998811556010878</v>
      </c>
      <c r="E236" s="331">
        <f t="shared" si="147"/>
        <v>132.42831862665253</v>
      </c>
      <c r="F236" s="331">
        <f t="shared" si="147"/>
        <v>347.43043473998773</v>
      </c>
      <c r="G236" s="331">
        <f t="shared" si="147"/>
        <v>565.10856989702279</v>
      </c>
      <c r="H236" s="402">
        <f>H215-H196</f>
        <v>-2.7000000000043656E-4</v>
      </c>
      <c r="I236" s="14">
        <f t="shared" si="147"/>
        <v>8.7064385252944021</v>
      </c>
      <c r="J236" s="14">
        <f t="shared" si="147"/>
        <v>2.4031161850643912E-3</v>
      </c>
      <c r="K236" s="14">
        <f t="shared" si="147"/>
        <v>46.087794311461039</v>
      </c>
      <c r="L236" s="14">
        <f t="shared" si="147"/>
        <v>142.57384778225969</v>
      </c>
      <c r="M236" s="14">
        <f t="shared" si="147"/>
        <v>460.06890566780658</v>
      </c>
      <c r="N236" s="187">
        <f t="shared" si="147"/>
        <v>864.22933873389206</v>
      </c>
      <c r="O236" s="14">
        <f t="shared" si="147"/>
        <v>1078.1164403552268</v>
      </c>
      <c r="P236" s="14">
        <f t="shared" si="147"/>
        <v>1267.0732663631657</v>
      </c>
      <c r="Q236" s="14">
        <f t="shared" si="147"/>
        <v>1400.9829794405043</v>
      </c>
      <c r="R236" s="14">
        <f t="shared" si="147"/>
        <v>1469.0866201179119</v>
      </c>
      <c r="S236" s="14">
        <f t="shared" si="147"/>
        <v>1553.8601757756137</v>
      </c>
      <c r="T236" s="14">
        <f t="shared" si="147"/>
        <v>1699.5019632907311</v>
      </c>
      <c r="U236" s="14">
        <f t="shared" si="147"/>
        <v>1833.4665359442938</v>
      </c>
      <c r="V236" s="14">
        <f t="shared" si="147"/>
        <v>2008.1534735361911</v>
      </c>
      <c r="W236" s="14">
        <f t="shared" si="147"/>
        <v>2328.7155984442697</v>
      </c>
      <c r="X236" s="187">
        <f t="shared" si="147"/>
        <v>2611.3581862821097</v>
      </c>
      <c r="Y236" s="158">
        <f t="shared" si="147"/>
        <v>2613.2581935796561</v>
      </c>
      <c r="Z236" s="158">
        <f t="shared" si="147"/>
        <v>2684.1303550894377</v>
      </c>
      <c r="AA236" s="158">
        <f t="shared" si="147"/>
        <v>2727.2264308047479</v>
      </c>
      <c r="AB236" s="158">
        <f t="shared" si="147"/>
        <v>2757.8214909708113</v>
      </c>
      <c r="AC236" s="158">
        <f t="shared" si="147"/>
        <v>2955.9673804409786</v>
      </c>
      <c r="AD236" s="158">
        <f t="shared" si="147"/>
        <v>3086.352662329643</v>
      </c>
      <c r="AE236" s="158">
        <f t="shared" si="147"/>
        <v>3268.2573333679547</v>
      </c>
      <c r="AF236" s="158">
        <f t="shared" si="147"/>
        <v>3500.822078772806</v>
      </c>
      <c r="AG236" s="158">
        <f t="shared" si="147"/>
        <v>3844.4044827648768</v>
      </c>
      <c r="AH236" s="187">
        <f t="shared" si="147"/>
        <v>4234.2251707130063</v>
      </c>
    </row>
    <row r="237" spans="1:34">
      <c r="A237" t="s">
        <v>419</v>
      </c>
      <c r="C237" s="331">
        <f t="shared" ref="C237:AH237" si="148">C216-C197</f>
        <v>0</v>
      </c>
      <c r="D237" s="331">
        <f t="shared" si="148"/>
        <v>24.595367191892365</v>
      </c>
      <c r="E237" s="331">
        <f t="shared" si="148"/>
        <v>-125.3505989488508</v>
      </c>
      <c r="F237" s="331">
        <f t="shared" si="148"/>
        <v>-18.208482120721328</v>
      </c>
      <c r="G237" s="331">
        <f t="shared" si="148"/>
        <v>182.67980379392361</v>
      </c>
      <c r="H237" s="402">
        <f t="shared" si="148"/>
        <v>0</v>
      </c>
      <c r="I237" s="14">
        <f t="shared" si="148"/>
        <v>-137.79664921102903</v>
      </c>
      <c r="J237" s="14">
        <f t="shared" si="148"/>
        <v>-109.37787849930447</v>
      </c>
      <c r="K237" s="14">
        <f t="shared" si="148"/>
        <v>-95.187988422165745</v>
      </c>
      <c r="L237" s="14">
        <f t="shared" si="148"/>
        <v>-45.455608169907691</v>
      </c>
      <c r="M237" s="14">
        <f t="shared" si="148"/>
        <v>-22.90769698539782</v>
      </c>
      <c r="N237" s="187">
        <f t="shared" si="148"/>
        <v>0</v>
      </c>
      <c r="O237" s="14">
        <f t="shared" si="148"/>
        <v>28.496582282348982</v>
      </c>
      <c r="P237" s="14">
        <f t="shared" si="148"/>
        <v>56.851904050700341</v>
      </c>
      <c r="Q237" s="14">
        <f t="shared" si="148"/>
        <v>68.250820767688424</v>
      </c>
      <c r="R237" s="14">
        <f t="shared" si="148"/>
        <v>59.330618482668342</v>
      </c>
      <c r="S237" s="14">
        <f t="shared" si="148"/>
        <v>58.35909739914166</v>
      </c>
      <c r="T237" s="14">
        <f t="shared" si="148"/>
        <v>63.660321507495496</v>
      </c>
      <c r="U237" s="14">
        <f t="shared" si="148"/>
        <v>53.236553853400778</v>
      </c>
      <c r="V237" s="14">
        <f t="shared" si="148"/>
        <v>32.72765959015419</v>
      </c>
      <c r="W237" s="14">
        <f t="shared" si="148"/>
        <v>15.902354394083318</v>
      </c>
      <c r="X237" s="187">
        <f t="shared" si="148"/>
        <v>0</v>
      </c>
      <c r="Y237" s="158">
        <f t="shared" si="148"/>
        <v>-3.657214955784184</v>
      </c>
      <c r="Z237" s="158">
        <f t="shared" si="148"/>
        <v>14.131709565146593</v>
      </c>
      <c r="AA237" s="158">
        <f t="shared" si="148"/>
        <v>20.929763784573765</v>
      </c>
      <c r="AB237" s="158">
        <f t="shared" si="148"/>
        <v>24.231341218246939</v>
      </c>
      <c r="AC237" s="158">
        <f t="shared" si="148"/>
        <v>20.52533637280942</v>
      </c>
      <c r="AD237" s="158">
        <f t="shared" si="148"/>
        <v>9.1627064491743795</v>
      </c>
      <c r="AE237" s="158">
        <f t="shared" si="148"/>
        <v>0.29683530667375635</v>
      </c>
      <c r="AF237" s="158">
        <f t="shared" si="148"/>
        <v>-2.7246230060723065</v>
      </c>
      <c r="AG237" s="158">
        <f t="shared" si="148"/>
        <v>-0.30707035549039574</v>
      </c>
      <c r="AH237" s="187">
        <f t="shared" si="148"/>
        <v>0</v>
      </c>
    </row>
    <row r="238" spans="1:34">
      <c r="A238" t="s">
        <v>420</v>
      </c>
      <c r="C238" s="331">
        <f t="shared" ref="C238:AH238" si="149">C217-C198</f>
        <v>0</v>
      </c>
      <c r="D238" s="331">
        <f t="shared" si="149"/>
        <v>12.944930100995975</v>
      </c>
      <c r="E238" s="331">
        <f t="shared" si="149"/>
        <v>-65.973999446763514</v>
      </c>
      <c r="F238" s="331">
        <f t="shared" si="149"/>
        <v>-9.5834116424848617</v>
      </c>
      <c r="G238" s="331">
        <f t="shared" si="149"/>
        <v>96.14726515469664</v>
      </c>
      <c r="H238" s="402">
        <f t="shared" si="149"/>
        <v>0</v>
      </c>
      <c r="I238" s="14">
        <f t="shared" si="149"/>
        <v>-72.524552216331131</v>
      </c>
      <c r="J238" s="14">
        <f t="shared" si="149"/>
        <v>-57.567304473318103</v>
      </c>
      <c r="K238" s="14">
        <f t="shared" si="149"/>
        <v>-50.098941274824085</v>
      </c>
      <c r="L238" s="14">
        <f t="shared" si="149"/>
        <v>-23.924004299951434</v>
      </c>
      <c r="M238" s="14">
        <f t="shared" si="149"/>
        <v>-12.05668262389355</v>
      </c>
      <c r="N238" s="187">
        <f t="shared" si="149"/>
        <v>0</v>
      </c>
      <c r="O238" s="14">
        <f t="shared" si="149"/>
        <v>14.998201201236327</v>
      </c>
      <c r="P238" s="14">
        <f t="shared" si="149"/>
        <v>29.922054763526489</v>
      </c>
      <c r="Q238" s="14">
        <f t="shared" si="149"/>
        <v>35.921484614572819</v>
      </c>
      <c r="R238" s="14">
        <f t="shared" si="149"/>
        <v>31.226641306667545</v>
      </c>
      <c r="S238" s="14">
        <f t="shared" si="149"/>
        <v>30.715314420600862</v>
      </c>
      <c r="T238" s="14">
        <f t="shared" si="149"/>
        <v>33.505432372366101</v>
      </c>
      <c r="U238" s="14">
        <f t="shared" si="149"/>
        <v>28.019238870210984</v>
      </c>
      <c r="V238" s="14">
        <f t="shared" si="149"/>
        <v>17.225083994818021</v>
      </c>
      <c r="W238" s="14">
        <f t="shared" si="149"/>
        <v>8.3696602074122666</v>
      </c>
      <c r="X238" s="187">
        <f t="shared" si="149"/>
        <v>0</v>
      </c>
      <c r="Y238" s="158">
        <f t="shared" si="149"/>
        <v>-1.9248499767285239</v>
      </c>
      <c r="Z238" s="158">
        <f t="shared" si="149"/>
        <v>7.4377418763929768</v>
      </c>
      <c r="AA238" s="158">
        <f t="shared" si="149"/>
        <v>11.015665149775657</v>
      </c>
      <c r="AB238" s="158">
        <f t="shared" si="149"/>
        <v>12.753337483287851</v>
      </c>
      <c r="AC238" s="158">
        <f t="shared" si="149"/>
        <v>10.802808617268113</v>
      </c>
      <c r="AD238" s="158">
        <f t="shared" si="149"/>
        <v>4.8224770785128044</v>
      </c>
      <c r="AE238" s="158">
        <f t="shared" si="149"/>
        <v>0.1562291087756762</v>
      </c>
      <c r="AF238" s="158">
        <f t="shared" si="149"/>
        <v>-1.4340121084591146</v>
      </c>
      <c r="AG238" s="158">
        <f t="shared" si="149"/>
        <v>-0.16161597657389848</v>
      </c>
      <c r="AH238" s="187">
        <f t="shared" si="149"/>
        <v>0</v>
      </c>
    </row>
    <row r="239" spans="1:34">
      <c r="A239" t="s">
        <v>421</v>
      </c>
      <c r="C239" s="331">
        <f t="shared" ref="C239:AH239" si="150">C218-C199</f>
        <v>0</v>
      </c>
      <c r="D239" s="331">
        <f t="shared" si="150"/>
        <v>11.650437090896389</v>
      </c>
      <c r="E239" s="331">
        <f t="shared" si="150"/>
        <v>-59.376599502087174</v>
      </c>
      <c r="F239" s="331">
        <f t="shared" si="150"/>
        <v>-8.6250704782363528</v>
      </c>
      <c r="G239" s="331">
        <f t="shared" si="150"/>
        <v>86.532538639226971</v>
      </c>
      <c r="H239" s="402">
        <f t="shared" si="150"/>
        <v>0</v>
      </c>
      <c r="I239" s="14">
        <f t="shared" si="150"/>
        <v>-65.272096994697989</v>
      </c>
      <c r="J239" s="14">
        <f t="shared" si="150"/>
        <v>-51.810574025986313</v>
      </c>
      <c r="K239" s="14">
        <f t="shared" si="150"/>
        <v>-45.08904714734166</v>
      </c>
      <c r="L239" s="14">
        <f t="shared" si="150"/>
        <v>-21.531603869956257</v>
      </c>
      <c r="M239" s="14">
        <f t="shared" si="150"/>
        <v>-10.851014361504213</v>
      </c>
      <c r="N239" s="187">
        <f t="shared" si="150"/>
        <v>0</v>
      </c>
      <c r="O239" s="14">
        <f t="shared" si="150"/>
        <v>13.498381081112711</v>
      </c>
      <c r="P239" s="14">
        <f t="shared" si="150"/>
        <v>26.929849287173852</v>
      </c>
      <c r="Q239" s="14">
        <f t="shared" si="150"/>
        <v>32.329336153115548</v>
      </c>
      <c r="R239" s="14">
        <f t="shared" si="150"/>
        <v>28.103977176000797</v>
      </c>
      <c r="S239" s="14">
        <f t="shared" si="150"/>
        <v>27.643782978540742</v>
      </c>
      <c r="T239" s="14">
        <f t="shared" si="150"/>
        <v>30.154889135129451</v>
      </c>
      <c r="U239" s="14">
        <f t="shared" si="150"/>
        <v>25.217314983189851</v>
      </c>
      <c r="V239" s="14">
        <f t="shared" si="150"/>
        <v>15.502575595336225</v>
      </c>
      <c r="W239" s="14">
        <f t="shared" si="150"/>
        <v>7.5326941866710513</v>
      </c>
      <c r="X239" s="187">
        <f t="shared" si="150"/>
        <v>0</v>
      </c>
      <c r="Y239" s="158">
        <f t="shared" si="150"/>
        <v>-1.7323649790556601</v>
      </c>
      <c r="Z239" s="158">
        <f t="shared" si="150"/>
        <v>6.6939676887536734</v>
      </c>
      <c r="AA239" s="158">
        <f t="shared" si="150"/>
        <v>9.9140986347981084</v>
      </c>
      <c r="AB239" s="158">
        <f t="shared" si="150"/>
        <v>11.478003734959088</v>
      </c>
      <c r="AC239" s="158">
        <f t="shared" si="150"/>
        <v>9.7225277555413072</v>
      </c>
      <c r="AD239" s="158">
        <f t="shared" si="150"/>
        <v>4.3402293706615183</v>
      </c>
      <c r="AE239" s="158">
        <f t="shared" si="150"/>
        <v>0.14060619789808015</v>
      </c>
      <c r="AF239" s="158">
        <f t="shared" si="150"/>
        <v>-1.2906108976131918</v>
      </c>
      <c r="AG239" s="158">
        <f t="shared" si="150"/>
        <v>-0.14545437891649726</v>
      </c>
      <c r="AH239" s="187">
        <f t="shared" si="150"/>
        <v>0</v>
      </c>
    </row>
    <row r="240" spans="1:34">
      <c r="A240" t="s">
        <v>393</v>
      </c>
      <c r="C240" s="331">
        <f>C219-C200</f>
        <v>-10.913562000002457</v>
      </c>
      <c r="D240" s="331">
        <f t="shared" ref="D240:AH240" si="151">D219-D200+D249+D252</f>
        <v>-23.678516685283284</v>
      </c>
      <c r="E240" s="331">
        <f t="shared" si="151"/>
        <v>18.646406585611658</v>
      </c>
      <c r="F240" s="331">
        <f t="shared" si="151"/>
        <v>-187.40140794041872</v>
      </c>
      <c r="G240" s="331">
        <f t="shared" si="151"/>
        <v>-519.5998355931406</v>
      </c>
      <c r="H240" s="402">
        <f t="shared" si="151"/>
        <v>136.32890775226406</v>
      </c>
      <c r="I240" s="14">
        <f t="shared" si="151"/>
        <v>276.7330093141436</v>
      </c>
      <c r="J240" s="14">
        <f t="shared" si="151"/>
        <v>266.66138710183714</v>
      </c>
      <c r="K240" s="14">
        <f t="shared" si="151"/>
        <v>242.61797051501435</v>
      </c>
      <c r="L240" s="14">
        <f t="shared" si="151"/>
        <v>152.12382273990988</v>
      </c>
      <c r="M240" s="14">
        <f t="shared" si="151"/>
        <v>-111.78597422424718</v>
      </c>
      <c r="N240" s="187">
        <f t="shared" si="151"/>
        <v>-479.33613716297623</v>
      </c>
      <c r="O240" s="14">
        <f t="shared" si="151"/>
        <v>-672.28537883467106</v>
      </c>
      <c r="P240" s="14">
        <f t="shared" si="151"/>
        <v>-836.79094284257917</v>
      </c>
      <c r="Q240" s="14">
        <f t="shared" si="151"/>
        <v>-934.67327620733158</v>
      </c>
      <c r="R240" s="14">
        <f t="shared" si="151"/>
        <v>-955.78238151223013</v>
      </c>
      <c r="S240" s="14">
        <f t="shared" si="151"/>
        <v>-1056.1838117969564</v>
      </c>
      <c r="T240" s="14">
        <f t="shared" si="151"/>
        <v>-1186.6336339751015</v>
      </c>
      <c r="U240" s="14">
        <f t="shared" si="151"/>
        <v>-1280.8222374109337</v>
      </c>
      <c r="V240" s="14">
        <f t="shared" si="151"/>
        <v>-1407.4345894479193</v>
      </c>
      <c r="W240" s="14">
        <f t="shared" si="151"/>
        <v>-1668.2902726737229</v>
      </c>
      <c r="X240" s="187">
        <f t="shared" si="151"/>
        <v>-1890.4319126109003</v>
      </c>
      <c r="Y240" s="158">
        <f t="shared" si="151"/>
        <v>-1873.2875933269752</v>
      </c>
      <c r="Z240" s="158">
        <f t="shared" si="151"/>
        <v>-1929.3032126172911</v>
      </c>
      <c r="AA240" s="158">
        <f t="shared" si="151"/>
        <v>-1952.472666957452</v>
      </c>
      <c r="AB240" s="158">
        <f t="shared" si="151"/>
        <v>-1941.1898135595638</v>
      </c>
      <c r="AC240" s="158">
        <f t="shared" si="151"/>
        <v>-2060.3722167683845</v>
      </c>
      <c r="AD240" s="158">
        <f t="shared" si="151"/>
        <v>-2133.4626495041048</v>
      </c>
      <c r="AE240" s="158">
        <f t="shared" si="151"/>
        <v>-2270.6522938757589</v>
      </c>
      <c r="AF240" s="158">
        <f t="shared" si="151"/>
        <v>-2455.6946208462687</v>
      </c>
      <c r="AG240" s="158">
        <f t="shared" si="151"/>
        <v>-2743.311483535339</v>
      </c>
      <c r="AH240" s="187">
        <f t="shared" si="151"/>
        <v>-3071.7358974767376</v>
      </c>
    </row>
    <row r="241" spans="1:34">
      <c r="A241" t="s">
        <v>422</v>
      </c>
      <c r="C241" s="331">
        <f>C220-C201</f>
        <v>-5.7439800000011019</v>
      </c>
      <c r="D241" s="331">
        <f t="shared" ref="D241:AH241" si="152">D220-D201+D250+D253</f>
        <v>-12.462377202780317</v>
      </c>
      <c r="E241" s="331">
        <f t="shared" si="152"/>
        <v>9.8138982029536237</v>
      </c>
      <c r="F241" s="331">
        <f t="shared" si="152"/>
        <v>-98.632319968641696</v>
      </c>
      <c r="G241" s="331">
        <f t="shared" si="152"/>
        <v>-273.47359768060051</v>
      </c>
      <c r="H241" s="402">
        <f t="shared" si="152"/>
        <v>71.752056711718069</v>
      </c>
      <c r="I241" s="14">
        <f t="shared" si="152"/>
        <v>145.64895227060197</v>
      </c>
      <c r="J241" s="14">
        <f t="shared" si="152"/>
        <v>140.34809847465112</v>
      </c>
      <c r="K241" s="14">
        <f t="shared" si="152"/>
        <v>127.69366869211308</v>
      </c>
      <c r="L241" s="14">
        <f t="shared" si="152"/>
        <v>80.065169863110896</v>
      </c>
      <c r="M241" s="14">
        <f t="shared" si="152"/>
        <v>-58.834723275919714</v>
      </c>
      <c r="N241" s="187">
        <f t="shared" si="152"/>
        <v>-252.28217745419806</v>
      </c>
      <c r="O241" s="14">
        <f t="shared" si="152"/>
        <v>-353.83440991298494</v>
      </c>
      <c r="P241" s="14">
        <f t="shared" si="152"/>
        <v>-440.41628570662033</v>
      </c>
      <c r="Q241" s="14">
        <f t="shared" si="152"/>
        <v>-491.93330326701744</v>
      </c>
      <c r="R241" s="14">
        <f t="shared" si="152"/>
        <v>-503.04335869064744</v>
      </c>
      <c r="S241" s="14">
        <f t="shared" si="152"/>
        <v>-555.88621673524085</v>
      </c>
      <c r="T241" s="14">
        <f t="shared" si="152"/>
        <v>-624.5440178816325</v>
      </c>
      <c r="U241" s="14">
        <f t="shared" si="152"/>
        <v>-674.11696705838585</v>
      </c>
      <c r="V241" s="14">
        <f t="shared" si="152"/>
        <v>-740.75504707785149</v>
      </c>
      <c r="W241" s="14">
        <f t="shared" si="152"/>
        <v>-878.04751193353786</v>
      </c>
      <c r="X241" s="187">
        <f t="shared" si="152"/>
        <v>-994.96416453205256</v>
      </c>
      <c r="Y241" s="158">
        <f t="shared" si="152"/>
        <v>-985.94083859314378</v>
      </c>
      <c r="Z241" s="158">
        <f t="shared" si="152"/>
        <v>-1015.4227434827853</v>
      </c>
      <c r="AA241" s="158">
        <f t="shared" si="152"/>
        <v>-1027.6171931355011</v>
      </c>
      <c r="AB241" s="158">
        <f t="shared" si="152"/>
        <v>-1021.6788492418755</v>
      </c>
      <c r="AC241" s="158">
        <f t="shared" si="152"/>
        <v>-1084.4064298780977</v>
      </c>
      <c r="AD241" s="158">
        <f t="shared" si="152"/>
        <v>-1122.8750786863702</v>
      </c>
      <c r="AE241" s="158">
        <f t="shared" si="152"/>
        <v>-1195.080154671452</v>
      </c>
      <c r="AF241" s="158">
        <f t="shared" si="152"/>
        <v>-1292.4708530769831</v>
      </c>
      <c r="AG241" s="158">
        <f t="shared" si="152"/>
        <v>-1443.8481492291257</v>
      </c>
      <c r="AH241" s="187">
        <f t="shared" si="152"/>
        <v>-1616.7031039351259</v>
      </c>
    </row>
    <row r="242" spans="1:34">
      <c r="A242" t="s">
        <v>423</v>
      </c>
      <c r="C242" s="331">
        <f>C221-C202</f>
        <v>-5.1695820000009007</v>
      </c>
      <c r="D242" s="331">
        <f t="shared" ref="D242:AH242" si="153">D221-D202+D251+D254</f>
        <v>-11.216139482502513</v>
      </c>
      <c r="E242" s="331">
        <f t="shared" si="153"/>
        <v>8.8325083826584887</v>
      </c>
      <c r="F242" s="331">
        <f t="shared" si="153"/>
        <v>-88.769087971777481</v>
      </c>
      <c r="G242" s="331">
        <f t="shared" si="153"/>
        <v>-246.12623791254055</v>
      </c>
      <c r="H242" s="402">
        <f t="shared" si="153"/>
        <v>64.576851040546444</v>
      </c>
      <c r="I242" s="14">
        <f t="shared" si="153"/>
        <v>131.08405704354209</v>
      </c>
      <c r="J242" s="14">
        <f t="shared" si="153"/>
        <v>126.31328862718601</v>
      </c>
      <c r="K242" s="14">
        <f t="shared" si="153"/>
        <v>114.92430182290173</v>
      </c>
      <c r="L242" s="14">
        <f t="shared" si="153"/>
        <v>72.058652876799897</v>
      </c>
      <c r="M242" s="14">
        <f t="shared" si="153"/>
        <v>-52.951250948327925</v>
      </c>
      <c r="N242" s="187">
        <f t="shared" si="153"/>
        <v>-227.05395970877817</v>
      </c>
      <c r="O242" s="14">
        <f t="shared" si="153"/>
        <v>-318.45096892168658</v>
      </c>
      <c r="P242" s="14">
        <f t="shared" si="153"/>
        <v>-396.37465713595839</v>
      </c>
      <c r="Q242" s="14">
        <f t="shared" si="153"/>
        <v>-442.73997294031551</v>
      </c>
      <c r="R242" s="14">
        <f t="shared" si="153"/>
        <v>-452.73902282158269</v>
      </c>
      <c r="S242" s="14">
        <f t="shared" si="153"/>
        <v>-500.29759506171649</v>
      </c>
      <c r="T242" s="14">
        <f t="shared" si="153"/>
        <v>-562.08961609346898</v>
      </c>
      <c r="U242" s="14">
        <f t="shared" si="153"/>
        <v>-606.70527035254781</v>
      </c>
      <c r="V242" s="14">
        <f t="shared" si="153"/>
        <v>-666.67954237006597</v>
      </c>
      <c r="W242" s="14">
        <f t="shared" si="153"/>
        <v>-790.24276074018508</v>
      </c>
      <c r="X242" s="187">
        <f t="shared" si="153"/>
        <v>-895.46774807884776</v>
      </c>
      <c r="Y242" s="158">
        <f t="shared" si="153"/>
        <v>-887.34675473382958</v>
      </c>
      <c r="Z242" s="158">
        <f t="shared" si="153"/>
        <v>-913.8804691345058</v>
      </c>
      <c r="AA242" s="158">
        <f t="shared" si="153"/>
        <v>-924.85547382195182</v>
      </c>
      <c r="AB242" s="158">
        <f t="shared" si="153"/>
        <v>-919.51096431768838</v>
      </c>
      <c r="AC242" s="158">
        <f t="shared" si="153"/>
        <v>-975.96578689028684</v>
      </c>
      <c r="AD242" s="158">
        <f t="shared" si="153"/>
        <v>-1010.5875708177336</v>
      </c>
      <c r="AE242" s="158">
        <f t="shared" si="153"/>
        <v>-1075.5721392043069</v>
      </c>
      <c r="AF242" s="158">
        <f t="shared" si="153"/>
        <v>-1163.2237677692856</v>
      </c>
      <c r="AG242" s="158">
        <f t="shared" si="153"/>
        <v>-1299.4633343062123</v>
      </c>
      <c r="AH242" s="187">
        <f t="shared" si="153"/>
        <v>-1455.0327935416126</v>
      </c>
    </row>
    <row r="243" spans="1:34" s="1" customFormat="1">
      <c r="A243" s="1" t="s">
        <v>404</v>
      </c>
      <c r="B243" s="13"/>
      <c r="C243" s="341">
        <f>C222-C203</f>
        <v>-10.913832000002003</v>
      </c>
      <c r="D243" s="341">
        <f t="shared" ref="D243:AH243" si="154">D222-D203+D249+D252</f>
        <v>49.470201143491067</v>
      </c>
      <c r="E243" s="341">
        <f t="shared" si="154"/>
        <v>172.86701691149028</v>
      </c>
      <c r="F243" s="341">
        <f t="shared" si="154"/>
        <v>527.85474858316411</v>
      </c>
      <c r="G243" s="341">
        <f t="shared" si="154"/>
        <v>856.08743352626152</v>
      </c>
      <c r="H243" s="405">
        <f t="shared" si="154"/>
        <v>136.3286377522636</v>
      </c>
      <c r="I243" s="15">
        <f t="shared" si="154"/>
        <v>157.31691921206948</v>
      </c>
      <c r="J243" s="15">
        <f t="shared" si="154"/>
        <v>157.28888184781135</v>
      </c>
      <c r="K243" s="15">
        <f t="shared" si="154"/>
        <v>244.72676275911363</v>
      </c>
      <c r="L243" s="15">
        <f t="shared" si="154"/>
        <v>407.65783175470824</v>
      </c>
      <c r="M243" s="15">
        <f t="shared" si="154"/>
        <v>836.56333553243348</v>
      </c>
      <c r="N243" s="190">
        <f t="shared" si="154"/>
        <v>1345.1485005634204</v>
      </c>
      <c r="O243" s="15">
        <f t="shared" si="154"/>
        <v>1632.2353455443081</v>
      </c>
      <c r="P243" s="15">
        <f t="shared" si="154"/>
        <v>1894.9940317746423</v>
      </c>
      <c r="Q243" s="15">
        <f t="shared" si="154"/>
        <v>2091.2089641947969</v>
      </c>
      <c r="R243" s="15">
        <f t="shared" si="154"/>
        <v>2204.9540604672893</v>
      </c>
      <c r="S243" s="15">
        <f t="shared" si="154"/>
        <v>2282.5475708532886</v>
      </c>
      <c r="T243" s="15">
        <f t="shared" si="154"/>
        <v>2464.8650516180332</v>
      </c>
      <c r="U243" s="15">
        <f t="shared" si="154"/>
        <v>2643.0668491810611</v>
      </c>
      <c r="V243" s="15">
        <f t="shared" si="154"/>
        <v>2864.7292006378848</v>
      </c>
      <c r="W243" s="15">
        <f t="shared" si="154"/>
        <v>3263.7905582729072</v>
      </c>
      <c r="X243" s="190">
        <f t="shared" si="154"/>
        <v>3622.4365590763118</v>
      </c>
      <c r="Y243" s="130">
        <f t="shared" si="154"/>
        <v>3639.9348410405946</v>
      </c>
      <c r="Z243" s="130">
        <f t="shared" si="154"/>
        <v>3751.3272527047884</v>
      </c>
      <c r="AA243" s="130">
        <f t="shared" si="154"/>
        <v>3825.936537684418</v>
      </c>
      <c r="AB243" s="130">
        <f t="shared" si="154"/>
        <v>3905.1106176357644</v>
      </c>
      <c r="AC243" s="130">
        <f t="shared" si="154"/>
        <v>4200.5302661554342</v>
      </c>
      <c r="AD243" s="130">
        <f t="shared" si="154"/>
        <v>4391.335068892331</v>
      </c>
      <c r="AE243" s="130">
        <f t="shared" si="154"/>
        <v>4629.3005821536499</v>
      </c>
      <c r="AF243" s="130">
        <f t="shared" si="154"/>
        <v>4932.2068909268273</v>
      </c>
      <c r="AG243" s="130">
        <f t="shared" si="154"/>
        <v>5372.3483169300634</v>
      </c>
      <c r="AH243" s="190">
        <f t="shared" si="154"/>
        <v>5867.1858557599116</v>
      </c>
    </row>
    <row r="244" spans="1:34">
      <c r="A244" t="s">
        <v>444</v>
      </c>
      <c r="C244" s="331"/>
      <c r="D244" s="331">
        <f>D231+D234</f>
        <v>48.553350636883351</v>
      </c>
      <c r="E244" s="331">
        <f t="shared" ref="E244:N244" si="155">E231+E234</f>
        <v>279.57120927472897</v>
      </c>
      <c r="F244" s="331">
        <f t="shared" si="155"/>
        <v>733.4646386443053</v>
      </c>
      <c r="G244" s="331">
        <f t="shared" si="155"/>
        <v>1193.0074653254774</v>
      </c>
      <c r="H244" s="402">
        <f t="shared" si="155"/>
        <v>-2.7000000000043656E-4</v>
      </c>
      <c r="I244" s="14">
        <f t="shared" si="155"/>
        <v>18.380559108954913</v>
      </c>
      <c r="J244" s="14">
        <f t="shared" si="155"/>
        <v>5.3732452793155971E-3</v>
      </c>
      <c r="K244" s="14">
        <f t="shared" si="155"/>
        <v>97.296780666265477</v>
      </c>
      <c r="L244" s="14">
        <f t="shared" si="155"/>
        <v>300.98961718470582</v>
      </c>
      <c r="M244" s="14">
        <f t="shared" si="155"/>
        <v>971.25700674207837</v>
      </c>
      <c r="N244" s="187">
        <f t="shared" si="155"/>
        <v>1824.4846377263966</v>
      </c>
      <c r="O244" s="14">
        <f>O231+O234</f>
        <v>2276.0241420966304</v>
      </c>
      <c r="P244" s="14">
        <f t="shared" ref="P244:AH244" si="156">P231+P234</f>
        <v>2674.9330705665216</v>
      </c>
      <c r="Q244" s="14">
        <f t="shared" si="156"/>
        <v>2957.631419634442</v>
      </c>
      <c r="R244" s="14">
        <f t="shared" si="156"/>
        <v>3101.4058234968525</v>
      </c>
      <c r="S244" s="14">
        <f t="shared" si="156"/>
        <v>3280.3722852511037</v>
      </c>
      <c r="T244" s="14">
        <f t="shared" si="156"/>
        <v>3587.8383640856382</v>
      </c>
      <c r="U244" s="14">
        <f t="shared" si="156"/>
        <v>3870.6525327385934</v>
      </c>
      <c r="V244" s="14">
        <f t="shared" si="156"/>
        <v>4239.4361304956492</v>
      </c>
      <c r="W244" s="14">
        <f t="shared" si="156"/>
        <v>4916.1784765525435</v>
      </c>
      <c r="X244" s="187">
        <f t="shared" si="156"/>
        <v>5512.8684716872085</v>
      </c>
      <c r="Y244" s="158">
        <f t="shared" si="156"/>
        <v>5516.8796493233513</v>
      </c>
      <c r="Z244" s="158">
        <f t="shared" si="156"/>
        <v>5666.4987557569311</v>
      </c>
      <c r="AA244" s="158">
        <f t="shared" si="156"/>
        <v>5757.4794408572961</v>
      </c>
      <c r="AB244" s="158">
        <f t="shared" si="156"/>
        <v>5822.0690899770798</v>
      </c>
      <c r="AC244" s="158">
        <f t="shared" si="156"/>
        <v>6240.377146551009</v>
      </c>
      <c r="AD244" s="158">
        <f t="shared" si="156"/>
        <v>6515.635011947259</v>
      </c>
      <c r="AE244" s="158">
        <f t="shared" si="156"/>
        <v>6899.6560407227335</v>
      </c>
      <c r="AF244" s="158">
        <f t="shared" si="156"/>
        <v>7390.6261347791733</v>
      </c>
      <c r="AG244" s="158">
        <f t="shared" si="156"/>
        <v>8115.9668708208956</v>
      </c>
      <c r="AH244" s="187">
        <f t="shared" si="156"/>
        <v>8938.9217532366529</v>
      </c>
    </row>
    <row r="245" spans="1:34">
      <c r="A245" t="s">
        <v>445</v>
      </c>
      <c r="D245" s="331">
        <f>D231+D234+D237</f>
        <v>73.148717828775716</v>
      </c>
      <c r="E245" s="331">
        <f t="shared" ref="E245:N245" si="157">E231+E234+E237</f>
        <v>154.22061032587817</v>
      </c>
      <c r="F245" s="331">
        <f t="shared" si="157"/>
        <v>715.25615652358397</v>
      </c>
      <c r="G245" s="331">
        <f t="shared" si="157"/>
        <v>1375.687269119401</v>
      </c>
      <c r="H245" s="402">
        <f t="shared" si="157"/>
        <v>-2.7000000000043656E-4</v>
      </c>
      <c r="I245" s="14">
        <f t="shared" si="157"/>
        <v>-119.41609010207412</v>
      </c>
      <c r="J245" s="14">
        <f t="shared" si="157"/>
        <v>-109.37250525402516</v>
      </c>
      <c r="K245" s="14">
        <f t="shared" si="157"/>
        <v>2.1087922440997318</v>
      </c>
      <c r="L245" s="14">
        <f t="shared" si="157"/>
        <v>255.53400901479813</v>
      </c>
      <c r="M245" s="14">
        <f t="shared" si="157"/>
        <v>948.34930975668055</v>
      </c>
      <c r="N245" s="187">
        <f t="shared" si="157"/>
        <v>1824.4846377263966</v>
      </c>
      <c r="O245" s="14">
        <f>O231+O234+O237</f>
        <v>2304.5207243789791</v>
      </c>
      <c r="P245" s="14">
        <f t="shared" ref="P245:AH245" si="158">P231+P234+P237</f>
        <v>2731.7849746172219</v>
      </c>
      <c r="Q245" s="14">
        <f t="shared" si="158"/>
        <v>3025.8822404021303</v>
      </c>
      <c r="R245" s="14">
        <f t="shared" si="158"/>
        <v>3160.7364419795208</v>
      </c>
      <c r="S245" s="14">
        <f t="shared" si="158"/>
        <v>3338.7313826502455</v>
      </c>
      <c r="T245" s="14">
        <f t="shared" si="158"/>
        <v>3651.4986855931338</v>
      </c>
      <c r="U245" s="14">
        <f t="shared" si="158"/>
        <v>3923.8890865919943</v>
      </c>
      <c r="V245" s="14">
        <f t="shared" si="158"/>
        <v>4272.1637900858032</v>
      </c>
      <c r="W245" s="14">
        <f t="shared" si="158"/>
        <v>4932.0808309466265</v>
      </c>
      <c r="X245" s="187">
        <f t="shared" si="158"/>
        <v>5512.8684716872085</v>
      </c>
      <c r="Y245" s="158">
        <f t="shared" si="158"/>
        <v>5513.2224343675671</v>
      </c>
      <c r="Z245" s="158">
        <f t="shared" si="158"/>
        <v>5680.6304653220777</v>
      </c>
      <c r="AA245" s="158">
        <f t="shared" si="158"/>
        <v>5778.40920464187</v>
      </c>
      <c r="AB245" s="158">
        <f t="shared" si="158"/>
        <v>5846.3004311953264</v>
      </c>
      <c r="AC245" s="158">
        <f t="shared" si="158"/>
        <v>6260.9024829238188</v>
      </c>
      <c r="AD245" s="158">
        <f t="shared" si="158"/>
        <v>6524.7977183964331</v>
      </c>
      <c r="AE245" s="158">
        <f t="shared" si="158"/>
        <v>6899.952876029407</v>
      </c>
      <c r="AF245" s="158">
        <f t="shared" si="158"/>
        <v>7387.9015117731014</v>
      </c>
      <c r="AG245" s="158">
        <f t="shared" si="158"/>
        <v>8115.6598004654052</v>
      </c>
      <c r="AH245" s="187">
        <f t="shared" si="158"/>
        <v>8938.9217532366529</v>
      </c>
    </row>
    <row r="246" spans="1:34" s="1" customFormat="1">
      <c r="A246" s="1" t="s">
        <v>448</v>
      </c>
      <c r="B246" s="13"/>
      <c r="C246" s="328"/>
      <c r="D246" s="341">
        <f>D243</f>
        <v>49.470201143491067</v>
      </c>
      <c r="E246" s="341">
        <f>D246+E243</f>
        <v>222.33721805498135</v>
      </c>
      <c r="F246" s="341">
        <f>E246+F243</f>
        <v>750.19196663814546</v>
      </c>
      <c r="G246" s="341">
        <f>F246+G243</f>
        <v>1606.279400164407</v>
      </c>
      <c r="H246" s="405"/>
      <c r="I246" s="15">
        <f t="shared" ref="I246:X246" si="159">H246+I243</f>
        <v>157.31691921206948</v>
      </c>
      <c r="J246" s="15">
        <f t="shared" si="159"/>
        <v>314.60580105988083</v>
      </c>
      <c r="K246" s="15">
        <f t="shared" si="159"/>
        <v>559.33256381899446</v>
      </c>
      <c r="L246" s="15">
        <f t="shared" si="159"/>
        <v>966.9903955737027</v>
      </c>
      <c r="M246" s="15">
        <f t="shared" si="159"/>
        <v>1803.5537311061362</v>
      </c>
      <c r="N246" s="190">
        <f t="shared" si="159"/>
        <v>3148.7022316695566</v>
      </c>
      <c r="O246" s="15">
        <f t="shared" si="159"/>
        <v>4780.9375772138646</v>
      </c>
      <c r="P246" s="15">
        <f t="shared" si="159"/>
        <v>6675.9316089885069</v>
      </c>
      <c r="Q246" s="15">
        <f t="shared" si="159"/>
        <v>8767.1405731833038</v>
      </c>
      <c r="R246" s="15">
        <f t="shared" si="159"/>
        <v>10972.094633650593</v>
      </c>
      <c r="S246" s="15">
        <f t="shared" si="159"/>
        <v>13254.642204503882</v>
      </c>
      <c r="T246" s="15">
        <f t="shared" si="159"/>
        <v>15719.507256121915</v>
      </c>
      <c r="U246" s="15">
        <f t="shared" si="159"/>
        <v>18362.574105302978</v>
      </c>
      <c r="V246" s="15">
        <f t="shared" si="159"/>
        <v>21227.303305940863</v>
      </c>
      <c r="W246" s="15">
        <f t="shared" si="159"/>
        <v>24491.09386421377</v>
      </c>
      <c r="X246" s="190">
        <f t="shared" si="159"/>
        <v>28113.530423290082</v>
      </c>
      <c r="Y246" s="130">
        <f t="shared" ref="Y246:AH246" si="160">X246+Y243</f>
        <v>31753.465264330676</v>
      </c>
      <c r="Z246" s="130">
        <f t="shared" si="160"/>
        <v>35504.792517035465</v>
      </c>
      <c r="AA246" s="130">
        <f t="shared" si="160"/>
        <v>39330.729054719879</v>
      </c>
      <c r="AB246" s="130">
        <f t="shared" si="160"/>
        <v>43235.839672355643</v>
      </c>
      <c r="AC246" s="130">
        <f t="shared" si="160"/>
        <v>47436.369938511081</v>
      </c>
      <c r="AD246" s="130">
        <f t="shared" si="160"/>
        <v>51827.705007403412</v>
      </c>
      <c r="AE246" s="130">
        <f t="shared" si="160"/>
        <v>56457.005589557062</v>
      </c>
      <c r="AF246" s="130">
        <f t="shared" si="160"/>
        <v>61389.21248048389</v>
      </c>
      <c r="AG246" s="130">
        <f t="shared" si="160"/>
        <v>66761.560797413957</v>
      </c>
      <c r="AH246" s="190">
        <f t="shared" si="160"/>
        <v>72628.746653173876</v>
      </c>
    </row>
    <row r="247" spans="1:34">
      <c r="A247" t="s">
        <v>457</v>
      </c>
      <c r="D247" s="343" t="b">
        <f t="shared" ref="D247:AH247" si="161">IF(D185-D246&lt;1,TRUE,FALSE)</f>
        <v>1</v>
      </c>
      <c r="E247" s="343" t="b">
        <f t="shared" si="161"/>
        <v>1</v>
      </c>
      <c r="F247" s="343" t="b">
        <f t="shared" si="161"/>
        <v>1</v>
      </c>
      <c r="G247" s="343" t="b">
        <f t="shared" si="161"/>
        <v>1</v>
      </c>
      <c r="H247" s="408"/>
      <c r="I247" s="133" t="b">
        <f t="shared" si="161"/>
        <v>0</v>
      </c>
      <c r="J247" s="133" t="b">
        <f t="shared" si="161"/>
        <v>0</v>
      </c>
      <c r="K247" s="133" t="b">
        <f t="shared" si="161"/>
        <v>0</v>
      </c>
      <c r="L247" s="133" t="b">
        <f t="shared" si="161"/>
        <v>0</v>
      </c>
      <c r="M247" s="133" t="b">
        <f t="shared" si="161"/>
        <v>0</v>
      </c>
      <c r="N247" s="194" t="b">
        <f t="shared" si="161"/>
        <v>0</v>
      </c>
      <c r="O247" s="133" t="b">
        <f t="shared" si="161"/>
        <v>0</v>
      </c>
      <c r="P247" s="133" t="b">
        <f t="shared" si="161"/>
        <v>0</v>
      </c>
      <c r="Q247" s="133" t="b">
        <f t="shared" si="161"/>
        <v>0</v>
      </c>
      <c r="R247" s="133" t="b">
        <f t="shared" si="161"/>
        <v>0</v>
      </c>
      <c r="S247" s="133" t="b">
        <f t="shared" si="161"/>
        <v>0</v>
      </c>
      <c r="T247" s="133" t="b">
        <f t="shared" si="161"/>
        <v>0</v>
      </c>
      <c r="U247" s="133" t="b">
        <f t="shared" si="161"/>
        <v>0</v>
      </c>
      <c r="V247" s="133" t="b">
        <f t="shared" si="161"/>
        <v>0</v>
      </c>
      <c r="W247" s="133" t="b">
        <f t="shared" si="161"/>
        <v>0</v>
      </c>
      <c r="X247" s="194" t="b">
        <f t="shared" si="161"/>
        <v>0</v>
      </c>
      <c r="Y247" s="290" t="b">
        <f t="shared" si="161"/>
        <v>0</v>
      </c>
      <c r="Z247" s="290" t="b">
        <f t="shared" si="161"/>
        <v>0</v>
      </c>
      <c r="AA247" s="290" t="b">
        <f t="shared" si="161"/>
        <v>0</v>
      </c>
      <c r="AB247" s="290" t="b">
        <f t="shared" si="161"/>
        <v>0</v>
      </c>
      <c r="AC247" s="290" t="b">
        <f t="shared" si="161"/>
        <v>0</v>
      </c>
      <c r="AD247" s="290" t="b">
        <f t="shared" si="161"/>
        <v>0</v>
      </c>
      <c r="AE247" s="290" t="b">
        <f t="shared" si="161"/>
        <v>0</v>
      </c>
      <c r="AF247" s="290" t="b">
        <f t="shared" si="161"/>
        <v>0</v>
      </c>
      <c r="AG247" s="290" t="b">
        <f t="shared" si="161"/>
        <v>0</v>
      </c>
      <c r="AH247" s="194" t="b">
        <f t="shared" si="161"/>
        <v>0</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X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37702.999999999993</v>
      </c>
      <c r="D4" s="329">
        <f>EIA_electricity_aeo2014!F58 * 1000</f>
        <v>35140</v>
      </c>
      <c r="E4" s="329">
        <f>EIA_electricity_aeo2014!G58 * 1000</f>
        <v>33421.48833554492</v>
      </c>
      <c r="F4" s="329">
        <f>EIA_electricity_aeo2014!H58 * 1000</f>
        <v>37887.574401178783</v>
      </c>
      <c r="G4" s="329">
        <f>EIA_electricity_aeo2014!I58 * 1000</f>
        <v>43558.693110281347</v>
      </c>
      <c r="H4" s="21">
        <f>EIA_electricity_aeo2014!J58 * 1000</f>
        <v>43539.369113240951</v>
      </c>
      <c r="I4" s="21">
        <f>EIA_electricity_aeo2014!K58 * 1000</f>
        <v>33250.640407516876</v>
      </c>
      <c r="J4" s="21">
        <f>EIA_electricity_aeo2014!L58 * 1000</f>
        <v>35695.955281980059</v>
      </c>
      <c r="K4" s="21">
        <f>EIA_electricity_aeo2014!M58 * 1000</f>
        <v>36807.032010473777</v>
      </c>
      <c r="L4" s="21">
        <f>EIA_electricity_aeo2014!N58 * 1000</f>
        <v>39766.920057244446</v>
      </c>
      <c r="M4" s="21">
        <f>EIA_electricity_aeo2014!O58 * 1000</f>
        <v>40883.753779889063</v>
      </c>
      <c r="N4" s="388">
        <f>EIA_electricity_aeo2014!P58 * 1000</f>
        <v>41998.230132810175</v>
      </c>
      <c r="O4" s="21">
        <f>EIA_electricity_aeo2014!Q58 * 1000</f>
        <v>46031.974875340311</v>
      </c>
      <c r="P4" s="21">
        <f>EIA_electricity_aeo2014!R58 * 1000</f>
        <v>50160.737754816808</v>
      </c>
      <c r="Q4" s="21">
        <f>EIA_electricity_aeo2014!S58 * 1000</f>
        <v>53293.013007169837</v>
      </c>
      <c r="R4" s="21">
        <f>EIA_electricity_aeo2014!T58 * 1000</f>
        <v>55008.069688983604</v>
      </c>
      <c r="S4" s="21">
        <f>EIA_electricity_aeo2014!U58 * 1000</f>
        <v>57589.539199542858</v>
      </c>
      <c r="T4" s="21">
        <f>EIA_electricity_aeo2014!V58 * 1000</f>
        <v>61014.724210848661</v>
      </c>
      <c r="U4" s="21">
        <f>EIA_electricity_aeo2014!W58 * 1000</f>
        <v>63273.962800085472</v>
      </c>
      <c r="V4" s="21">
        <f>EIA_electricity_aeo2014!X58 * 1000</f>
        <v>64750.091776403737</v>
      </c>
      <c r="W4" s="21">
        <f>EIA_electricity_aeo2014!Y58 * 1000</f>
        <v>67199.337167752325</v>
      </c>
      <c r="X4" s="388">
        <f>EIA_electricity_aeo2014!Z58 * 1000</f>
        <v>69651.200489251845</v>
      </c>
      <c r="Y4" s="21">
        <f>EIA_electricity_aeo2014!AA58 * 1000</f>
        <v>70584.315398186314</v>
      </c>
      <c r="Z4" s="21">
        <f>EIA_electricity_aeo2014!AB58 * 1000</f>
        <v>74044.365350048276</v>
      </c>
      <c r="AA4" s="21">
        <f>EIA_electricity_aeo2014!AC58 * 1000</f>
        <v>76285.170677676258</v>
      </c>
      <c r="AB4" s="21">
        <f>EIA_electricity_aeo2014!AD58 * 1000</f>
        <v>78174.715596550508</v>
      </c>
      <c r="AC4" s="21">
        <f>EIA_electricity_aeo2014!AE58 * 1000</f>
        <v>79390.400308144177</v>
      </c>
      <c r="AD4" s="21">
        <f>EIA_electricity_aeo2014!AF58 * 1000</f>
        <v>79507.739856692322</v>
      </c>
      <c r="AE4" s="21">
        <f>EIA_electricity_aeo2014!AG58 * 1000</f>
        <v>79961.873195549531</v>
      </c>
      <c r="AF4" s="21">
        <f>EIA_electricity_aeo2014!AH58 * 1000</f>
        <v>81228.531864920122</v>
      </c>
      <c r="AG4" s="21">
        <f>EIA_electricity_aeo2014!AI58 * 1000</f>
        <v>83688.380011562869</v>
      </c>
      <c r="AH4" s="21">
        <f>EIA_electricity_aeo2014!AJ58 * 1000</f>
        <v>85563.775838806061</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2460.9899999999998</v>
      </c>
      <c r="D7" s="330">
        <f>EIA_RE_aeo2014!F73*1000-D15</f>
        <v>2156.9899999999998</v>
      </c>
      <c r="E7" s="330">
        <f>EIA_RE_aeo2014!G73*1000-E15</f>
        <v>2525.4682101715066</v>
      </c>
      <c r="F7" s="330">
        <f>EIA_RE_aeo2014!H73*1000-F15</f>
        <v>2373.8867173833219</v>
      </c>
      <c r="G7" s="330">
        <f>EIA_RE_aeo2014!I73*1000-G15</f>
        <v>1952.3008404083541</v>
      </c>
      <c r="H7" s="174">
        <f>EIA_RE_aeo2014!J73*1000-H15</f>
        <v>1993.8260682094729</v>
      </c>
      <c r="I7" s="174">
        <f>EIA_RE_aeo2014!K73*1000-I15</f>
        <v>2026.6735738988655</v>
      </c>
      <c r="J7" s="174">
        <f>EIA_RE_aeo2014!L73*1000-J15</f>
        <v>2062.4637618855381</v>
      </c>
      <c r="K7" s="174">
        <f>EIA_RE_aeo2014!M73*1000-K15</f>
        <v>2087.6278903296975</v>
      </c>
      <c r="L7" s="174">
        <f>EIA_RE_aeo2014!N73*1000-L15</f>
        <v>2078.6772764335174</v>
      </c>
      <c r="M7" s="174">
        <f>EIA_RE_aeo2014!O73*1000-M15</f>
        <v>2078.6779614263019</v>
      </c>
      <c r="N7" s="184">
        <f>EIA_RE_aeo2014!P73*1000-N15</f>
        <v>2078.6772764335174</v>
      </c>
      <c r="O7" s="174">
        <f>EIA_RE_aeo2014!Q73*1000-O15</f>
        <v>2089.4273041019715</v>
      </c>
      <c r="P7" s="174">
        <f>EIA_RE_aeo2014!R73*1000-P15</f>
        <v>2089.4266191091874</v>
      </c>
      <c r="Q7" s="174">
        <f>EIA_RE_aeo2014!S73*1000-Q15</f>
        <v>2089.4263855889199</v>
      </c>
      <c r="R7" s="174">
        <f>EIA_RE_aeo2014!T73*1000-R15</f>
        <v>2089.4263855889199</v>
      </c>
      <c r="S7" s="83">
        <f>EIA_RE_aeo2014!U73*1000-S15</f>
        <v>2089.4263855889199</v>
      </c>
      <c r="T7" s="83">
        <f>EIA_RE_aeo2014!V73*1000-T15</f>
        <v>2089.4261365006346</v>
      </c>
      <c r="U7" s="83">
        <f>EIA_RE_aeo2014!W73*1000-U15</f>
        <v>2089.4261365006346</v>
      </c>
      <c r="V7" s="83">
        <f>EIA_RE_aeo2014!X73*1000-V15</f>
        <v>2089.4261365006346</v>
      </c>
      <c r="W7" s="83">
        <f>EIA_RE_aeo2014!Y73*1000-W15</f>
        <v>2102.0468794630006</v>
      </c>
      <c r="X7" s="184">
        <f>EIA_RE_aeo2014!Z73*1000-X15</f>
        <v>2102.0468794630006</v>
      </c>
      <c r="Y7" s="174">
        <f>EIA_RE_aeo2014!AA73*1000-Y15</f>
        <v>2104.7851069821872</v>
      </c>
      <c r="Z7" s="174">
        <f>EIA_RE_aeo2014!AB73*1000-Z15</f>
        <v>2104.785122550205</v>
      </c>
      <c r="AA7" s="174">
        <f>EIA_RE_aeo2014!AC73*1000-AA15</f>
        <v>2104.785122550205</v>
      </c>
      <c r="AB7" s="174">
        <f>EIA_RE_aeo2014!AD73*1000-AB15</f>
        <v>2104.785122550205</v>
      </c>
      <c r="AC7" s="174">
        <f>EIA_RE_aeo2014!AE73*1000-AC15</f>
        <v>2108.8141878353622</v>
      </c>
      <c r="AD7" s="174">
        <f>EIA_RE_aeo2014!AF73*1000-AD15</f>
        <v>2108.814888396164</v>
      </c>
      <c r="AE7" s="174">
        <f>EIA_RE_aeo2014!AG73*1000-AE15</f>
        <v>2108.8144057876116</v>
      </c>
      <c r="AF7" s="174">
        <f>EIA_RE_aeo2014!AH73*1000-AF15</f>
        <v>2108.8136896587916</v>
      </c>
      <c r="AG7" s="174">
        <f>EIA_RE_aeo2014!AI73*1000-AG15</f>
        <v>2118.5455845295141</v>
      </c>
      <c r="AH7" s="174">
        <f>EIA_RE_aeo2014!AJ73*1000-AH15</f>
        <v>2118.5453665772648</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1</v>
      </c>
      <c r="D10" s="330">
        <f>EIA_RE_aeo2014!F76*1000</f>
        <v>0</v>
      </c>
      <c r="E10" s="330">
        <f>EIA_RE_aeo2014!G76*1000</f>
        <v>0.20406549157853507</v>
      </c>
      <c r="F10" s="330">
        <f>EIA_RE_aeo2014!H76*1000</f>
        <v>0.19754249902075988</v>
      </c>
      <c r="G10" s="330">
        <f>EIA_RE_aeo2014!I76*1000</f>
        <v>0.19415103799451625</v>
      </c>
      <c r="H10" s="83">
        <f>EIA_RE_aeo2014!J76*1000</f>
        <v>0.20747810419114765</v>
      </c>
      <c r="I10" s="174">
        <f>EIA_RE_aeo2014!K76*1000</f>
        <v>0.20567794751273008</v>
      </c>
      <c r="J10" s="174">
        <f>EIA_RE_aeo2014!L76*1000</f>
        <v>0.22280344692518603</v>
      </c>
      <c r="K10" s="174">
        <f>EIA_RE_aeo2014!M76*1000</f>
        <v>0.24387528397963179</v>
      </c>
      <c r="L10" s="174">
        <f>EIA_RE_aeo2014!N76*1000</f>
        <v>0.29798981590285933</v>
      </c>
      <c r="M10" s="174">
        <f>EIA_RE_aeo2014!O76*1000</f>
        <v>0.33247293380336862</v>
      </c>
      <c r="N10" s="184">
        <f>EIA_RE_aeo2014!P76*1000</f>
        <v>0.33835628672150414</v>
      </c>
      <c r="O10" s="174">
        <f>EIA_RE_aeo2014!Q76*1000</f>
        <v>0.35499529964747356</v>
      </c>
      <c r="P10" s="174">
        <f>EIA_RE_aeo2014!R76*1000</f>
        <v>0.36331946729338033</v>
      </c>
      <c r="Q10" s="174">
        <f>EIA_RE_aeo2014!S76*1000</f>
        <v>0.36929432040736387</v>
      </c>
      <c r="R10" s="174">
        <f>EIA_RE_aeo2014!T76*1000</f>
        <v>0.38165076380728552</v>
      </c>
      <c r="S10" s="83">
        <f>EIA_RE_aeo2014!U76*1000</f>
        <v>0.38637297297297296</v>
      </c>
      <c r="T10" s="83">
        <f>EIA_RE_aeo2014!V76*1000</f>
        <v>0.40852769291030155</v>
      </c>
      <c r="U10" s="83">
        <f>EIA_RE_aeo2014!W76*1000</f>
        <v>0.41691249510379946</v>
      </c>
      <c r="V10" s="83">
        <f>EIA_RE_aeo2014!X76*1000</f>
        <v>0.42034077555816679</v>
      </c>
      <c r="W10" s="83">
        <f>EIA_RE_aeo2014!Y76*1000</f>
        <v>0.4274958871915393</v>
      </c>
      <c r="X10" s="184">
        <f>EIA_RE_aeo2014!Z76*1000</f>
        <v>0.43354845280062665</v>
      </c>
      <c r="Y10" s="174">
        <f>EIA_RE_aeo2014!AA76*1000</f>
        <v>0.44108288288288283</v>
      </c>
      <c r="Z10" s="174">
        <f>EIA_RE_aeo2014!AB76*1000</f>
        <v>0.46689486878182529</v>
      </c>
      <c r="AA10" s="174">
        <f>EIA_RE_aeo2014!AC76*1000</f>
        <v>0.47537453975714838</v>
      </c>
      <c r="AB10" s="174">
        <f>EIA_RE_aeo2014!AD76*1000</f>
        <v>0.48617195456325885</v>
      </c>
      <c r="AC10" s="174">
        <f>EIA_RE_aeo2014!AE76*1000</f>
        <v>0.49773309831570689</v>
      </c>
      <c r="AD10" s="174">
        <f>EIA_RE_aeo2014!AF76*1000</f>
        <v>0.50833176654915779</v>
      </c>
      <c r="AE10" s="174">
        <f>EIA_RE_aeo2014!AG76*1000</f>
        <v>0.53010043086564818</v>
      </c>
      <c r="AF10" s="174">
        <f>EIA_RE_aeo2014!AH76*1000</f>
        <v>0.54139553466509982</v>
      </c>
      <c r="AG10" s="174">
        <f>EIA_RE_aeo2014!AI76*1000</f>
        <v>0.55566455150802962</v>
      </c>
      <c r="AH10" s="174">
        <f>EIA_RE_aeo2014!AJ76*1000</f>
        <v>0.57069792401096742</v>
      </c>
    </row>
    <row r="11" spans="1:34" s="20" customFormat="1">
      <c r="A11" s="9" t="s">
        <v>50</v>
      </c>
      <c r="B11" s="35">
        <v>1</v>
      </c>
      <c r="C11" s="330">
        <f>EIA_RE_aeo2014!E74*1000</f>
        <v>1633</v>
      </c>
      <c r="D11" s="330">
        <f>EIA_RE_aeo2014!F74*1000</f>
        <v>2070</v>
      </c>
      <c r="E11" s="330">
        <f>EIA_RE_aeo2014!G74*1000</f>
        <v>1656.8577206966763</v>
      </c>
      <c r="F11" s="330">
        <f>EIA_RE_aeo2014!H74*1000</f>
        <v>1722.9963605197781</v>
      </c>
      <c r="G11" s="330">
        <f>EIA_RE_aeo2014!I74*1000</f>
        <v>2046.6305317310903</v>
      </c>
      <c r="H11" s="83">
        <f>EIA_RE_aeo2014!J74*1000</f>
        <v>2232.5369210297517</v>
      </c>
      <c r="I11" s="83">
        <f>EIA_RE_aeo2014!K74*1000</f>
        <v>2232.5369210297517</v>
      </c>
      <c r="J11" s="83">
        <f>EIA_RE_aeo2014!L74*1000</f>
        <v>2910.564818557797</v>
      </c>
      <c r="K11" s="83">
        <f>EIA_RE_aeo2014!M74*1000</f>
        <v>3896.6588690003318</v>
      </c>
      <c r="L11" s="83">
        <f>EIA_RE_aeo2014!N74*1000</f>
        <v>4542.0278453562423</v>
      </c>
      <c r="M11" s="83">
        <f>EIA_RE_aeo2014!O74*1000</f>
        <v>4704.7407703589879</v>
      </c>
      <c r="N11" s="388">
        <f>EIA_RE_aeo2014!P74*1000</f>
        <v>4715.0015867756465</v>
      </c>
      <c r="O11" s="83">
        <f>EIA_RE_aeo2014!Q74*1000</f>
        <v>5053.7018009661497</v>
      </c>
      <c r="P11" s="83">
        <f>EIA_RE_aeo2014!R74*1000</f>
        <v>5627.516400414981</v>
      </c>
      <c r="Q11" s="83">
        <f>EIA_RE_aeo2014!S74*1000</f>
        <v>6322.4308493799117</v>
      </c>
      <c r="R11" s="83">
        <f>EIA_RE_aeo2014!T74*1000</f>
        <v>7054.5465873827789</v>
      </c>
      <c r="S11" s="83">
        <f>EIA_RE_aeo2014!U74*1000</f>
        <v>7675.5884153217039</v>
      </c>
      <c r="T11" s="83">
        <f>EIA_RE_aeo2014!V74*1000</f>
        <v>8447.0176391804453</v>
      </c>
      <c r="U11" s="83">
        <f>EIA_RE_aeo2014!W74*1000</f>
        <v>9143.7525966030717</v>
      </c>
      <c r="V11" s="83">
        <f>EIA_RE_aeo2014!X74*1000</f>
        <v>9521.4898710522393</v>
      </c>
      <c r="W11" s="83">
        <f>EIA_RE_aeo2014!Y74*1000</f>
        <v>9611.148428713972</v>
      </c>
      <c r="X11" s="184">
        <f>EIA_RE_aeo2014!Z74*1000</f>
        <v>9970.1625325742443</v>
      </c>
      <c r="Y11" s="174">
        <f>EIA_RE_aeo2014!AA74*1000</f>
        <v>10875.39446445152</v>
      </c>
      <c r="Z11" s="174">
        <f>EIA_RE_aeo2014!AB74*1000</f>
        <v>12341.326042673216</v>
      </c>
      <c r="AA11" s="174">
        <f>EIA_RE_aeo2014!AC74*1000</f>
        <v>13607.918304261926</v>
      </c>
      <c r="AB11" s="174">
        <f>EIA_RE_aeo2014!AD74*1000</f>
        <v>14876.744016841583</v>
      </c>
      <c r="AC11" s="174">
        <f>EIA_RE_aeo2014!AE74*1000</f>
        <v>15224.633262311097</v>
      </c>
      <c r="AD11" s="174">
        <f>EIA_RE_aeo2014!AF74*1000</f>
        <v>15522.805753053075</v>
      </c>
      <c r="AE11" s="174">
        <f>EIA_RE_aeo2014!AG74*1000</f>
        <v>15750.820409705779</v>
      </c>
      <c r="AF11" s="174">
        <f>EIA_RE_aeo2014!AH74*1000</f>
        <v>16110.330553364725</v>
      </c>
      <c r="AG11" s="174">
        <f>EIA_RE_aeo2014!AI74*1000</f>
        <v>16515.648488551407</v>
      </c>
      <c r="AH11" s="174">
        <f>EIA_RE_aeo2014!AJ74*1000</f>
        <v>16564.990457653279</v>
      </c>
    </row>
    <row r="12" spans="1:34" s="20" customFormat="1">
      <c r="A12" s="9" t="s">
        <v>51</v>
      </c>
      <c r="B12" s="35">
        <v>1</v>
      </c>
      <c r="C12" s="330">
        <f>EIA_RE_aeo2014!E75*1000</f>
        <v>0</v>
      </c>
      <c r="D12" s="330">
        <f>EIA_RE_aeo2014!F75*1000</f>
        <v>0</v>
      </c>
      <c r="E12" s="330">
        <f>EIA_RE_aeo2014!G75*1000</f>
        <v>6.2751400000000002E-3</v>
      </c>
      <c r="F12" s="330">
        <f>EIA_RE_aeo2014!H75*1000</f>
        <v>7.3646300000000022E-3</v>
      </c>
      <c r="G12" s="330">
        <f>EIA_RE_aeo2014!I75*1000</f>
        <v>8.7872300000000018E-3</v>
      </c>
      <c r="H12" s="83">
        <f>EIA_RE_aeo2014!J75*1000</f>
        <v>7.8539500000000002E-3</v>
      </c>
      <c r="I12" s="174">
        <f>EIA_RE_aeo2014!K75*1000</f>
        <v>8.7771600000000026E-3</v>
      </c>
      <c r="J12" s="174">
        <f>EIA_RE_aeo2014!L75*1000</f>
        <v>7.8533600000000002E-3</v>
      </c>
      <c r="K12" s="174">
        <f>EIA_RE_aeo2014!M75*1000</f>
        <v>8.7237700000000005E-3</v>
      </c>
      <c r="L12" s="174">
        <f>EIA_RE_aeo2014!N75*1000</f>
        <v>6.8582600000000006E-3</v>
      </c>
      <c r="M12" s="174">
        <f>EIA_RE_aeo2014!O75*1000</f>
        <v>8.8579399999999999E-3</v>
      </c>
      <c r="N12" s="184">
        <f>EIA_RE_aeo2014!P75*1000</f>
        <v>9.7640299999999999E-3</v>
      </c>
      <c r="O12" s="174">
        <f>EIA_RE_aeo2014!Q75*1000</f>
        <v>8.8587200000000005E-3</v>
      </c>
      <c r="P12" s="174">
        <f>EIA_RE_aeo2014!R75*1000</f>
        <v>7.8643700000000025E-3</v>
      </c>
      <c r="Q12" s="174">
        <f>EIA_RE_aeo2014!S75*1000</f>
        <v>8.7708000000000005E-3</v>
      </c>
      <c r="R12" s="174">
        <f>EIA_RE_aeo2014!T75*1000</f>
        <v>9.7947099999999999E-3</v>
      </c>
      <c r="S12" s="83">
        <f>EIA_RE_aeo2014!U75*1000</f>
        <v>7.8452100000000018E-3</v>
      </c>
      <c r="T12" s="83">
        <f>EIA_RE_aeo2014!V75*1000</f>
        <v>8.738000000000001E-3</v>
      </c>
      <c r="U12" s="83">
        <f>EIA_RE_aeo2014!W75*1000</f>
        <v>8.7334900000000017E-3</v>
      </c>
      <c r="V12" s="83">
        <f>EIA_RE_aeo2014!X75*1000</f>
        <v>8.8547699999999997E-3</v>
      </c>
      <c r="W12" s="83">
        <f>EIA_RE_aeo2014!Y75*1000</f>
        <v>7.72546E-3</v>
      </c>
      <c r="X12" s="184">
        <f>EIA_RE_aeo2014!Z75*1000</f>
        <v>7.7651499999999993E-3</v>
      </c>
      <c r="Y12" s="174">
        <f>EIA_RE_aeo2014!AA75*1000</f>
        <v>8.7795400000000006E-3</v>
      </c>
      <c r="Z12" s="174">
        <f>EIA_RE_aeo2014!AB75*1000</f>
        <v>7.7105699999999999E-3</v>
      </c>
      <c r="AA12" s="174">
        <f>EIA_RE_aeo2014!AC75*1000</f>
        <v>8.7198399999999995E-3</v>
      </c>
      <c r="AB12" s="174">
        <f>EIA_RE_aeo2014!AD75*1000</f>
        <v>8.731860000000001E-3</v>
      </c>
      <c r="AC12" s="174">
        <f>EIA_RE_aeo2014!AE75*1000</f>
        <v>7.6934300000000002E-3</v>
      </c>
      <c r="AD12" s="174">
        <f>EIA_RE_aeo2014!AF75*1000</f>
        <v>8.709070000000001E-3</v>
      </c>
      <c r="AE12" s="174">
        <f>EIA_RE_aeo2014!AG75*1000</f>
        <v>7.6851600000000008E-3</v>
      </c>
      <c r="AF12" s="174">
        <f>EIA_RE_aeo2014!AH75*1000</f>
        <v>7.6966100000000004E-3</v>
      </c>
      <c r="AG12" s="174">
        <f>EIA_RE_aeo2014!AI75*1000</f>
        <v>7.6929400000000014E-3</v>
      </c>
      <c r="AH12" s="174">
        <f>EIA_RE_aeo2014!AJ75*1000</f>
        <v>7.8509700000000005E-3</v>
      </c>
    </row>
    <row r="13" spans="1:34">
      <c r="A13" s="9" t="s">
        <v>347</v>
      </c>
      <c r="B13" s="34">
        <v>1</v>
      </c>
      <c r="C13" s="330">
        <f>(EIA_RE_aeo2014!E34+EIA_RE_aeo2014!E54)*1000</f>
        <v>226.21799999999996</v>
      </c>
      <c r="D13" s="330">
        <f>(EIA_RE_aeo2014!F34+EIA_RE_aeo2014!F54)*1000</f>
        <v>210.84</v>
      </c>
      <c r="E13" s="330">
        <f>(EIA_RE_aeo2014!G34+EIA_RE_aeo2014!G54)*1000</f>
        <v>250.67116251658689</v>
      </c>
      <c r="F13" s="330">
        <f>(EIA_RE_aeo2014!H34+EIA_RE_aeo2014!H54)*1000</f>
        <v>284.16680800884086</v>
      </c>
      <c r="G13" s="330">
        <f>(EIA_RE_aeo2014!I34+EIA_RE_aeo2014!I54)*1000</f>
        <v>392.03823799253212</v>
      </c>
      <c r="H13" s="83">
        <f>(EIA_RE_aeo2014!J34+EIA_RE_aeo2014!J54)*1000</f>
        <v>391.86432201916853</v>
      </c>
      <c r="I13" s="83">
        <f>(EIA_RE_aeo2014!K34+EIA_RE_aeo2014!K54)*1000</f>
        <v>332.51640407516879</v>
      </c>
      <c r="J13" s="83">
        <f>(EIA_RE_aeo2014!L34+EIA_RE_aeo2014!L54)*1000</f>
        <v>428.36146338376074</v>
      </c>
      <c r="K13" s="83">
        <f>(EIA_RE_aeo2014!M34+EIA_RE_aeo2014!M54)*1000</f>
        <v>441.69438412568536</v>
      </c>
      <c r="L13" s="83">
        <f>(EIA_RE_aeo2014!N34+EIA_RE_aeo2014!N54)*1000</f>
        <v>477.21304068693337</v>
      </c>
      <c r="M13" s="83">
        <f>(EIA_RE_aeo2014!O34+EIA_RE_aeo2014!O54)*1000</f>
        <v>490.61504535866879</v>
      </c>
      <c r="N13" s="388">
        <f>(EIA_RE_aeo2014!P34+EIA_RE_aeo2014!P54)*1000</f>
        <v>554.38663775309419</v>
      </c>
      <c r="O13" s="83">
        <f>(EIA_RE_aeo2014!Q34+EIA_RE_aeo2014!Q54)*1000</f>
        <v>607.63206835449205</v>
      </c>
      <c r="P13" s="83">
        <f>(EIA_RE_aeo2014!R34+EIA_RE_aeo2014!R54)*1000</f>
        <v>662.1317383635818</v>
      </c>
      <c r="Q13" s="83">
        <f>(EIA_RE_aeo2014!S34+EIA_RE_aeo2014!S54)*1000</f>
        <v>703.47777169464189</v>
      </c>
      <c r="R13" s="83">
        <f>(EIA_RE_aeo2014!T34+EIA_RE_aeo2014!T54)*1000</f>
        <v>726.11651989458346</v>
      </c>
      <c r="S13" s="83">
        <f>(EIA_RE_aeo2014!U34+EIA_RE_aeo2014!U54)*1000</f>
        <v>863.85308799314271</v>
      </c>
      <c r="T13" s="83">
        <f>(EIA_RE_aeo2014!V34+EIA_RE_aeo2014!V54)*1000</f>
        <v>980.89432826582629</v>
      </c>
      <c r="U13" s="83">
        <f>(EIA_RE_aeo2014!W34+EIA_RE_aeo2014!W54)*1000</f>
        <v>1055.1786558376182</v>
      </c>
      <c r="V13" s="83">
        <f>(EIA_RE_aeo2014!X34+EIA_RE_aeo2014!X54)*1000</f>
        <v>1118.6449188799634</v>
      </c>
      <c r="W13" s="83">
        <f>(EIA_RE_aeo2014!Y34+EIA_RE_aeo2014!Y54)*1000</f>
        <v>1201.2781510844802</v>
      </c>
      <c r="X13" s="184">
        <f>(EIA_RE_aeo2014!Z34+EIA_RE_aeo2014!Z54)*1000</f>
        <v>1286.8988471347527</v>
      </c>
      <c r="Y13" s="174">
        <f>(EIA_RE_aeo2014!AA34+EIA_RE_aeo2014!AA54)*1000</f>
        <v>1346.4898451673062</v>
      </c>
      <c r="Z13" s="174">
        <f>(EIA_RE_aeo2014!AB34+EIA_RE_aeo2014!AB54)*1000</f>
        <v>1456.9210363161826</v>
      </c>
      <c r="AA13" s="174">
        <f>(EIA_RE_aeo2014!AC34+EIA_RE_aeo2014!AC54)*1000</f>
        <v>1546.7826511692708</v>
      </c>
      <c r="AB13" s="174">
        <f>(EIA_RE_aeo2014!AD34+EIA_RE_aeo2014!AD54)*1000</f>
        <v>1632.0002532156082</v>
      </c>
      <c r="AC13" s="174">
        <f>(EIA_RE_aeo2014!AE34+EIA_RE_aeo2014!AE54)*1000</f>
        <v>1705.0133589987115</v>
      </c>
      <c r="AD13" s="174">
        <f>(EIA_RE_aeo2014!AF34+EIA_RE_aeo2014!AF54)*1000</f>
        <v>1755.2380094077321</v>
      </c>
      <c r="AE13" s="174">
        <f>(EIA_RE_aeo2014!AG34+EIA_RE_aeo2014!AG54)*1000</f>
        <v>1813.2406674152742</v>
      </c>
      <c r="AF13" s="174">
        <f>(EIA_RE_aeo2014!AH34+EIA_RE_aeo2014!AH54)*1000</f>
        <v>1890.7007797891863</v>
      </c>
      <c r="AG13" s="174">
        <f>(EIA_RE_aeo2014!AI34+EIA_RE_aeo2014!AI54)*1000</f>
        <v>1998.1697017998792</v>
      </c>
      <c r="AH13" s="174">
        <f>(EIA_RE_aeo2014!AJ34+EIA_RE_aeo2014!AJ54)*1000</f>
        <v>2094.2852752926874</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0</v>
      </c>
      <c r="E16" s="330">
        <f>EIA_RE_aeo2014!G78*1000</f>
        <v>2.4002312999999997E-2</v>
      </c>
      <c r="F16" s="330">
        <f>EIA_RE_aeo2014!H78*1000</f>
        <v>2.7396309999999997E-2</v>
      </c>
      <c r="G16" s="330">
        <f>EIA_RE_aeo2014!I78*1000</f>
        <v>3.2237394999999995E-2</v>
      </c>
      <c r="H16" s="3">
        <f>EIA_RE_aeo2014!J78*1000</f>
        <v>3.2337365E-2</v>
      </c>
      <c r="I16" s="3">
        <f>EIA_RE_aeo2014!K78*1000</f>
        <v>3.4599169999999999E-2</v>
      </c>
      <c r="J16" s="3">
        <f>EIA_RE_aeo2014!L78*1000</f>
        <v>3.5894435999999995E-2</v>
      </c>
      <c r="K16" s="3">
        <f>EIA_RE_aeo2014!M78*1000</f>
        <v>3.589651E-2</v>
      </c>
      <c r="L16" s="3">
        <f>EIA_RE_aeo2014!N78*1000</f>
        <v>3.5895630000000005E-2</v>
      </c>
      <c r="M16" s="3">
        <f>EIA_RE_aeo2014!O78*1000</f>
        <v>3.5893548999999997E-2</v>
      </c>
      <c r="N16" s="388">
        <f>EIA_RE_aeo2014!P78*1000</f>
        <v>3.5892991999999992E-2</v>
      </c>
      <c r="O16" s="3">
        <f>EIA_RE_aeo2014!Q78*1000</f>
        <v>3.5892755999999998E-2</v>
      </c>
      <c r="P16" s="3">
        <f>EIA_RE_aeo2014!R78*1000</f>
        <v>3.5904451000000004E-2</v>
      </c>
      <c r="Q16" s="3">
        <f>EIA_RE_aeo2014!S78*1000</f>
        <v>3.5896576999999999E-2</v>
      </c>
      <c r="R16" s="3">
        <f>EIA_RE_aeo2014!T78*1000</f>
        <v>3.5895960999999997E-2</v>
      </c>
      <c r="S16" s="3">
        <f>EIA_RE_aeo2014!U78*1000</f>
        <v>3.5930640999999999E-2</v>
      </c>
      <c r="T16" s="3">
        <f>EIA_RE_aeo2014!V78*1000</f>
        <v>3.5984830000000002E-2</v>
      </c>
      <c r="U16" s="3">
        <f>EIA_RE_aeo2014!W78*1000</f>
        <v>3.6036447999999999E-2</v>
      </c>
      <c r="V16" s="3">
        <f>EIA_RE_aeo2014!X78*1000</f>
        <v>3.6060357999999994E-2</v>
      </c>
      <c r="W16" s="3">
        <f>EIA_RE_aeo2014!Y78*1000</f>
        <v>3.6069782000000002E-2</v>
      </c>
      <c r="X16" s="184">
        <f>EIA_RE_aeo2014!Z78*1000</f>
        <v>3.6112903999999994E-2</v>
      </c>
      <c r="Y16" s="174">
        <f>EIA_RE_aeo2014!AA78*1000</f>
        <v>3.6165243999999999E-2</v>
      </c>
      <c r="Z16" s="174">
        <f>EIA_RE_aeo2014!AB78*1000</f>
        <v>3.6216959999999999E-2</v>
      </c>
      <c r="AA16" s="174">
        <f>EIA_RE_aeo2014!AC78*1000</f>
        <v>3.6271877000000008E-2</v>
      </c>
      <c r="AB16" s="174">
        <f>EIA_RE_aeo2014!AD78*1000</f>
        <v>3.6501784999999995E-2</v>
      </c>
      <c r="AC16" s="174">
        <f>EIA_RE_aeo2014!AE78*1000</f>
        <v>3.6661152000000002E-2</v>
      </c>
      <c r="AD16" s="174">
        <f>EIA_RE_aeo2014!AF78*1000</f>
        <v>3.9680851999999996E-2</v>
      </c>
      <c r="AE16" s="174">
        <f>EIA_RE_aeo2014!AG78*1000</f>
        <v>4.3158693999999997E-2</v>
      </c>
      <c r="AF16" s="174">
        <f>EIA_RE_aeo2014!AH78*1000</f>
        <v>4.4111681999999999E-2</v>
      </c>
      <c r="AG16" s="174">
        <f>EIA_RE_aeo2014!AI78*1000</f>
        <v>4.4450904999999999E-2</v>
      </c>
      <c r="AH16" s="174">
        <f>EIA_RE_aeo2014!AJ78*1000</f>
        <v>4.5045570999999993E-2</v>
      </c>
    </row>
    <row r="17" spans="1:34">
      <c r="A17" s="11" t="s">
        <v>327</v>
      </c>
      <c r="B17" s="36"/>
      <c r="C17" s="330">
        <f t="shared" ref="C17:AH17" si="0">SUM(C7:C16)</f>
        <v>4321.2179999999998</v>
      </c>
      <c r="D17" s="330">
        <f t="shared" si="0"/>
        <v>4437.84</v>
      </c>
      <c r="E17" s="330">
        <f t="shared" si="0"/>
        <v>4433.2514363293494</v>
      </c>
      <c r="F17" s="330">
        <f t="shared" si="0"/>
        <v>4381.3021893509622</v>
      </c>
      <c r="G17" s="330">
        <f t="shared" si="0"/>
        <v>4391.2247857949715</v>
      </c>
      <c r="H17" s="3">
        <f t="shared" si="0"/>
        <v>4618.4949806775849</v>
      </c>
      <c r="I17" s="3">
        <f t="shared" si="0"/>
        <v>4591.9959532812991</v>
      </c>
      <c r="J17" s="3">
        <f t="shared" si="0"/>
        <v>5401.676595070021</v>
      </c>
      <c r="K17" s="3">
        <f t="shared" si="0"/>
        <v>6426.2896390196956</v>
      </c>
      <c r="L17" s="3">
        <f t="shared" si="0"/>
        <v>7098.2789061825961</v>
      </c>
      <c r="M17" s="3">
        <f t="shared" si="0"/>
        <v>7274.4310015667625</v>
      </c>
      <c r="N17" s="388">
        <f t="shared" si="0"/>
        <v>7348.4695142709797</v>
      </c>
      <c r="O17" s="3">
        <f t="shared" si="0"/>
        <v>7751.1809201982605</v>
      </c>
      <c r="P17" s="3">
        <f t="shared" si="0"/>
        <v>8379.5018461760446</v>
      </c>
      <c r="Q17" s="3">
        <f t="shared" si="0"/>
        <v>9115.7689683608805</v>
      </c>
      <c r="R17" s="3">
        <f t="shared" si="0"/>
        <v>9870.5368343010905</v>
      </c>
      <c r="S17" s="3">
        <f t="shared" si="0"/>
        <v>10629.318037727739</v>
      </c>
      <c r="T17" s="3">
        <f t="shared" si="0"/>
        <v>11517.811354469817</v>
      </c>
      <c r="U17" s="3">
        <f t="shared" si="0"/>
        <v>12288.839071374428</v>
      </c>
      <c r="V17" s="3">
        <f t="shared" si="0"/>
        <v>12730.046182336395</v>
      </c>
      <c r="W17" s="3">
        <f t="shared" si="0"/>
        <v>12914.964750390644</v>
      </c>
      <c r="X17" s="184">
        <f t="shared" si="0"/>
        <v>13359.605685678798</v>
      </c>
      <c r="Y17" s="174">
        <f t="shared" si="0"/>
        <v>14327.175444267898</v>
      </c>
      <c r="Z17" s="174">
        <f t="shared" si="0"/>
        <v>15903.563023938385</v>
      </c>
      <c r="AA17" s="174">
        <f t="shared" si="0"/>
        <v>17260.026444238156</v>
      </c>
      <c r="AB17" s="174">
        <f t="shared" si="0"/>
        <v>18614.08079820696</v>
      </c>
      <c r="AC17" s="174">
        <f t="shared" si="0"/>
        <v>19039.022896825485</v>
      </c>
      <c r="AD17" s="174">
        <f t="shared" si="0"/>
        <v>19387.435372545518</v>
      </c>
      <c r="AE17" s="174">
        <f t="shared" si="0"/>
        <v>19673.476427193524</v>
      </c>
      <c r="AF17" s="174">
        <f t="shared" si="0"/>
        <v>20110.458226639363</v>
      </c>
      <c r="AG17" s="174">
        <f t="shared" si="0"/>
        <v>20632.9915832773</v>
      </c>
      <c r="AH17" s="174">
        <f t="shared" si="0"/>
        <v>20778.46469398824</v>
      </c>
    </row>
    <row r="18" spans="1:34">
      <c r="A18" s="10" t="s">
        <v>126</v>
      </c>
      <c r="B18" s="37"/>
      <c r="C18" s="331">
        <f t="shared" ref="C18:AH18" si="1">SUMPRODUCT($B7:$B16,C7:C16)</f>
        <v>1860.2279999999998</v>
      </c>
      <c r="D18" s="331">
        <f t="shared" si="1"/>
        <v>2280.8500000000004</v>
      </c>
      <c r="E18" s="331">
        <f t="shared" si="1"/>
        <v>1907.7832261578419</v>
      </c>
      <c r="F18" s="331">
        <f t="shared" si="1"/>
        <v>2007.4154719676399</v>
      </c>
      <c r="G18" s="331">
        <f t="shared" si="1"/>
        <v>2438.9239453866171</v>
      </c>
      <c r="H18" s="14">
        <f t="shared" si="1"/>
        <v>2624.6689124681116</v>
      </c>
      <c r="I18" s="14">
        <f t="shared" si="1"/>
        <v>2565.3223793824341</v>
      </c>
      <c r="J18" s="14">
        <f t="shared" si="1"/>
        <v>3339.2128331844833</v>
      </c>
      <c r="K18" s="14">
        <f t="shared" si="1"/>
        <v>4338.6617486899977</v>
      </c>
      <c r="L18" s="14">
        <f t="shared" si="1"/>
        <v>5019.6016297490787</v>
      </c>
      <c r="M18" s="14">
        <f t="shared" si="1"/>
        <v>5195.7530401404611</v>
      </c>
      <c r="N18" s="190">
        <f t="shared" si="1"/>
        <v>5269.7922378374624</v>
      </c>
      <c r="O18" s="14">
        <f t="shared" si="1"/>
        <v>5661.7536160962891</v>
      </c>
      <c r="P18" s="14">
        <f t="shared" si="1"/>
        <v>6290.0752270668554</v>
      </c>
      <c r="Q18" s="14">
        <f t="shared" si="1"/>
        <v>7026.342582771962</v>
      </c>
      <c r="R18" s="14">
        <f t="shared" si="1"/>
        <v>7781.1104487121711</v>
      </c>
      <c r="S18" s="14">
        <f t="shared" si="1"/>
        <v>8539.8916521388182</v>
      </c>
      <c r="T18" s="14">
        <f t="shared" si="1"/>
        <v>9428.3852179691821</v>
      </c>
      <c r="U18" s="14">
        <f t="shared" si="1"/>
        <v>10199.412934873795</v>
      </c>
      <c r="V18" s="14">
        <f t="shared" si="1"/>
        <v>10640.62004583576</v>
      </c>
      <c r="W18" s="14">
        <f t="shared" si="1"/>
        <v>10812.917870927644</v>
      </c>
      <c r="X18" s="187">
        <f t="shared" si="1"/>
        <v>11257.558806215797</v>
      </c>
      <c r="Y18" s="14">
        <f t="shared" si="1"/>
        <v>12222.390337285709</v>
      </c>
      <c r="Z18" s="14">
        <f t="shared" si="1"/>
        <v>13798.777901388179</v>
      </c>
      <c r="AA18" s="14">
        <f t="shared" si="1"/>
        <v>15155.241321687954</v>
      </c>
      <c r="AB18" s="14">
        <f t="shared" si="1"/>
        <v>16509.295675656751</v>
      </c>
      <c r="AC18" s="14">
        <f t="shared" si="1"/>
        <v>16930.208708990122</v>
      </c>
      <c r="AD18" s="14">
        <f t="shared" si="1"/>
        <v>17278.620484149353</v>
      </c>
      <c r="AE18" s="14">
        <f t="shared" si="1"/>
        <v>17564.662021405915</v>
      </c>
      <c r="AF18" s="14">
        <f t="shared" si="1"/>
        <v>18001.644536980573</v>
      </c>
      <c r="AG18" s="14">
        <f t="shared" si="1"/>
        <v>18514.445998747789</v>
      </c>
      <c r="AH18" s="14">
        <f t="shared" si="1"/>
        <v>18659.919327410975</v>
      </c>
    </row>
    <row r="19" spans="1:34">
      <c r="A19" s="10" t="s">
        <v>112</v>
      </c>
      <c r="B19" s="37"/>
      <c r="C19" s="332">
        <f t="shared" ref="C19:AH19" si="2">C18/C4</f>
        <v>4.9338991592180997E-2</v>
      </c>
      <c r="D19" s="332">
        <f t="shared" si="2"/>
        <v>6.4907512805919193E-2</v>
      </c>
      <c r="E19" s="332">
        <f t="shared" si="2"/>
        <v>5.7082533458836057E-2</v>
      </c>
      <c r="F19" s="332">
        <f t="shared" si="2"/>
        <v>5.2983478190284566E-2</v>
      </c>
      <c r="G19" s="332">
        <f t="shared" si="2"/>
        <v>5.5991669428919283E-2</v>
      </c>
      <c r="H19" s="23">
        <f t="shared" si="2"/>
        <v>6.0282658337139569E-2</v>
      </c>
      <c r="I19" s="23">
        <f t="shared" si="2"/>
        <v>7.7151066804791502E-2</v>
      </c>
      <c r="J19" s="23">
        <f t="shared" si="2"/>
        <v>9.3545971996165517E-2</v>
      </c>
      <c r="K19" s="23">
        <f t="shared" si="2"/>
        <v>0.11787589250487222</v>
      </c>
      <c r="L19" s="23">
        <f t="shared" si="2"/>
        <v>0.12622555688304166</v>
      </c>
      <c r="M19" s="23">
        <f t="shared" si="2"/>
        <v>0.12708600751568658</v>
      </c>
      <c r="N19" s="183">
        <f t="shared" si="2"/>
        <v>0.12547653130079298</v>
      </c>
      <c r="O19" s="23">
        <f t="shared" si="2"/>
        <v>0.12299610502110642</v>
      </c>
      <c r="P19" s="23">
        <f t="shared" si="2"/>
        <v>0.1253983794618897</v>
      </c>
      <c r="Q19" s="23">
        <f t="shared" si="2"/>
        <v>0.13184359799335543</v>
      </c>
      <c r="R19" s="23">
        <f t="shared" si="2"/>
        <v>0.14145398107417109</v>
      </c>
      <c r="S19" s="23">
        <f t="shared" si="2"/>
        <v>0.14828893876974461</v>
      </c>
      <c r="T19" s="23">
        <f t="shared" si="2"/>
        <v>0.15452639243910207</v>
      </c>
      <c r="U19" s="23">
        <f t="shared" si="2"/>
        <v>0.16119447057708258</v>
      </c>
      <c r="V19" s="23">
        <f t="shared" si="2"/>
        <v>0.16433366739587263</v>
      </c>
      <c r="W19" s="23">
        <f t="shared" si="2"/>
        <v>0.16090810306558434</v>
      </c>
      <c r="X19" s="185">
        <f t="shared" si="2"/>
        <v>0.16162763494583263</v>
      </c>
      <c r="Y19" s="172">
        <f t="shared" si="2"/>
        <v>0.17316014568301341</v>
      </c>
      <c r="Z19" s="172">
        <f t="shared" si="2"/>
        <v>0.18635824395487485</v>
      </c>
      <c r="AA19" s="172">
        <f t="shared" si="2"/>
        <v>0.19866562776299737</v>
      </c>
      <c r="AB19" s="172">
        <f t="shared" si="2"/>
        <v>0.21118459529624731</v>
      </c>
      <c r="AC19" s="172">
        <f t="shared" si="2"/>
        <v>0.21325259279809117</v>
      </c>
      <c r="AD19" s="172">
        <f t="shared" si="2"/>
        <v>0.21731998061186211</v>
      </c>
      <c r="AE19" s="172">
        <f t="shared" si="2"/>
        <v>0.21966296335318367</v>
      </c>
      <c r="AF19" s="172">
        <f t="shared" si="2"/>
        <v>0.22161725841501859</v>
      </c>
      <c r="AG19" s="172">
        <f t="shared" si="2"/>
        <v>0.22123078492127254</v>
      </c>
      <c r="AH19" s="172">
        <f t="shared" si="2"/>
        <v>0.21808199959015917</v>
      </c>
    </row>
    <row r="20" spans="1:34">
      <c r="A20" s="10" t="s">
        <v>142</v>
      </c>
      <c r="B20" s="37"/>
      <c r="C20" s="331">
        <f>EIA_electricity_aeo2014!E49*1000</f>
        <v>7540</v>
      </c>
      <c r="D20" s="331">
        <f>EIA_electricity_aeo2014!F49*1000</f>
        <v>6997</v>
      </c>
      <c r="E20" s="331">
        <f>EIA_electricity_aeo2014!G49*1000</f>
        <v>7243.5591599999998</v>
      </c>
      <c r="F20" s="331">
        <f>EIA_electricity_aeo2014!H49*1000</f>
        <v>7263.6950399999996</v>
      </c>
      <c r="G20" s="331">
        <f>EIA_electricity_aeo2014!I49*1000</f>
        <v>6728.5363799999996</v>
      </c>
      <c r="H20" s="14">
        <f>EIA_electricity_aeo2014!J49*1000</f>
        <v>6987.3137999999999</v>
      </c>
      <c r="I20" s="14">
        <f>EIA_electricity_aeo2014!K49*1000</f>
        <v>7568.0679</v>
      </c>
      <c r="J20" s="14">
        <f>EIA_electricity_aeo2014!L49*1000</f>
        <v>7524.2083799999991</v>
      </c>
      <c r="K20" s="14">
        <f>EIA_electricity_aeo2014!M49*1000</f>
        <v>7749.5208000000002</v>
      </c>
      <c r="L20" s="14">
        <f>EIA_electricity_aeo2014!N49*1000</f>
        <v>7799.222279999999</v>
      </c>
      <c r="M20" s="14">
        <f>EIA_electricity_aeo2014!O49*1000</f>
        <v>7784.1618599999993</v>
      </c>
      <c r="N20" s="190">
        <f>EIA_electricity_aeo2014!P49*1000</f>
        <v>7789.6021200000005</v>
      </c>
      <c r="O20" s="14">
        <f>EIA_electricity_aeo2014!Q49*1000</f>
        <v>7560.0661200000004</v>
      </c>
      <c r="P20" s="14">
        <f>EIA_electricity_aeo2014!R49*1000</f>
        <v>7462.4542200000005</v>
      </c>
      <c r="Q20" s="14">
        <f>EIA_electricity_aeo2014!S49*1000</f>
        <v>7465.2350999999999</v>
      </c>
      <c r="R20" s="14">
        <f>EIA_electricity_aeo2014!T49*1000</f>
        <v>7464.6887999999999</v>
      </c>
      <c r="S20" s="14">
        <f>EIA_electricity_aeo2014!U49*1000</f>
        <v>7467.6372600000004</v>
      </c>
      <c r="T20" s="14">
        <f>EIA_electricity_aeo2014!V49*1000</f>
        <v>7442.8417799999997</v>
      </c>
      <c r="U20" s="14">
        <f>EIA_electricity_aeo2014!W49*1000</f>
        <v>7431.5251800000005</v>
      </c>
      <c r="V20" s="14">
        <f>EIA_electricity_aeo2014!X49*1000</f>
        <v>7420.6541999999999</v>
      </c>
      <c r="W20" s="14">
        <f>EIA_electricity_aeo2014!Y49*1000</f>
        <v>7413.3119400000005</v>
      </c>
      <c r="X20" s="187">
        <f>EIA_electricity_aeo2014!Z49*1000</f>
        <v>7404.6705000000002</v>
      </c>
      <c r="Y20" s="14">
        <f>EIA_electricity_aeo2014!AA49*1000</f>
        <v>7395.55386</v>
      </c>
      <c r="Z20" s="14">
        <f>EIA_electricity_aeo2014!AB49*1000</f>
        <v>7368.2519399999992</v>
      </c>
      <c r="AA20" s="14">
        <f>EIA_electricity_aeo2014!AC49*1000</f>
        <v>7359.3574199999994</v>
      </c>
      <c r="AB20" s="14">
        <f>EIA_electricity_aeo2014!AD49*1000</f>
        <v>7351.0338599999995</v>
      </c>
      <c r="AC20" s="14">
        <f>EIA_electricity_aeo2014!AE49*1000</f>
        <v>7344.6687000000002</v>
      </c>
      <c r="AD20" s="14">
        <f>EIA_electricity_aeo2014!AF49*1000</f>
        <v>7340.3114399999986</v>
      </c>
      <c r="AE20" s="14">
        <f>EIA_electricity_aeo2014!AG49*1000</f>
        <v>7330.5766199999998</v>
      </c>
      <c r="AF20" s="14">
        <f>EIA_electricity_aeo2014!AH49*1000</f>
        <v>7321.9658400000008</v>
      </c>
      <c r="AG20" s="14">
        <f>EIA_electricity_aeo2014!AI49*1000</f>
        <v>7314.3335399999996</v>
      </c>
      <c r="AH20" s="14">
        <f>EIA_electricity_aeo2014!AJ49*1000</f>
        <v>7305.6776999999993</v>
      </c>
    </row>
    <row r="21" spans="1:34">
      <c r="A21" s="10" t="s">
        <v>222</v>
      </c>
      <c r="B21" s="37"/>
      <c r="C21" s="331">
        <f>EIA_electricity_aeo2014!E51*1000</f>
        <v>25878</v>
      </c>
      <c r="D21" s="331">
        <f>EIA_electricity_aeo2014!F51*1000</f>
        <v>23688</v>
      </c>
      <c r="E21" s="331">
        <f>EIA_electricity_aeo2014!G51*1000</f>
        <v>21526.146850000001</v>
      </c>
      <c r="F21" s="331">
        <f>EIA_electricity_aeo2014!H51*1000</f>
        <v>25782.441750000002</v>
      </c>
      <c r="G21" s="331">
        <f>EIA_electricity_aeo2014!I51*1000</f>
        <v>31899.7003</v>
      </c>
      <c r="H21" s="14">
        <f>EIA_electricity_aeo2014!J51*1000</f>
        <v>31259.878650000006</v>
      </c>
      <c r="I21" s="14">
        <f>EIA_electricity_aeo2014!K51*1000</f>
        <v>20214.562549999999</v>
      </c>
      <c r="J21" s="14">
        <f>EIA_electricity_aeo2014!L51*1000</f>
        <v>21853.756600000001</v>
      </c>
      <c r="K21" s="14">
        <f>EIA_electricity_aeo2014!M51*1000</f>
        <v>21713.989050000004</v>
      </c>
      <c r="L21" s="14">
        <f>EIA_electricity_aeo2014!N51*1000</f>
        <v>23971.670449999998</v>
      </c>
      <c r="M21" s="14">
        <f>EIA_electricity_aeo2014!O51*1000</f>
        <v>24921.098800000003</v>
      </c>
      <c r="N21" s="190">
        <f>EIA_electricity_aeo2014!P51*1000</f>
        <v>25995.139949999997</v>
      </c>
      <c r="O21" s="14">
        <f>EIA_electricity_aeo2014!Q51*1000</f>
        <v>29882.509149999998</v>
      </c>
      <c r="P21" s="14">
        <f>EIA_electricity_aeo2014!R51*1000</f>
        <v>33503.418000000005</v>
      </c>
      <c r="Q21" s="14">
        <f>EIA_electricity_aeo2014!S51*1000</f>
        <v>35902.569300000003</v>
      </c>
      <c r="R21" s="14">
        <f>EIA_electricity_aeo2014!T51*1000</f>
        <v>36847.959200000005</v>
      </c>
      <c r="S21" s="14">
        <f>EIA_electricity_aeo2014!U51*1000</f>
        <v>38741.534650000009</v>
      </c>
      <c r="T21" s="14">
        <f>EIA_electricity_aeo2014!V51*1000</f>
        <v>41338.662949999998</v>
      </c>
      <c r="U21" s="14">
        <f>EIA_electricity_aeo2014!W51*1000</f>
        <v>42851.306550000001</v>
      </c>
      <c r="V21" s="14">
        <f>EIA_electricity_aeo2014!X51*1000</f>
        <v>43911.224500000004</v>
      </c>
      <c r="W21" s="14">
        <f>EIA_electricity_aeo2014!Y51*1000</f>
        <v>46214.582049999997</v>
      </c>
      <c r="X21" s="187">
        <f>EIA_electricity_aeo2014!Z51*1000</f>
        <v>48256.157299999999</v>
      </c>
      <c r="Y21" s="14">
        <f>EIA_electricity_aeo2014!AA51*1000</f>
        <v>48227.509849999995</v>
      </c>
      <c r="Z21" s="14">
        <f>EIA_electricity_aeo2014!AB51*1000</f>
        <v>50183.924700000003</v>
      </c>
      <c r="AA21" s="14">
        <f>EIA_electricity_aeo2014!AC51*1000</f>
        <v>51100.093200000003</v>
      </c>
      <c r="AB21" s="14">
        <f>EIA_electricity_aeo2014!AD51*1000</f>
        <v>51567.264450000002</v>
      </c>
      <c r="AC21" s="14">
        <f>EIA_electricity_aeo2014!AE51*1000</f>
        <v>52178.464650000002</v>
      </c>
      <c r="AD21" s="14">
        <f>EIA_electricity_aeo2014!AF51*1000</f>
        <v>51844.253499999999</v>
      </c>
      <c r="AE21" s="14">
        <f>EIA_electricity_aeo2014!AG51*1000</f>
        <v>52000.713049999998</v>
      </c>
      <c r="AF21" s="14">
        <f>EIA_electricity_aeo2014!AH51*1000</f>
        <v>52836.31210000001</v>
      </c>
      <c r="AG21" s="14">
        <f>EIA_electricity_aeo2014!AI51*1000</f>
        <v>54809.4352</v>
      </c>
      <c r="AH21" s="14">
        <f>EIA_electricity_aeo2014!AJ51*1000</f>
        <v>56563.367250000003</v>
      </c>
    </row>
    <row r="22" spans="1:34">
      <c r="A22" s="10" t="s">
        <v>350</v>
      </c>
      <c r="B22" s="37"/>
      <c r="C22" s="330">
        <f>SUM(C17,C20:C21)</f>
        <v>37739.218000000001</v>
      </c>
      <c r="D22" s="330">
        <f t="shared" ref="D22:AH22" si="3">SUM(D17,D20:D21)</f>
        <v>35122.839999999997</v>
      </c>
      <c r="E22" s="330">
        <f t="shared" si="3"/>
        <v>33202.957446329354</v>
      </c>
      <c r="F22" s="330">
        <f t="shared" si="3"/>
        <v>37427.438979350962</v>
      </c>
      <c r="G22" s="330">
        <f t="shared" si="3"/>
        <v>43019.461465794971</v>
      </c>
      <c r="H22" s="79">
        <f t="shared" si="3"/>
        <v>42865.687430677586</v>
      </c>
      <c r="I22" s="79">
        <f t="shared" si="3"/>
        <v>32374.626403281298</v>
      </c>
      <c r="J22" s="79">
        <f t="shared" si="3"/>
        <v>34779.641575070025</v>
      </c>
      <c r="K22" s="79">
        <f t="shared" si="3"/>
        <v>35889.799489019701</v>
      </c>
      <c r="L22" s="79">
        <f t="shared" si="3"/>
        <v>38869.171636182597</v>
      </c>
      <c r="M22" s="79">
        <f t="shared" si="3"/>
        <v>39979.691661566765</v>
      </c>
      <c r="N22" s="388">
        <f t="shared" si="3"/>
        <v>41133.211584270975</v>
      </c>
      <c r="O22" s="79">
        <f t="shared" si="3"/>
        <v>45193.756190198255</v>
      </c>
      <c r="P22" s="79">
        <f t="shared" si="3"/>
        <v>49345.374066176053</v>
      </c>
      <c r="Q22" s="79">
        <f t="shared" si="3"/>
        <v>52483.573368360885</v>
      </c>
      <c r="R22" s="79">
        <f t="shared" si="3"/>
        <v>54183.184834301093</v>
      </c>
      <c r="S22" s="79">
        <f t="shared" si="3"/>
        <v>56838.48994772775</v>
      </c>
      <c r="T22" s="79">
        <f t="shared" si="3"/>
        <v>60299.316084469814</v>
      </c>
      <c r="U22" s="79">
        <f t="shared" si="3"/>
        <v>62571.670801374428</v>
      </c>
      <c r="V22" s="79">
        <f t="shared" si="3"/>
        <v>64061.924882336403</v>
      </c>
      <c r="W22" s="79">
        <f t="shared" si="3"/>
        <v>66542.858740390642</v>
      </c>
      <c r="X22" s="184">
        <f t="shared" si="3"/>
        <v>69020.433485678805</v>
      </c>
      <c r="Y22" s="174">
        <f t="shared" si="3"/>
        <v>69950.239154267896</v>
      </c>
      <c r="Z22" s="174">
        <f t="shared" si="3"/>
        <v>73455.739663938381</v>
      </c>
      <c r="AA22" s="174">
        <f t="shared" si="3"/>
        <v>75719.477064238163</v>
      </c>
      <c r="AB22" s="174">
        <f t="shared" si="3"/>
        <v>77532.379108206966</v>
      </c>
      <c r="AC22" s="174">
        <f t="shared" si="3"/>
        <v>78562.156246825485</v>
      </c>
      <c r="AD22" s="174">
        <f t="shared" si="3"/>
        <v>78572.000312545511</v>
      </c>
      <c r="AE22" s="174">
        <f t="shared" si="3"/>
        <v>79004.766097193526</v>
      </c>
      <c r="AF22" s="174">
        <f t="shared" si="3"/>
        <v>80268.73616663937</v>
      </c>
      <c r="AG22" s="174">
        <f t="shared" si="3"/>
        <v>82756.760323277296</v>
      </c>
      <c r="AH22" s="174">
        <f t="shared" si="3"/>
        <v>84647.509643988247</v>
      </c>
    </row>
    <row r="23" spans="1:34">
      <c r="A23" s="10" t="s">
        <v>328</v>
      </c>
      <c r="B23" s="37"/>
      <c r="C23" s="330">
        <f>EIA_electricity_aeo2014!E50*1000+EIA_electricity_aeo2014!E55*1000</f>
        <v>16</v>
      </c>
      <c r="D23" s="330">
        <f>EIA_electricity_aeo2014!F50*1000+EIA_electricity_aeo2014!F55*1000</f>
        <v>11</v>
      </c>
      <c r="E23" s="330">
        <f>EIA_electricity_aeo2014!G50*1000+EIA_electricity_aeo2014!G55*1000</f>
        <v>13.815117484114632</v>
      </c>
      <c r="F23" s="330">
        <f>EIA_electricity_aeo2014!H50*1000+EIA_electricity_aeo2014!H55*1000</f>
        <v>13.270493136935078</v>
      </c>
      <c r="G23" s="330">
        <f>EIA_electricity_aeo2014!I50*1000+EIA_electricity_aeo2014!I55*1000</f>
        <v>20.00885186847103</v>
      </c>
      <c r="H23" s="330">
        <f>EIA_electricity_aeo2014!J50*1000+EIA_electricity_aeo2014!J55*1000</f>
        <v>20.390257911375798</v>
      </c>
      <c r="I23" s="330">
        <f>EIA_electricity_aeo2014!K50*1000+EIA_electricity_aeo2014!K55*1000</f>
        <v>21.183912475118472</v>
      </c>
      <c r="J23" s="330">
        <f>EIA_electricity_aeo2014!L50*1000+EIA_electricity_aeo2014!L55*1000</f>
        <v>21.18969404992929</v>
      </c>
      <c r="K23" s="330">
        <f>EIA_electricity_aeo2014!M50*1000+EIA_electricity_aeo2014!M55*1000</f>
        <v>21.517375920745799</v>
      </c>
      <c r="L23" s="330">
        <f>EIA_electricity_aeo2014!N50*1000+EIA_electricity_aeo2014!N55*1000</f>
        <v>21.654243585978946</v>
      </c>
      <c r="M23" s="330">
        <f>EIA_electricity_aeo2014!O50*1000+EIA_electricity_aeo2014!O55*1000</f>
        <v>21.622911897869525</v>
      </c>
      <c r="N23" s="330">
        <f>EIA_electricity_aeo2014!P50*1000+EIA_electricity_aeo2014!P55*1000</f>
        <v>21.639100307339824</v>
      </c>
      <c r="O23" s="330">
        <f>EIA_electricity_aeo2014!Q50*1000+EIA_electricity_aeo2014!Q55*1000</f>
        <v>21.307504755112916</v>
      </c>
      <c r="P23" s="330">
        <f>EIA_electricity_aeo2014!R50*1000+EIA_electricity_aeo2014!R55*1000</f>
        <v>21.162142622273102</v>
      </c>
      <c r="Q23" s="330">
        <f>EIA_electricity_aeo2014!S50*1000+EIA_electricity_aeo2014!S55*1000</f>
        <v>21.166412092902632</v>
      </c>
      <c r="R23" s="330">
        <f>EIA_electricity_aeo2014!T50*1000+EIA_electricity_aeo2014!T55*1000</f>
        <v>21.171771168015741</v>
      </c>
      <c r="S23" s="330">
        <f>EIA_electricity_aeo2014!U50*1000+EIA_electricity_aeo2014!U55*1000</f>
        <v>21.184646290382922</v>
      </c>
      <c r="T23" s="330">
        <f>EIA_electricity_aeo2014!V50*1000+EIA_electricity_aeo2014!V55*1000</f>
        <v>21.161853543532562</v>
      </c>
      <c r="U23" s="330">
        <f>EIA_electricity_aeo2014!W50*1000+EIA_electricity_aeo2014!W55*1000</f>
        <v>21.134902510183647</v>
      </c>
      <c r="V23" s="330">
        <f>EIA_electricity_aeo2014!X50*1000+EIA_electricity_aeo2014!X55*1000</f>
        <v>21.11826936418943</v>
      </c>
      <c r="W23" s="330">
        <f>EIA_electricity_aeo2014!Y50*1000+EIA_electricity_aeo2014!Y55*1000</f>
        <v>21.107284372048866</v>
      </c>
      <c r="X23" s="330">
        <f>EIA_electricity_aeo2014!Z50*1000+EIA_electricity_aeo2014!Z55*1000</f>
        <v>21.094431486507883</v>
      </c>
      <c r="Y23" s="330">
        <f>EIA_electricity_aeo2014!AA50*1000+EIA_electricity_aeo2014!AA55*1000</f>
        <v>21.080488996483318</v>
      </c>
      <c r="Z23" s="330">
        <f>EIA_electricity_aeo2014!AB50*1000+EIA_electricity_aeo2014!AB55*1000</f>
        <v>21.067369269027989</v>
      </c>
      <c r="AA23" s="330">
        <f>EIA_electricity_aeo2014!AC50*1000+EIA_electricity_aeo2014!AC55*1000</f>
        <v>21.054449673008421</v>
      </c>
      <c r="AB23" s="330">
        <f>EIA_electricity_aeo2014!AD50*1000+EIA_electricity_aeo2014!AD55*1000</f>
        <v>21.042130471296126</v>
      </c>
      <c r="AC23" s="330">
        <f>EIA_electricity_aeo2014!AE50*1000+EIA_electricity_aeo2014!AE55*1000</f>
        <v>21.032924425251199</v>
      </c>
      <c r="AD23" s="330">
        <f>EIA_electricity_aeo2014!AF50*1000+EIA_electricity_aeo2014!AF55*1000</f>
        <v>21.026942719004619</v>
      </c>
      <c r="AE23" s="330">
        <f>EIA_electricity_aeo2014!AG50*1000+EIA_electricity_aeo2014!AG55*1000</f>
        <v>21.010198388879431</v>
      </c>
      <c r="AF23" s="330">
        <f>EIA_electricity_aeo2014!AH50*1000+EIA_electricity_aeo2014!AH55*1000</f>
        <v>20.998346160517237</v>
      </c>
      <c r="AG23" s="330">
        <f>EIA_electricity_aeo2014!AI50*1000+EIA_electricity_aeo2014!AI55*1000</f>
        <v>20.988873272557967</v>
      </c>
      <c r="AH23" s="330">
        <f>EIA_electricity_aeo2014!AJ50*1000+EIA_electricity_aeo2014!AJ55*1000</f>
        <v>20.97613157114796</v>
      </c>
    </row>
    <row r="24" spans="1:34">
      <c r="A24" s="10" t="s">
        <v>345</v>
      </c>
      <c r="B24" s="37"/>
      <c r="C24" s="330">
        <f>SUM(C22:C23)</f>
        <v>37755.218000000001</v>
      </c>
      <c r="D24" s="330">
        <f t="shared" ref="D24:AH24" si="4">SUM(D22:D23)</f>
        <v>35133.839999999997</v>
      </c>
      <c r="E24" s="330">
        <f t="shared" si="4"/>
        <v>33216.772563813465</v>
      </c>
      <c r="F24" s="330">
        <f t="shared" si="4"/>
        <v>37440.709472487899</v>
      </c>
      <c r="G24" s="330">
        <f t="shared" si="4"/>
        <v>43039.470317663443</v>
      </c>
      <c r="H24" s="83">
        <f t="shared" si="4"/>
        <v>42886.077688588965</v>
      </c>
      <c r="I24" s="83">
        <f t="shared" si="4"/>
        <v>32395.810315756415</v>
      </c>
      <c r="J24" s="83">
        <f t="shared" si="4"/>
        <v>34800.831269119954</v>
      </c>
      <c r="K24" s="83">
        <f t="shared" si="4"/>
        <v>35911.316864940447</v>
      </c>
      <c r="L24" s="83">
        <f t="shared" si="4"/>
        <v>38890.825879768578</v>
      </c>
      <c r="M24" s="83">
        <f t="shared" si="4"/>
        <v>40001.314573464631</v>
      </c>
      <c r="N24" s="388">
        <f t="shared" si="4"/>
        <v>41154.850684578312</v>
      </c>
      <c r="O24" s="83">
        <f t="shared" si="4"/>
        <v>45215.063694953365</v>
      </c>
      <c r="P24" s="83">
        <f t="shared" si="4"/>
        <v>49366.536208798323</v>
      </c>
      <c r="Q24" s="83">
        <f t="shared" si="4"/>
        <v>52504.73978045379</v>
      </c>
      <c r="R24" s="83">
        <f t="shared" si="4"/>
        <v>54204.356605469111</v>
      </c>
      <c r="S24" s="83">
        <f t="shared" si="4"/>
        <v>56859.674594018135</v>
      </c>
      <c r="T24" s="83">
        <f t="shared" si="4"/>
        <v>60320.477938013348</v>
      </c>
      <c r="U24" s="83">
        <f t="shared" si="4"/>
        <v>62592.805703884609</v>
      </c>
      <c r="V24" s="83">
        <f t="shared" si="4"/>
        <v>64083.043151700593</v>
      </c>
      <c r="W24" s="83">
        <f t="shared" si="4"/>
        <v>66563.966024762689</v>
      </c>
      <c r="X24" s="184">
        <f t="shared" si="4"/>
        <v>69041.527917165309</v>
      </c>
      <c r="Y24" s="174">
        <f t="shared" si="4"/>
        <v>69971.319643264374</v>
      </c>
      <c r="Z24" s="174">
        <f t="shared" si="4"/>
        <v>73476.807033207413</v>
      </c>
      <c r="AA24" s="174">
        <f t="shared" si="4"/>
        <v>75740.531513911177</v>
      </c>
      <c r="AB24" s="174">
        <f t="shared" si="4"/>
        <v>77553.42123867826</v>
      </c>
      <c r="AC24" s="174">
        <f t="shared" si="4"/>
        <v>78583.189171250735</v>
      </c>
      <c r="AD24" s="174">
        <f t="shared" si="4"/>
        <v>78593.027255264518</v>
      </c>
      <c r="AE24" s="174">
        <f t="shared" si="4"/>
        <v>79025.7762955824</v>
      </c>
      <c r="AF24" s="174">
        <f t="shared" si="4"/>
        <v>80289.734512799885</v>
      </c>
      <c r="AG24" s="174">
        <f t="shared" si="4"/>
        <v>82777.749196549848</v>
      </c>
      <c r="AH24" s="174">
        <f t="shared" si="4"/>
        <v>84668.485775559398</v>
      </c>
    </row>
    <row r="25" spans="1:34">
      <c r="A25" s="10" t="s">
        <v>346</v>
      </c>
      <c r="B25" s="37"/>
      <c r="C25" s="332">
        <f t="shared" ref="C25:AH25" si="5">C24/C4-1</f>
        <v>1.3849826273772958E-3</v>
      </c>
      <c r="D25" s="332">
        <f t="shared" si="5"/>
        <v>-1.752988047809545E-4</v>
      </c>
      <c r="E25" s="332">
        <f t="shared" si="5"/>
        <v>-6.1252739457965388E-3</v>
      </c>
      <c r="F25" s="332">
        <f t="shared" si="5"/>
        <v>-1.1794498216200933E-2</v>
      </c>
      <c r="G25" s="332">
        <f t="shared" si="5"/>
        <v>-1.1920072792435343E-2</v>
      </c>
      <c r="H25" s="82">
        <f t="shared" si="5"/>
        <v>-1.5004613938085498E-2</v>
      </c>
      <c r="I25" s="82">
        <f t="shared" si="5"/>
        <v>-2.5708680533178874E-2</v>
      </c>
      <c r="J25" s="82">
        <f t="shared" si="5"/>
        <v>-2.5076342845823163E-2</v>
      </c>
      <c r="K25" s="82">
        <f t="shared" si="5"/>
        <v>-2.4335435285258722E-2</v>
      </c>
      <c r="L25" s="82">
        <f t="shared" si="5"/>
        <v>-2.203072745424417E-2</v>
      </c>
      <c r="M25" s="82">
        <f t="shared" si="5"/>
        <v>-2.1584104316235919E-2</v>
      </c>
      <c r="N25" s="199">
        <f t="shared" si="5"/>
        <v>-2.0081309273387471E-2</v>
      </c>
      <c r="O25" s="82">
        <f t="shared" si="5"/>
        <v>-1.7746602934139433E-2</v>
      </c>
      <c r="P25" s="82">
        <f t="shared" si="5"/>
        <v>-1.5833131280893475E-2</v>
      </c>
      <c r="Q25" s="82">
        <f t="shared" si="5"/>
        <v>-1.4791305318203607E-2</v>
      </c>
      <c r="R25" s="82">
        <f t="shared" si="5"/>
        <v>-1.4610821431449872E-2</v>
      </c>
      <c r="S25" s="82">
        <f t="shared" si="5"/>
        <v>-1.2673562172390462E-2</v>
      </c>
      <c r="T25" s="82">
        <f t="shared" si="5"/>
        <v>-1.1378339930476544E-2</v>
      </c>
      <c r="U25" s="82">
        <f t="shared" si="5"/>
        <v>-1.0765203664467538E-2</v>
      </c>
      <c r="V25" s="82">
        <f t="shared" si="5"/>
        <v>-1.0301894659958344E-2</v>
      </c>
      <c r="W25" s="82">
        <f t="shared" si="5"/>
        <v>-9.4550209833696996E-3</v>
      </c>
      <c r="X25" s="185">
        <f t="shared" si="5"/>
        <v>-8.7532241770996722E-3</v>
      </c>
      <c r="Y25" s="172">
        <f t="shared" si="5"/>
        <v>-8.6845887994216886E-3</v>
      </c>
      <c r="Z25" s="172">
        <f t="shared" si="5"/>
        <v>-7.6651115065636821E-3</v>
      </c>
      <c r="AA25" s="172">
        <f t="shared" si="5"/>
        <v>-7.1395155693668721E-3</v>
      </c>
      <c r="AB25" s="172">
        <f t="shared" si="5"/>
        <v>-7.9475103060006047E-3</v>
      </c>
      <c r="AC25" s="172">
        <f t="shared" si="5"/>
        <v>-1.0167616409041291E-2</v>
      </c>
      <c r="AD25" s="172">
        <f t="shared" si="5"/>
        <v>-1.1504698826510618E-2</v>
      </c>
      <c r="AE25" s="172">
        <f t="shared" si="5"/>
        <v>-1.1706790531005651E-2</v>
      </c>
      <c r="AF25" s="172">
        <f t="shared" si="5"/>
        <v>-1.1557482704247612E-2</v>
      </c>
      <c r="AG25" s="172">
        <f t="shared" si="5"/>
        <v>-1.0881209731711916E-2</v>
      </c>
      <c r="AH25" s="172">
        <f t="shared" si="5"/>
        <v>-1.0463423972000729E-2</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5.3756851310699557E-4</v>
      </c>
      <c r="D28" s="332">
        <f t="shared" si="6"/>
        <v>0</v>
      </c>
      <c r="E28" s="332">
        <f t="shared" si="6"/>
        <v>1.0696471631607246E-4</v>
      </c>
      <c r="F28" s="332">
        <f t="shared" si="6"/>
        <v>9.8406384617097495E-5</v>
      </c>
      <c r="G28" s="332">
        <f t="shared" si="6"/>
        <v>7.9605203910423507E-5</v>
      </c>
      <c r="H28" s="164">
        <f t="shared" si="6"/>
        <v>7.9049248156806676E-5</v>
      </c>
      <c r="I28" s="164">
        <f t="shared" si="6"/>
        <v>8.0176257442639322E-5</v>
      </c>
      <c r="J28" s="164">
        <f t="shared" si="6"/>
        <v>6.6723344110026868E-5</v>
      </c>
      <c r="K28" s="164">
        <f t="shared" si="6"/>
        <v>5.6209794195933055E-5</v>
      </c>
      <c r="L28" s="164">
        <f t="shared" ref="L28:L34" si="7">L10/L$18</f>
        <v>5.9365232120572748E-5</v>
      </c>
      <c r="M28" s="164">
        <f t="shared" ref="M28:AH28" si="8">M10/M$18</f>
        <v>6.3989364243220573E-5</v>
      </c>
      <c r="N28" s="185">
        <f t="shared" si="8"/>
        <v>6.4206760238493511E-5</v>
      </c>
      <c r="O28" s="164">
        <f t="shared" si="8"/>
        <v>6.2700591321781775E-5</v>
      </c>
      <c r="P28" s="164">
        <f t="shared" si="8"/>
        <v>5.7760750734741363E-5</v>
      </c>
      <c r="Q28" s="164">
        <f t="shared" si="8"/>
        <v>5.2558541809908957E-5</v>
      </c>
      <c r="R28" s="164">
        <f t="shared" si="8"/>
        <v>4.9048367366440791E-5</v>
      </c>
      <c r="S28" s="164">
        <f t="shared" si="8"/>
        <v>4.5243310888634721E-5</v>
      </c>
      <c r="T28" s="164">
        <f t="shared" si="8"/>
        <v>4.3329550444301425E-5</v>
      </c>
      <c r="U28" s="164">
        <f t="shared" si="8"/>
        <v>4.0876126671790468E-5</v>
      </c>
      <c r="V28" s="164">
        <f t="shared" si="8"/>
        <v>3.9503409927945739E-5</v>
      </c>
      <c r="W28" s="164">
        <f t="shared" si="8"/>
        <v>3.9535663943303799E-5</v>
      </c>
      <c r="X28" s="185">
        <f t="shared" si="8"/>
        <v>3.8511764429890906E-5</v>
      </c>
      <c r="Y28" s="172">
        <f t="shared" si="8"/>
        <v>3.6088103121474715E-5</v>
      </c>
      <c r="Z28" s="172">
        <f t="shared" si="8"/>
        <v>3.3835957946308775E-5</v>
      </c>
      <c r="AA28" s="172">
        <f t="shared" si="8"/>
        <v>3.1367005623121434E-5</v>
      </c>
      <c r="AB28" s="172">
        <f t="shared" si="8"/>
        <v>2.9448376485262663E-5</v>
      </c>
      <c r="AC28" s="172">
        <f t="shared" si="8"/>
        <v>2.9399111781262643E-5</v>
      </c>
      <c r="AD28" s="172">
        <f t="shared" si="8"/>
        <v>2.9419696266578634E-5</v>
      </c>
      <c r="AE28" s="172">
        <f t="shared" si="8"/>
        <v>3.0179939142559018E-5</v>
      </c>
      <c r="AF28" s="172">
        <f t="shared" si="8"/>
        <v>3.0074781976330948E-5</v>
      </c>
      <c r="AG28" s="172">
        <f t="shared" si="8"/>
        <v>3.0012486009336254E-5</v>
      </c>
      <c r="AH28" s="172">
        <f t="shared" si="8"/>
        <v>3.0584158162603942E-5</v>
      </c>
    </row>
    <row r="29" spans="1:34">
      <c r="A29" s="9" t="s">
        <v>50</v>
      </c>
      <c r="B29" s="37"/>
      <c r="C29" s="332">
        <f t="shared" ref="C29:K29" si="9">C11/C$18</f>
        <v>0.87784938190372375</v>
      </c>
      <c r="D29" s="332">
        <f t="shared" si="9"/>
        <v>0.90755639344981021</v>
      </c>
      <c r="E29" s="332">
        <f t="shared" si="9"/>
        <v>0.86847273735260055</v>
      </c>
      <c r="F29" s="332">
        <f t="shared" si="9"/>
        <v>0.85831577198661413</v>
      </c>
      <c r="G29" s="332">
        <f t="shared" si="9"/>
        <v>0.83915307634025438</v>
      </c>
      <c r="H29" s="164">
        <f t="shared" si="9"/>
        <v>0.85059754029333245</v>
      </c>
      <c r="I29" s="164">
        <f t="shared" si="9"/>
        <v>0.87027538486886169</v>
      </c>
      <c r="J29" s="164">
        <f t="shared" si="9"/>
        <v>0.87163201747224339</v>
      </c>
      <c r="K29" s="164">
        <f t="shared" si="9"/>
        <v>0.89812460493765778</v>
      </c>
      <c r="L29" s="164">
        <f t="shared" si="7"/>
        <v>0.90485822987177777</v>
      </c>
      <c r="M29" s="164">
        <f t="shared" ref="M29:AH29" si="10">M11/M$18</f>
        <v>0.90549738103637822</v>
      </c>
      <c r="N29" s="185">
        <f t="shared" si="10"/>
        <v>0.89472248126247145</v>
      </c>
      <c r="O29" s="164">
        <f t="shared" si="10"/>
        <v>0.89260362489080125</v>
      </c>
      <c r="P29" s="164">
        <f t="shared" si="10"/>
        <v>0.89466599321406937</v>
      </c>
      <c r="Q29" s="164">
        <f t="shared" si="10"/>
        <v>0.89981818775560607</v>
      </c>
      <c r="R29" s="164">
        <f t="shared" si="10"/>
        <v>0.90662465645251911</v>
      </c>
      <c r="S29" s="164">
        <f t="shared" si="10"/>
        <v>0.89879224795543522</v>
      </c>
      <c r="T29" s="164">
        <f t="shared" si="10"/>
        <v>0.89591350415780768</v>
      </c>
      <c r="U29" s="164">
        <f t="shared" si="10"/>
        <v>0.89649793130139743</v>
      </c>
      <c r="V29" s="164">
        <f t="shared" si="10"/>
        <v>0.89482472168325422</v>
      </c>
      <c r="W29" s="164">
        <f t="shared" si="10"/>
        <v>0.88885798851345832</v>
      </c>
      <c r="X29" s="185">
        <f t="shared" si="10"/>
        <v>0.8856416123777453</v>
      </c>
      <c r="Y29" s="172">
        <f t="shared" si="10"/>
        <v>0.88979276265420559</v>
      </c>
      <c r="Z29" s="172">
        <f t="shared" si="10"/>
        <v>0.89437819282761688</v>
      </c>
      <c r="AA29" s="172">
        <f t="shared" si="10"/>
        <v>0.89790178958010214</v>
      </c>
      <c r="AB29" s="172">
        <f t="shared" si="10"/>
        <v>0.90111318551145736</v>
      </c>
      <c r="AC29" s="172">
        <f t="shared" si="10"/>
        <v>0.8992584512101528</v>
      </c>
      <c r="AD29" s="172">
        <f t="shared" si="10"/>
        <v>0.89838223874950063</v>
      </c>
      <c r="AE29" s="172">
        <f t="shared" si="10"/>
        <v>0.89673347488897759</v>
      </c>
      <c r="AF29" s="172">
        <f t="shared" si="10"/>
        <v>0.89493659983505713</v>
      </c>
      <c r="AG29" s="172">
        <f t="shared" si="10"/>
        <v>0.89204119257300118</v>
      </c>
      <c r="AH29" s="172">
        <f t="shared" si="10"/>
        <v>0.88773108645328946</v>
      </c>
    </row>
    <row r="30" spans="1:34">
      <c r="A30" s="9" t="s">
        <v>51</v>
      </c>
      <c r="B30" s="37"/>
      <c r="C30" s="332">
        <f t="shared" ref="C30:K30" si="11">C12/C$18</f>
        <v>0</v>
      </c>
      <c r="D30" s="332">
        <f t="shared" si="11"/>
        <v>0</v>
      </c>
      <c r="E30" s="332">
        <f t="shared" si="11"/>
        <v>3.2892311421763288E-6</v>
      </c>
      <c r="F30" s="332">
        <f t="shared" si="11"/>
        <v>3.6687123830829587E-6</v>
      </c>
      <c r="G30" s="332">
        <f t="shared" si="11"/>
        <v>3.6029126765603403E-6</v>
      </c>
      <c r="H30" s="164">
        <f t="shared" si="11"/>
        <v>2.9923583743042567E-6</v>
      </c>
      <c r="I30" s="164">
        <f t="shared" si="11"/>
        <v>3.4214647135745111E-6</v>
      </c>
      <c r="J30" s="164">
        <f t="shared" si="11"/>
        <v>2.3518596724218213E-6</v>
      </c>
      <c r="K30" s="164">
        <f t="shared" si="11"/>
        <v>2.0107052601263579E-6</v>
      </c>
      <c r="L30" s="164">
        <f t="shared" si="7"/>
        <v>1.3662956756077938E-6</v>
      </c>
      <c r="M30" s="164">
        <f t="shared" ref="M30:AH30" si="12">M12/M$18</f>
        <v>1.704842384071537E-6</v>
      </c>
      <c r="N30" s="185">
        <f t="shared" si="12"/>
        <v>1.8528301609110144E-6</v>
      </c>
      <c r="O30" s="164">
        <f t="shared" si="12"/>
        <v>1.5646601036849748E-6</v>
      </c>
      <c r="P30" s="164">
        <f t="shared" si="12"/>
        <v>1.2502823441854545E-6</v>
      </c>
      <c r="Q30" s="164">
        <f t="shared" si="12"/>
        <v>1.2482738916695167E-6</v>
      </c>
      <c r="R30" s="164">
        <f t="shared" si="12"/>
        <v>1.2587804869960551E-6</v>
      </c>
      <c r="S30" s="164">
        <f t="shared" si="12"/>
        <v>9.1865451220744318E-7</v>
      </c>
      <c r="T30" s="164">
        <f t="shared" si="12"/>
        <v>9.2677587921912618E-7</v>
      </c>
      <c r="U30" s="164">
        <f t="shared" si="12"/>
        <v>8.562737929884655E-7</v>
      </c>
      <c r="V30" s="164">
        <f t="shared" si="12"/>
        <v>8.3216673106050258E-7</v>
      </c>
      <c r="W30" s="164">
        <f t="shared" si="12"/>
        <v>7.1446579842904423E-7</v>
      </c>
      <c r="X30" s="185">
        <f t="shared" si="12"/>
        <v>6.8977210189766155E-7</v>
      </c>
      <c r="Y30" s="172">
        <f t="shared" si="12"/>
        <v>7.1831611965599514E-7</v>
      </c>
      <c r="Z30" s="172">
        <f t="shared" si="12"/>
        <v>5.587864414590153E-7</v>
      </c>
      <c r="AA30" s="172">
        <f t="shared" si="12"/>
        <v>5.7536794135514333E-7</v>
      </c>
      <c r="AB30" s="172">
        <f t="shared" si="12"/>
        <v>5.2890566451452459E-7</v>
      </c>
      <c r="AC30" s="172">
        <f t="shared" si="12"/>
        <v>4.5442026925011897E-7</v>
      </c>
      <c r="AD30" s="172">
        <f t="shared" si="12"/>
        <v>5.0403734534185287E-7</v>
      </c>
      <c r="AE30" s="172">
        <f t="shared" si="12"/>
        <v>4.3753531896225256E-7</v>
      </c>
      <c r="AF30" s="172">
        <f t="shared" si="12"/>
        <v>4.2755038208808878E-7</v>
      </c>
      <c r="AG30" s="172">
        <f t="shared" si="12"/>
        <v>4.1551013735546327E-7</v>
      </c>
      <c r="AH30" s="172">
        <f t="shared" si="12"/>
        <v>4.2073976110213473E-7</v>
      </c>
    </row>
    <row r="31" spans="1:34">
      <c r="A31" s="9" t="s">
        <v>347</v>
      </c>
      <c r="B31" s="37"/>
      <c r="C31" s="332">
        <f t="shared" ref="C31:K31" si="13">C13/C$18</f>
        <v>0.1216076738980383</v>
      </c>
      <c r="D31" s="332">
        <f t="shared" si="13"/>
        <v>9.2439222219786468E-2</v>
      </c>
      <c r="E31" s="332">
        <f t="shared" si="13"/>
        <v>0.13139394407058669</v>
      </c>
      <c r="F31" s="332">
        <f t="shared" si="13"/>
        <v>0.14155854230330536</v>
      </c>
      <c r="G31" s="332">
        <f t="shared" si="13"/>
        <v>0.16074229732915529</v>
      </c>
      <c r="H31" s="164">
        <f t="shared" si="13"/>
        <v>0.14930047754125236</v>
      </c>
      <c r="I31" s="164">
        <f t="shared" si="13"/>
        <v>0.12961973385786216</v>
      </c>
      <c r="J31" s="164">
        <f t="shared" si="13"/>
        <v>0.12828216851791632</v>
      </c>
      <c r="K31" s="164">
        <f t="shared" si="13"/>
        <v>0.10180429121008321</v>
      </c>
      <c r="L31" s="164">
        <f t="shared" si="7"/>
        <v>9.5069903129103184E-2</v>
      </c>
      <c r="M31" s="164">
        <f t="shared" ref="M31:AH31" si="14">M13/M$18</f>
        <v>9.4426167211635909E-2</v>
      </c>
      <c r="N31" s="185">
        <f t="shared" si="14"/>
        <v>0.10520085284815611</v>
      </c>
      <c r="O31" s="164">
        <f t="shared" si="14"/>
        <v>0.10732223787114337</v>
      </c>
      <c r="P31" s="164">
        <f t="shared" si="14"/>
        <v>0.10526610802909944</v>
      </c>
      <c r="Q31" s="164">
        <f t="shared" si="14"/>
        <v>0.10012005014095297</v>
      </c>
      <c r="R31" s="164">
        <f t="shared" si="14"/>
        <v>9.3317852854120698E-2</v>
      </c>
      <c r="S31" s="164">
        <f t="shared" si="14"/>
        <v>0.10115504074068557</v>
      </c>
      <c r="T31" s="164">
        <f t="shared" si="14"/>
        <v>0.10403630161359753</v>
      </c>
      <c r="U31" s="164">
        <f t="shared" si="14"/>
        <v>0.10345484221251158</v>
      </c>
      <c r="V31" s="164">
        <f t="shared" si="14"/>
        <v>0.10512967421647093</v>
      </c>
      <c r="W31" s="164">
        <f t="shared" si="14"/>
        <v>0.11109657591262387</v>
      </c>
      <c r="X31" s="185">
        <f t="shared" si="14"/>
        <v>0.11431420162106538</v>
      </c>
      <c r="Y31" s="172">
        <f t="shared" si="14"/>
        <v>0.11016583565161513</v>
      </c>
      <c r="Z31" s="172">
        <f t="shared" si="14"/>
        <v>0.10558333837445227</v>
      </c>
      <c r="AA31" s="172">
        <f t="shared" si="14"/>
        <v>0.10206255501558677</v>
      </c>
      <c r="AB31" s="172">
        <f t="shared" si="14"/>
        <v>9.8853414783891813E-2</v>
      </c>
      <c r="AC31" s="172">
        <f t="shared" si="14"/>
        <v>0.10070834850921426</v>
      </c>
      <c r="AD31" s="172">
        <f t="shared" si="14"/>
        <v>0.10158438348813265</v>
      </c>
      <c r="AE31" s="172">
        <f t="shared" si="14"/>
        <v>0.10323231185464839</v>
      </c>
      <c r="AF31" s="172">
        <f t="shared" si="14"/>
        <v>0.1050293363978575</v>
      </c>
      <c r="AG31" s="172">
        <f t="shared" si="14"/>
        <v>0.10792489831642944</v>
      </c>
      <c r="AH31" s="172">
        <f t="shared" si="14"/>
        <v>0.11223442280461697</v>
      </c>
    </row>
    <row r="32" spans="1:34">
      <c r="A32" s="9" t="s">
        <v>348</v>
      </c>
      <c r="B32" s="37"/>
      <c r="C32" s="332">
        <f t="shared" ref="C32:K32" si="15">C14/C$18</f>
        <v>0</v>
      </c>
      <c r="D32" s="332">
        <f t="shared" si="15"/>
        <v>0</v>
      </c>
      <c r="E32" s="332">
        <f t="shared" si="15"/>
        <v>5.2416856710389393E-6</v>
      </c>
      <c r="F32" s="332">
        <f t="shared" si="15"/>
        <v>4.9815298026960722E-6</v>
      </c>
      <c r="G32" s="332">
        <f t="shared" si="15"/>
        <v>4.1001688547589399E-6</v>
      </c>
      <c r="H32" s="164">
        <f t="shared" si="15"/>
        <v>3.8100043599771539E-6</v>
      </c>
      <c r="I32" s="164">
        <f t="shared" si="15"/>
        <v>3.8981455431762783E-6</v>
      </c>
      <c r="J32" s="164">
        <f t="shared" si="15"/>
        <v>2.9947177672000536E-6</v>
      </c>
      <c r="K32" s="164">
        <f t="shared" si="15"/>
        <v>2.304858174993561E-6</v>
      </c>
      <c r="L32" s="164">
        <f t="shared" si="7"/>
        <v>1.9921899659794086E-6</v>
      </c>
      <c r="M32" s="164">
        <f t="shared" ref="M32:AH32" si="16">M14/M$18</f>
        <v>1.9246488281378481E-6</v>
      </c>
      <c r="N32" s="185">
        <f t="shared" si="16"/>
        <v>1.8976080172951275E-6</v>
      </c>
      <c r="O32" s="164">
        <f t="shared" si="16"/>
        <v>1.7662372257899276E-6</v>
      </c>
      <c r="P32" s="164">
        <f t="shared" si="16"/>
        <v>1.5898061054928165E-6</v>
      </c>
      <c r="Q32" s="164">
        <f t="shared" si="16"/>
        <v>1.4232155466656595E-6</v>
      </c>
      <c r="R32" s="164">
        <f t="shared" si="16"/>
        <v>1.2851636107613754E-6</v>
      </c>
      <c r="S32" s="164">
        <f t="shared" si="16"/>
        <v>1.1709750436348331E-6</v>
      </c>
      <c r="T32" s="164">
        <f t="shared" si="16"/>
        <v>1.0606270075751041E-6</v>
      </c>
      <c r="U32" s="164">
        <f t="shared" si="16"/>
        <v>9.8044858697778945E-7</v>
      </c>
      <c r="V32" s="164">
        <f t="shared" si="16"/>
        <v>9.3979485752933467E-7</v>
      </c>
      <c r="W32" s="164">
        <f t="shared" si="16"/>
        <v>9.2481974980006919E-7</v>
      </c>
      <c r="X32" s="185">
        <f t="shared" si="16"/>
        <v>8.8829205089104731E-7</v>
      </c>
      <c r="Y32" s="172">
        <f t="shared" si="16"/>
        <v>8.1817056435302428E-7</v>
      </c>
      <c r="Z32" s="172">
        <f t="shared" si="16"/>
        <v>7.2470185921276292E-7</v>
      </c>
      <c r="AA32" s="172">
        <f t="shared" si="16"/>
        <v>6.5983772793439261E-7</v>
      </c>
      <c r="AB32" s="172">
        <f t="shared" si="16"/>
        <v>6.0571935935130035E-7</v>
      </c>
      <c r="AC32" s="172">
        <f t="shared" si="16"/>
        <v>5.9066017270595682E-7</v>
      </c>
      <c r="AD32" s="172">
        <f t="shared" si="16"/>
        <v>5.7874990709898167E-7</v>
      </c>
      <c r="AE32" s="172">
        <f t="shared" si="16"/>
        <v>5.6932493137716398E-7</v>
      </c>
      <c r="AF32" s="172">
        <f t="shared" si="16"/>
        <v>5.5550480287826556E-7</v>
      </c>
      <c r="AG32" s="172">
        <f t="shared" si="16"/>
        <v>5.4011878079832058E-7</v>
      </c>
      <c r="AH32" s="172">
        <f t="shared" si="16"/>
        <v>5.3590799748583261E-7</v>
      </c>
    </row>
    <row r="33" spans="1:36">
      <c r="A33" s="9" t="s">
        <v>344</v>
      </c>
      <c r="B33" s="37"/>
      <c r="C33" s="332">
        <f t="shared" ref="C33:K33" si="17">C15/C$18</f>
        <v>5.3756851310699552E-6</v>
      </c>
      <c r="D33" s="332">
        <f t="shared" si="17"/>
        <v>4.3843304031391802E-6</v>
      </c>
      <c r="E33" s="332">
        <f t="shared" si="17"/>
        <v>5.2416856710389393E-6</v>
      </c>
      <c r="F33" s="332">
        <f t="shared" si="17"/>
        <v>4.9815298026960722E-6</v>
      </c>
      <c r="G33" s="332">
        <f t="shared" si="17"/>
        <v>4.1001688547589399E-6</v>
      </c>
      <c r="H33" s="164">
        <f t="shared" si="17"/>
        <v>3.8100043599771539E-6</v>
      </c>
      <c r="I33" s="164">
        <f t="shared" si="17"/>
        <v>3.8981455431762783E-6</v>
      </c>
      <c r="J33" s="164">
        <f t="shared" si="17"/>
        <v>2.9947177672000536E-6</v>
      </c>
      <c r="K33" s="164">
        <f t="shared" si="17"/>
        <v>2.304858174993561E-6</v>
      </c>
      <c r="L33" s="164">
        <f t="shared" si="7"/>
        <v>1.9921899659794086E-6</v>
      </c>
      <c r="M33" s="164">
        <f t="shared" ref="M33:AH33" si="18">M15/M$18</f>
        <v>1.9246488281378481E-6</v>
      </c>
      <c r="N33" s="185">
        <f t="shared" si="18"/>
        <v>1.8976080172951275E-6</v>
      </c>
      <c r="O33" s="164">
        <f t="shared" si="18"/>
        <v>1.7662372257899276E-6</v>
      </c>
      <c r="P33" s="164">
        <f t="shared" si="18"/>
        <v>1.5898061054928165E-6</v>
      </c>
      <c r="Q33" s="164">
        <f t="shared" si="18"/>
        <v>1.4232155466656595E-6</v>
      </c>
      <c r="R33" s="164">
        <f t="shared" si="18"/>
        <v>1.2851636107613754E-6</v>
      </c>
      <c r="S33" s="164">
        <f t="shared" si="18"/>
        <v>1.1709750436348331E-6</v>
      </c>
      <c r="T33" s="164">
        <f t="shared" si="18"/>
        <v>1.0606270075751041E-6</v>
      </c>
      <c r="U33" s="164">
        <f t="shared" si="18"/>
        <v>9.8044858697778945E-7</v>
      </c>
      <c r="V33" s="164">
        <f t="shared" si="18"/>
        <v>9.3979485752933467E-7</v>
      </c>
      <c r="W33" s="164">
        <f t="shared" si="18"/>
        <v>9.2481974980006919E-7</v>
      </c>
      <c r="X33" s="185">
        <f t="shared" si="18"/>
        <v>8.8829205089104731E-7</v>
      </c>
      <c r="Y33" s="172">
        <f t="shared" si="18"/>
        <v>8.1817056435302428E-7</v>
      </c>
      <c r="Z33" s="172">
        <f t="shared" si="18"/>
        <v>7.2470185921276292E-7</v>
      </c>
      <c r="AA33" s="172">
        <f t="shared" si="18"/>
        <v>6.5983772793439261E-7</v>
      </c>
      <c r="AB33" s="172">
        <f t="shared" si="18"/>
        <v>6.0571935935130035E-7</v>
      </c>
      <c r="AC33" s="172">
        <f t="shared" si="18"/>
        <v>5.9066017270595682E-7</v>
      </c>
      <c r="AD33" s="172">
        <f t="shared" si="18"/>
        <v>5.7874990709898167E-7</v>
      </c>
      <c r="AE33" s="172">
        <f t="shared" si="18"/>
        <v>5.6932493137716398E-7</v>
      </c>
      <c r="AF33" s="172">
        <f t="shared" si="18"/>
        <v>5.5550480287826556E-7</v>
      </c>
      <c r="AG33" s="172">
        <f t="shared" si="18"/>
        <v>5.4011878079832058E-7</v>
      </c>
      <c r="AH33" s="172">
        <f t="shared" si="18"/>
        <v>5.3590799748583261E-7</v>
      </c>
    </row>
    <row r="34" spans="1:36">
      <c r="A34" s="9" t="s">
        <v>53</v>
      </c>
      <c r="B34" s="37"/>
      <c r="C34" s="332">
        <f t="shared" ref="C34:K34" si="19">C16/C$18</f>
        <v>0</v>
      </c>
      <c r="D34" s="332">
        <f t="shared" si="19"/>
        <v>0</v>
      </c>
      <c r="E34" s="332">
        <f t="shared" si="19"/>
        <v>1.2581258012389164E-5</v>
      </c>
      <c r="F34" s="332">
        <f t="shared" si="19"/>
        <v>1.3647553474890041E-5</v>
      </c>
      <c r="G34" s="332">
        <f t="shared" si="19"/>
        <v>1.3217876293756154E-5</v>
      </c>
      <c r="H34" s="164">
        <f t="shared" si="19"/>
        <v>1.2320550164017261E-5</v>
      </c>
      <c r="I34" s="164">
        <f t="shared" si="19"/>
        <v>1.3487260033309838E-5</v>
      </c>
      <c r="J34" s="164">
        <f t="shared" si="19"/>
        <v>1.074937052328252E-5</v>
      </c>
      <c r="K34" s="164">
        <f t="shared" si="19"/>
        <v>8.2736364527238112E-6</v>
      </c>
      <c r="L34" s="164">
        <f t="shared" si="7"/>
        <v>7.151091390850944E-6</v>
      </c>
      <c r="M34" s="164">
        <f t="shared" ref="M34:AH34" si="20">M16/M$18</f>
        <v>6.9082477020558421E-6</v>
      </c>
      <c r="N34" s="185">
        <f t="shared" si="20"/>
        <v>6.8110829383909858E-6</v>
      </c>
      <c r="O34" s="164">
        <f t="shared" si="20"/>
        <v>6.3395121783394772E-6</v>
      </c>
      <c r="P34" s="164">
        <f t="shared" si="20"/>
        <v>5.7081115414167663E-6</v>
      </c>
      <c r="Q34" s="164">
        <f t="shared" si="20"/>
        <v>5.1088566458480939E-6</v>
      </c>
      <c r="R34" s="164">
        <f t="shared" si="20"/>
        <v>4.613218285050951E-6</v>
      </c>
      <c r="S34" s="164">
        <f t="shared" si="20"/>
        <v>4.2073883912802524E-6</v>
      </c>
      <c r="T34" s="164">
        <f t="shared" si="20"/>
        <v>3.8166482560998835E-6</v>
      </c>
      <c r="U34" s="164">
        <f t="shared" si="20"/>
        <v>3.5331884521298581E-6</v>
      </c>
      <c r="V34" s="164">
        <f t="shared" si="20"/>
        <v>3.3889339009066797E-6</v>
      </c>
      <c r="W34" s="164">
        <f t="shared" si="20"/>
        <v>3.335804676458304E-6</v>
      </c>
      <c r="X34" s="185">
        <f t="shared" si="20"/>
        <v>3.2078805557791501E-6</v>
      </c>
      <c r="Y34" s="172">
        <f t="shared" si="20"/>
        <v>2.9589338093444827E-6</v>
      </c>
      <c r="Z34" s="172">
        <f t="shared" si="20"/>
        <v>2.6246498247034263E-6</v>
      </c>
      <c r="AA34" s="172">
        <f t="shared" si="20"/>
        <v>2.3933552907595756E-6</v>
      </c>
      <c r="AB34" s="172">
        <f t="shared" si="20"/>
        <v>2.21098378253789E-6</v>
      </c>
      <c r="AC34" s="172">
        <f t="shared" si="20"/>
        <v>2.1654282371919337E-6</v>
      </c>
      <c r="AD34" s="172">
        <f t="shared" si="20"/>
        <v>2.2965289408608441E-6</v>
      </c>
      <c r="AE34" s="172">
        <f t="shared" si="20"/>
        <v>2.4571320499878016E-6</v>
      </c>
      <c r="AF34" s="172">
        <f t="shared" si="20"/>
        <v>2.4504251214038736E-6</v>
      </c>
      <c r="AG34" s="172">
        <f t="shared" si="20"/>
        <v>2.4008768613981969E-6</v>
      </c>
      <c r="AH34" s="172">
        <f t="shared" si="20"/>
        <v>2.4140281750215891E-6</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369.14849999999996</v>
      </c>
      <c r="D42" s="331">
        <f>D7*Inputs!$C$48</f>
        <v>323.54849999999993</v>
      </c>
      <c r="E42" s="331">
        <f>E7*Inputs!$C$48</f>
        <v>378.820231525726</v>
      </c>
      <c r="F42" s="331">
        <f>F7*Inputs!$C$48</f>
        <v>356.08300760749825</v>
      </c>
      <c r="G42" s="331">
        <f>G7*Inputs!$C$48</f>
        <v>292.8451260612531</v>
      </c>
      <c r="H42" s="14">
        <f>H7*Inputs!$C$48</f>
        <v>299.07391023142094</v>
      </c>
      <c r="I42" s="14">
        <f>I7*Inputs!$C$48</f>
        <v>304.00103608482982</v>
      </c>
      <c r="J42" s="14">
        <f>J7*Inputs!$C$48</f>
        <v>309.36956428283071</v>
      </c>
      <c r="K42" s="14">
        <f>K7*Inputs!$C$48</f>
        <v>313.14418354945462</v>
      </c>
      <c r="L42" s="14">
        <f>L7*Inputs!$C$48</f>
        <v>311.80159146502757</v>
      </c>
      <c r="M42" s="14">
        <f>M7*Inputs!$C$48</f>
        <v>311.80169421394527</v>
      </c>
      <c r="N42" s="190">
        <f>N7*Inputs!$C$48</f>
        <v>311.80159146502757</v>
      </c>
      <c r="O42" s="14">
        <f>O7*Inputs!$C$48</f>
        <v>313.41409561529571</v>
      </c>
      <c r="P42" s="14">
        <f>P7*Inputs!$C$48</f>
        <v>313.41399286637812</v>
      </c>
      <c r="Q42" s="14">
        <f>Q7*Inputs!$C$48</f>
        <v>313.41395783833798</v>
      </c>
      <c r="R42" s="14">
        <f>R7*Inputs!$C$48</f>
        <v>313.41395783833798</v>
      </c>
      <c r="S42" s="14">
        <f>S7*Inputs!$C$48</f>
        <v>313.41395783833798</v>
      </c>
      <c r="T42" s="14">
        <f>T7*Inputs!$C$48</f>
        <v>313.41392047509515</v>
      </c>
      <c r="U42" s="14">
        <f>U7*Inputs!$C$48</f>
        <v>313.41392047509515</v>
      </c>
      <c r="V42" s="14">
        <f>V7*Inputs!$C$48</f>
        <v>313.41392047509515</v>
      </c>
      <c r="W42" s="14">
        <f>W7*Inputs!$C$48</f>
        <v>315.30703191945008</v>
      </c>
      <c r="X42" s="187">
        <f>X7*Inputs!$C$48</f>
        <v>315.30703191945008</v>
      </c>
      <c r="Y42" s="14">
        <f>Y7*Inputs!$C$48</f>
        <v>315.7177660473281</v>
      </c>
      <c r="Z42" s="14">
        <f>Z7*Inputs!$C$48</f>
        <v>315.71776838253072</v>
      </c>
      <c r="AA42" s="14">
        <f>AA7*Inputs!$C$48</f>
        <v>315.71776838253072</v>
      </c>
      <c r="AB42" s="14">
        <f>AB7*Inputs!$C$48</f>
        <v>315.71776838253072</v>
      </c>
      <c r="AC42" s="14">
        <f>AC7*Inputs!$C$48</f>
        <v>316.32212817530433</v>
      </c>
      <c r="AD42" s="14">
        <f>AD7*Inputs!$C$48</f>
        <v>316.32223325942459</v>
      </c>
      <c r="AE42" s="14">
        <f>AE7*Inputs!$C$48</f>
        <v>316.32216086814174</v>
      </c>
      <c r="AF42" s="14">
        <f>AF7*Inputs!$C$48</f>
        <v>316.32205344881874</v>
      </c>
      <c r="AG42" s="14">
        <f>AG7*Inputs!$C$48</f>
        <v>317.7818376794271</v>
      </c>
      <c r="AH42" s="14">
        <f>AH7*Inputs!$C$48</f>
        <v>317.78180498658969</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0.21</v>
      </c>
      <c r="D44" s="331">
        <f>D10*Inputs!$C$46</f>
        <v>0</v>
      </c>
      <c r="E44" s="331">
        <f>E10*Inputs!$C$46</f>
        <v>4.2853753231492361E-2</v>
      </c>
      <c r="F44" s="331">
        <f>F10*Inputs!$C$46</f>
        <v>4.148392479435957E-2</v>
      </c>
      <c r="G44" s="331">
        <f>G10*Inputs!$C$46</f>
        <v>4.0771717978848411E-2</v>
      </c>
      <c r="H44" s="14">
        <f>H10*Inputs!$C$46</f>
        <v>4.3570401880141003E-2</v>
      </c>
      <c r="I44" s="14">
        <f>I10*Inputs!$C$46</f>
        <v>4.3192368977673312E-2</v>
      </c>
      <c r="J44" s="14">
        <f>J10*Inputs!$C$46</f>
        <v>4.6788723854289067E-2</v>
      </c>
      <c r="K44" s="14">
        <f>K10*Inputs!$C$46</f>
        <v>5.1213809635722675E-2</v>
      </c>
      <c r="L44" s="14">
        <f>L10*Inputs!$C$46</f>
        <v>6.2577861339600457E-2</v>
      </c>
      <c r="M44" s="14">
        <f>M10*Inputs!$C$46</f>
        <v>6.981931609870741E-2</v>
      </c>
      <c r="N44" s="190">
        <f>N10*Inputs!$C$46</f>
        <v>7.1054820211515865E-2</v>
      </c>
      <c r="O44" s="14">
        <f>O10*Inputs!$C$46</f>
        <v>7.4549012925969452E-2</v>
      </c>
      <c r="P44" s="14">
        <f>P10*Inputs!$C$46</f>
        <v>7.6297088131609861E-2</v>
      </c>
      <c r="Q44" s="14">
        <f>Q10*Inputs!$C$46</f>
        <v>7.7551807285546406E-2</v>
      </c>
      <c r="R44" s="14">
        <f>R10*Inputs!$C$46</f>
        <v>8.0146660399529959E-2</v>
      </c>
      <c r="S44" s="14">
        <f>S10*Inputs!$C$46</f>
        <v>8.1138324324324315E-2</v>
      </c>
      <c r="T44" s="14">
        <f>T10*Inputs!$C$46</f>
        <v>8.5790815511163326E-2</v>
      </c>
      <c r="U44" s="14">
        <f>U10*Inputs!$C$46</f>
        <v>8.7551623971797887E-2</v>
      </c>
      <c r="V44" s="14">
        <f>V10*Inputs!$C$46</f>
        <v>8.827156286721502E-2</v>
      </c>
      <c r="W44" s="14">
        <f>W10*Inputs!$C$46</f>
        <v>8.9774136310223254E-2</v>
      </c>
      <c r="X44" s="187">
        <f>X10*Inputs!$C$46</f>
        <v>9.1045175088131591E-2</v>
      </c>
      <c r="Y44" s="14">
        <f>Y10*Inputs!$C$46</f>
        <v>9.2627405405405386E-2</v>
      </c>
      <c r="Z44" s="14">
        <f>Z10*Inputs!$C$46</f>
        <v>9.8047922444183311E-2</v>
      </c>
      <c r="AA44" s="14">
        <f>AA10*Inputs!$C$46</f>
        <v>9.9828653349001151E-2</v>
      </c>
      <c r="AB44" s="14">
        <f>AB10*Inputs!$C$46</f>
        <v>0.10209611045828436</v>
      </c>
      <c r="AC44" s="14">
        <f>AC10*Inputs!$C$46</f>
        <v>0.10452395064629845</v>
      </c>
      <c r="AD44" s="14">
        <f>AD10*Inputs!$C$46</f>
        <v>0.10674967097532313</v>
      </c>
      <c r="AE44" s="14">
        <f>AE10*Inputs!$C$46</f>
        <v>0.11132109048178611</v>
      </c>
      <c r="AF44" s="14">
        <f>AF10*Inputs!$C$46</f>
        <v>0.11369306227967096</v>
      </c>
      <c r="AG44" s="14">
        <f>AG10*Inputs!$C$46</f>
        <v>0.11668955581668622</v>
      </c>
      <c r="AH44" s="14">
        <f>AH10*Inputs!$C$46</f>
        <v>0.11984656404230315</v>
      </c>
    </row>
    <row r="45" spans="1:36" ht="15">
      <c r="A45" s="8" t="s">
        <v>50</v>
      </c>
      <c r="B45" s="34">
        <v>1</v>
      </c>
      <c r="C45" s="331">
        <f>C11*Inputs!$C$49</f>
        <v>408.25</v>
      </c>
      <c r="D45" s="331">
        <f>D11*Inputs!$C$49</f>
        <v>517.5</v>
      </c>
      <c r="E45" s="331">
        <f>E11*Inputs!$C$49</f>
        <v>414.21443017416908</v>
      </c>
      <c r="F45" s="331">
        <f>F11*Inputs!$C$49</f>
        <v>430.74909012994453</v>
      </c>
      <c r="G45" s="331">
        <f>G11*Inputs!$C$49</f>
        <v>511.65763293277257</v>
      </c>
      <c r="H45" s="14">
        <f>H11*Inputs!$C$49</f>
        <v>558.13423025743793</v>
      </c>
      <c r="I45" s="14">
        <f>I11*Inputs!$C$49</f>
        <v>558.13423025743793</v>
      </c>
      <c r="J45" s="14">
        <f>J11*Inputs!$C$49</f>
        <v>727.64120463944926</v>
      </c>
      <c r="K45" s="14">
        <f>K11*Inputs!$C$49</f>
        <v>974.16471725008296</v>
      </c>
      <c r="L45" s="14">
        <f>L11*Inputs!$C$49</f>
        <v>1135.5069613390606</v>
      </c>
      <c r="M45" s="14">
        <f>M11*Inputs!$C$49</f>
        <v>1176.185192589747</v>
      </c>
      <c r="N45" s="190">
        <f>N11*Inputs!$C$49</f>
        <v>1178.7503966939116</v>
      </c>
      <c r="O45" s="14">
        <f>O11*Inputs!$C$49</f>
        <v>1263.4254502415374</v>
      </c>
      <c r="P45" s="14">
        <f>P11*Inputs!$C$49</f>
        <v>1406.8791001037453</v>
      </c>
      <c r="Q45" s="14">
        <f>Q11*Inputs!$C$49</f>
        <v>1580.6077123449779</v>
      </c>
      <c r="R45" s="14">
        <f>R11*Inputs!$C$49</f>
        <v>1763.6366468456947</v>
      </c>
      <c r="S45" s="14">
        <f>S11*Inputs!$C$49</f>
        <v>1918.897103830426</v>
      </c>
      <c r="T45" s="14">
        <f>T11*Inputs!$C$49</f>
        <v>2111.7544097951113</v>
      </c>
      <c r="U45" s="14">
        <f>U11*Inputs!$C$49</f>
        <v>2285.9381491507679</v>
      </c>
      <c r="V45" s="14">
        <f>V11*Inputs!$C$49</f>
        <v>2380.3724677630598</v>
      </c>
      <c r="W45" s="14">
        <f>W11*Inputs!$C$49</f>
        <v>2402.787107178493</v>
      </c>
      <c r="X45" s="187">
        <f>X11*Inputs!$C$49</f>
        <v>2492.5406331435611</v>
      </c>
      <c r="Y45" s="14">
        <f>Y11*Inputs!$C$49</f>
        <v>2718.8486161128799</v>
      </c>
      <c r="Z45" s="14">
        <f>Z11*Inputs!$C$49</f>
        <v>3085.331510668304</v>
      </c>
      <c r="AA45" s="14">
        <f>AA11*Inputs!$C$49</f>
        <v>3401.9795760654815</v>
      </c>
      <c r="AB45" s="14">
        <f>AB11*Inputs!$C$49</f>
        <v>3719.1860042103958</v>
      </c>
      <c r="AC45" s="14">
        <f>AC11*Inputs!$C$49</f>
        <v>3806.1583155777744</v>
      </c>
      <c r="AD45" s="14">
        <f>AD11*Inputs!$C$49</f>
        <v>3880.7014382632688</v>
      </c>
      <c r="AE45" s="14">
        <f>AE11*Inputs!$C$49</f>
        <v>3937.7051024264447</v>
      </c>
      <c r="AF45" s="14">
        <f>AF11*Inputs!$C$49</f>
        <v>4027.5826383411813</v>
      </c>
      <c r="AG45" s="14">
        <f>AG11*Inputs!$C$49</f>
        <v>4128.9121221378518</v>
      </c>
      <c r="AH45" s="14">
        <f>AH11*Inputs!$C$49</f>
        <v>4141.2476144133198</v>
      </c>
    </row>
    <row r="46" spans="1:36" ht="15">
      <c r="A46" s="8" t="s">
        <v>51</v>
      </c>
      <c r="B46" s="34">
        <v>1</v>
      </c>
      <c r="C46" s="331">
        <f>C12*Inputs!$C$52</f>
        <v>0</v>
      </c>
      <c r="D46" s="331">
        <f>D12*Inputs!$C$52</f>
        <v>0</v>
      </c>
      <c r="E46" s="331">
        <f>E12*Inputs!$C$52</f>
        <v>9.4127100000000003E-4</v>
      </c>
      <c r="F46" s="331">
        <f>F12*Inputs!$C$52</f>
        <v>1.1046945000000002E-3</v>
      </c>
      <c r="G46" s="331">
        <f>G12*Inputs!$C$52</f>
        <v>1.3180845000000001E-3</v>
      </c>
      <c r="H46" s="14">
        <f>H12*Inputs!$C$52</f>
        <v>1.1780924999999999E-3</v>
      </c>
      <c r="I46" s="14">
        <f>I12*Inputs!$C$52</f>
        <v>1.3165740000000003E-3</v>
      </c>
      <c r="J46" s="14">
        <f>J12*Inputs!$C$52</f>
        <v>1.1780040000000001E-3</v>
      </c>
      <c r="K46" s="14">
        <f>K12*Inputs!$C$52</f>
        <v>1.3085655E-3</v>
      </c>
      <c r="L46" s="14">
        <f>L12*Inputs!$C$52</f>
        <v>1.0287390000000001E-3</v>
      </c>
      <c r="M46" s="14">
        <f>M12*Inputs!$C$52</f>
        <v>1.3286909999999999E-3</v>
      </c>
      <c r="N46" s="190">
        <f>N12*Inputs!$C$52</f>
        <v>1.4646044999999999E-3</v>
      </c>
      <c r="O46" s="14">
        <f>O12*Inputs!$C$52</f>
        <v>1.3288080000000001E-3</v>
      </c>
      <c r="P46" s="14">
        <f>P12*Inputs!$C$52</f>
        <v>1.1796555000000003E-3</v>
      </c>
      <c r="Q46" s="14">
        <f>Q12*Inputs!$C$52</f>
        <v>1.31562E-3</v>
      </c>
      <c r="R46" s="14">
        <f>R12*Inputs!$C$52</f>
        <v>1.4692065E-3</v>
      </c>
      <c r="S46" s="14">
        <f>S12*Inputs!$C$52</f>
        <v>1.1767815000000002E-3</v>
      </c>
      <c r="T46" s="14">
        <f>T12*Inputs!$C$52</f>
        <v>1.3107000000000001E-3</v>
      </c>
      <c r="U46" s="14">
        <f>U12*Inputs!$C$52</f>
        <v>1.3100235000000002E-3</v>
      </c>
      <c r="V46" s="14">
        <f>V12*Inputs!$C$52</f>
        <v>1.3282154999999999E-3</v>
      </c>
      <c r="W46" s="14">
        <f>W12*Inputs!$C$52</f>
        <v>1.158819E-3</v>
      </c>
      <c r="X46" s="187">
        <f>X12*Inputs!$C$52</f>
        <v>1.1647724999999999E-3</v>
      </c>
      <c r="Y46" s="14">
        <f>Y12*Inputs!$C$52</f>
        <v>1.3169310000000001E-3</v>
      </c>
      <c r="Z46" s="14">
        <f>Z12*Inputs!$C$52</f>
        <v>1.1565854999999999E-3</v>
      </c>
      <c r="AA46" s="14">
        <f>AA12*Inputs!$C$52</f>
        <v>1.307976E-3</v>
      </c>
      <c r="AB46" s="14">
        <f>AB12*Inputs!$C$52</f>
        <v>1.3097790000000001E-3</v>
      </c>
      <c r="AC46" s="14">
        <f>AC12*Inputs!$C$52</f>
        <v>1.1540145E-3</v>
      </c>
      <c r="AD46" s="14">
        <f>AD12*Inputs!$C$52</f>
        <v>1.3063605000000001E-3</v>
      </c>
      <c r="AE46" s="14">
        <f>AE12*Inputs!$C$52</f>
        <v>1.1527740000000001E-3</v>
      </c>
      <c r="AF46" s="14">
        <f>AF12*Inputs!$C$52</f>
        <v>1.1544915000000001E-3</v>
      </c>
      <c r="AG46" s="14">
        <f>AG12*Inputs!$C$52</f>
        <v>1.1539410000000001E-3</v>
      </c>
      <c r="AH46" s="14">
        <f>AH12*Inputs!$C$52</f>
        <v>1.1776455000000001E-3</v>
      </c>
    </row>
    <row r="47" spans="1:36" ht="15">
      <c r="A47" s="8" t="s">
        <v>347</v>
      </c>
      <c r="B47" s="34">
        <v>1</v>
      </c>
      <c r="C47" s="331">
        <f>C13*Inputs!$C$54</f>
        <v>178.71221999999997</v>
      </c>
      <c r="D47" s="331">
        <f>D13*Inputs!$C$54</f>
        <v>166.56360000000001</v>
      </c>
      <c r="E47" s="331">
        <f>E13*Inputs!$C$54</f>
        <v>198.03021838810366</v>
      </c>
      <c r="F47" s="331">
        <f>F13*Inputs!$C$54</f>
        <v>224.4917783269843</v>
      </c>
      <c r="G47" s="331">
        <f>G13*Inputs!$C$54</f>
        <v>309.71020801410037</v>
      </c>
      <c r="H47" s="14">
        <f>H13*Inputs!$C$54</f>
        <v>309.57281439514315</v>
      </c>
      <c r="I47" s="14">
        <f>I13*Inputs!$C$54</f>
        <v>262.68795921938334</v>
      </c>
      <c r="J47" s="14">
        <f>J13*Inputs!$C$54</f>
        <v>338.405556073171</v>
      </c>
      <c r="K47" s="14">
        <f>K13*Inputs!$C$54</f>
        <v>348.93856345929146</v>
      </c>
      <c r="L47" s="14">
        <f>L13*Inputs!$C$54</f>
        <v>376.9983021426774</v>
      </c>
      <c r="M47" s="14">
        <f>M13*Inputs!$C$54</f>
        <v>387.58588583334836</v>
      </c>
      <c r="N47" s="190">
        <f>N13*Inputs!$C$54</f>
        <v>437.96544382494443</v>
      </c>
      <c r="O47" s="14">
        <f>O13*Inputs!$C$54</f>
        <v>480.02933400004872</v>
      </c>
      <c r="P47" s="14">
        <f>P13*Inputs!$C$54</f>
        <v>523.08407330722969</v>
      </c>
      <c r="Q47" s="14">
        <f>Q13*Inputs!$C$54</f>
        <v>555.7474396387671</v>
      </c>
      <c r="R47" s="14">
        <f>R13*Inputs!$C$54</f>
        <v>573.63205071672098</v>
      </c>
      <c r="S47" s="14">
        <f>S13*Inputs!$C$54</f>
        <v>682.44393951458278</v>
      </c>
      <c r="T47" s="14">
        <f>T13*Inputs!$C$54</f>
        <v>774.90651933000277</v>
      </c>
      <c r="U47" s="14">
        <f>U13*Inputs!$C$54</f>
        <v>833.59113811171835</v>
      </c>
      <c r="V47" s="14">
        <f>V13*Inputs!$C$54</f>
        <v>883.72948591517115</v>
      </c>
      <c r="W47" s="14">
        <f>W13*Inputs!$C$54</f>
        <v>949.00973935673937</v>
      </c>
      <c r="X47" s="187">
        <f>X13*Inputs!$C$54</f>
        <v>1016.6500892364547</v>
      </c>
      <c r="Y47" s="14">
        <f>Y13*Inputs!$C$54</f>
        <v>1063.726977682172</v>
      </c>
      <c r="Z47" s="14">
        <f>Z13*Inputs!$C$54</f>
        <v>1150.9676186897843</v>
      </c>
      <c r="AA47" s="14">
        <f>AA13*Inputs!$C$54</f>
        <v>1221.9582944237241</v>
      </c>
      <c r="AB47" s="14">
        <f>AB13*Inputs!$C$54</f>
        <v>1289.2802000403306</v>
      </c>
      <c r="AC47" s="14">
        <f>AC13*Inputs!$C$54</f>
        <v>1346.9605536089821</v>
      </c>
      <c r="AD47" s="14">
        <f>AD13*Inputs!$C$54</f>
        <v>1386.6380274321084</v>
      </c>
      <c r="AE47" s="14">
        <f>AE13*Inputs!$C$54</f>
        <v>1432.4601272580667</v>
      </c>
      <c r="AF47" s="14">
        <f>AF13*Inputs!$C$54</f>
        <v>1493.6536160334572</v>
      </c>
      <c r="AG47" s="14">
        <f>AG13*Inputs!$C$54</f>
        <v>1578.5540644219047</v>
      </c>
      <c r="AH47" s="14">
        <f>AH13*Inputs!$C$54</f>
        <v>1654.4853674812232</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v>
      </c>
      <c r="E50" s="331">
        <f>E16*Inputs!$C$57</f>
        <v>4.0803932099999999E-3</v>
      </c>
      <c r="F50" s="331">
        <f>F16*Inputs!$C$57</f>
        <v>4.6573726999999997E-3</v>
      </c>
      <c r="G50" s="331">
        <f>G16*Inputs!$C$57</f>
        <v>5.4803571499999993E-3</v>
      </c>
      <c r="H50" s="14">
        <f>H16*Inputs!$C$57</f>
        <v>5.4973520500000003E-3</v>
      </c>
      <c r="I50" s="14">
        <f>I16*Inputs!$C$57</f>
        <v>5.8818589000000001E-3</v>
      </c>
      <c r="J50" s="14">
        <f>J16*Inputs!$C$57</f>
        <v>6.1020541199999995E-3</v>
      </c>
      <c r="K50" s="14">
        <f>K16*Inputs!$C$57</f>
        <v>6.1024067000000001E-3</v>
      </c>
      <c r="L50" s="14">
        <f>L16*Inputs!$C$57</f>
        <v>6.1022571000000012E-3</v>
      </c>
      <c r="M50" s="14">
        <f>M16*Inputs!$C$57</f>
        <v>6.1019033300000001E-3</v>
      </c>
      <c r="N50" s="190">
        <f>N16*Inputs!$C$57</f>
        <v>6.1018086399999994E-3</v>
      </c>
      <c r="O50" s="14">
        <f>O16*Inputs!$C$57</f>
        <v>6.1017685200000001E-3</v>
      </c>
      <c r="P50" s="14">
        <f>P16*Inputs!$C$57</f>
        <v>6.1037566700000009E-3</v>
      </c>
      <c r="Q50" s="14">
        <f>Q16*Inputs!$C$57</f>
        <v>6.1024180900000006E-3</v>
      </c>
      <c r="R50" s="14">
        <f>R16*Inputs!$C$57</f>
        <v>6.1023133700000001E-3</v>
      </c>
      <c r="S50" s="14">
        <f>S16*Inputs!$C$57</f>
        <v>6.10820897E-3</v>
      </c>
      <c r="T50" s="14">
        <f>T16*Inputs!$C$57</f>
        <v>6.117421100000001E-3</v>
      </c>
      <c r="U50" s="14">
        <f>U16*Inputs!$C$57</f>
        <v>6.1261961600000006E-3</v>
      </c>
      <c r="V50" s="14">
        <f>V16*Inputs!$C$57</f>
        <v>6.1302608599999994E-3</v>
      </c>
      <c r="W50" s="14">
        <f>W16*Inputs!$C$57</f>
        <v>6.1318629400000007E-3</v>
      </c>
      <c r="X50" s="187">
        <f>X16*Inputs!$C$57</f>
        <v>6.1391936799999993E-3</v>
      </c>
      <c r="Y50" s="14">
        <f>Y16*Inputs!$C$57</f>
        <v>6.1480914800000003E-3</v>
      </c>
      <c r="Z50" s="14">
        <f>Z16*Inputs!$C$57</f>
        <v>6.1568832000000002E-3</v>
      </c>
      <c r="AA50" s="14">
        <f>AA16*Inputs!$C$57</f>
        <v>6.1662190900000019E-3</v>
      </c>
      <c r="AB50" s="14">
        <f>AB16*Inputs!$C$57</f>
        <v>6.2053034499999996E-3</v>
      </c>
      <c r="AC50" s="14">
        <f>AC16*Inputs!$C$57</f>
        <v>6.2323958400000009E-3</v>
      </c>
      <c r="AD50" s="14">
        <f>AD16*Inputs!$C$57</f>
        <v>6.7457448399999998E-3</v>
      </c>
      <c r="AE50" s="14">
        <f>AE16*Inputs!$C$57</f>
        <v>7.3369779800000002E-3</v>
      </c>
      <c r="AF50" s="14">
        <f>AF16*Inputs!$C$57</f>
        <v>7.4989859400000003E-3</v>
      </c>
      <c r="AG50" s="14">
        <f>AG16*Inputs!$C$57</f>
        <v>7.5566538500000001E-3</v>
      </c>
      <c r="AH50" s="14">
        <f>AH16*Inputs!$C$57</f>
        <v>7.6577470699999992E-3</v>
      </c>
    </row>
    <row r="51" spans="1:34" s="20" customFormat="1" ht="15">
      <c r="A51" s="8" t="s">
        <v>128</v>
      </c>
      <c r="B51" s="38"/>
      <c r="C51" s="334">
        <f t="shared" ref="C51:AH51" si="21">SUMPRODUCT($B42:$B50,C42:C50)</f>
        <v>587.17491999999993</v>
      </c>
      <c r="D51" s="334">
        <f t="shared" si="21"/>
        <v>684.06629999999996</v>
      </c>
      <c r="E51" s="334">
        <f t="shared" si="21"/>
        <v>612.29752397971413</v>
      </c>
      <c r="F51" s="334">
        <f t="shared" si="21"/>
        <v>655.29311444892312</v>
      </c>
      <c r="G51" s="334">
        <f t="shared" si="21"/>
        <v>821.42041110650177</v>
      </c>
      <c r="H51" s="19">
        <f t="shared" si="21"/>
        <v>867.76229049901133</v>
      </c>
      <c r="I51" s="19">
        <f t="shared" si="21"/>
        <v>820.87758027869893</v>
      </c>
      <c r="J51" s="19">
        <f t="shared" si="21"/>
        <v>1066.1058294945947</v>
      </c>
      <c r="K51" s="19">
        <f t="shared" si="21"/>
        <v>1323.1669054912102</v>
      </c>
      <c r="L51" s="19">
        <f t="shared" si="21"/>
        <v>1512.5799723391779</v>
      </c>
      <c r="M51" s="19">
        <f t="shared" si="21"/>
        <v>1563.8533283335244</v>
      </c>
      <c r="N51" s="190">
        <f t="shared" si="21"/>
        <v>1616.7994617522077</v>
      </c>
      <c r="O51" s="19">
        <f t="shared" si="21"/>
        <v>1743.5417638310321</v>
      </c>
      <c r="P51" s="19">
        <f t="shared" si="21"/>
        <v>1930.0517539112768</v>
      </c>
      <c r="Q51" s="19">
        <f t="shared" si="21"/>
        <v>2136.4451218291206</v>
      </c>
      <c r="R51" s="19">
        <f t="shared" si="21"/>
        <v>2337.361415742685</v>
      </c>
      <c r="S51" s="19">
        <f t="shared" si="21"/>
        <v>2601.4344666598031</v>
      </c>
      <c r="T51" s="19">
        <f t="shared" si="21"/>
        <v>2886.7591480617252</v>
      </c>
      <c r="U51" s="19">
        <f t="shared" si="21"/>
        <v>3119.6292751061183</v>
      </c>
      <c r="V51" s="19">
        <f t="shared" si="21"/>
        <v>3264.2026837174585</v>
      </c>
      <c r="W51" s="19">
        <f t="shared" si="21"/>
        <v>3351.8989113534826</v>
      </c>
      <c r="X51" s="182">
        <f t="shared" si="21"/>
        <v>3509.2940715212844</v>
      </c>
      <c r="Y51" s="19">
        <f t="shared" si="21"/>
        <v>3782.6806862229378</v>
      </c>
      <c r="Z51" s="19">
        <f t="shared" si="21"/>
        <v>4236.4094907492326</v>
      </c>
      <c r="AA51" s="19">
        <f t="shared" si="21"/>
        <v>4624.050173337645</v>
      </c>
      <c r="AB51" s="19">
        <f t="shared" si="21"/>
        <v>5008.5808154436345</v>
      </c>
      <c r="AC51" s="19">
        <f t="shared" si="21"/>
        <v>5153.2357795477428</v>
      </c>
      <c r="AD51" s="19">
        <f t="shared" si="21"/>
        <v>5267.4592674716932</v>
      </c>
      <c r="AE51" s="19">
        <f t="shared" si="21"/>
        <v>5370.2900405269729</v>
      </c>
      <c r="AF51" s="19">
        <f t="shared" si="21"/>
        <v>5521.3636009143584</v>
      </c>
      <c r="AG51" s="19">
        <f t="shared" si="21"/>
        <v>5707.5965867104223</v>
      </c>
      <c r="AH51" s="19">
        <f t="shared" si="21"/>
        <v>5795.8666638511559</v>
      </c>
    </row>
    <row r="52" spans="1:34" s="20" customFormat="1" ht="15">
      <c r="A52" s="27" t="s">
        <v>329</v>
      </c>
      <c r="B52" s="39"/>
      <c r="C52" s="334">
        <f>SUM(C40:C50)</f>
        <v>956.32341999999994</v>
      </c>
      <c r="D52" s="334">
        <f t="shared" ref="D52:I52" si="22">SUM(D42:D50)</f>
        <v>1007.6147999999998</v>
      </c>
      <c r="E52" s="334">
        <f t="shared" si="22"/>
        <v>991.11775550544019</v>
      </c>
      <c r="F52" s="334">
        <f t="shared" si="22"/>
        <v>1011.3761220564214</v>
      </c>
      <c r="G52" s="334">
        <f t="shared" si="22"/>
        <v>1114.2655371677549</v>
      </c>
      <c r="H52" s="19">
        <f t="shared" si="22"/>
        <v>1166.8362007304322</v>
      </c>
      <c r="I52" s="19">
        <f t="shared" si="22"/>
        <v>1124.8786163635289</v>
      </c>
      <c r="J52" s="19">
        <f t="shared" ref="J52:AH52" si="23">SUM(J42:J50)</f>
        <v>1375.4753937774253</v>
      </c>
      <c r="K52" s="19">
        <f t="shared" si="23"/>
        <v>1636.3110890406647</v>
      </c>
      <c r="L52" s="19">
        <f t="shared" si="23"/>
        <v>1824.3815638042054</v>
      </c>
      <c r="M52" s="19">
        <f t="shared" si="23"/>
        <v>1875.6550225474696</v>
      </c>
      <c r="N52" s="190">
        <f t="shared" si="23"/>
        <v>1928.6010532172354</v>
      </c>
      <c r="O52" s="19">
        <f t="shared" si="23"/>
        <v>2056.9558594463274</v>
      </c>
      <c r="P52" s="19">
        <f t="shared" si="23"/>
        <v>2243.4657467776551</v>
      </c>
      <c r="Q52" s="19">
        <f t="shared" si="23"/>
        <v>2449.8590796674589</v>
      </c>
      <c r="R52" s="19">
        <f t="shared" si="23"/>
        <v>2650.7753735810234</v>
      </c>
      <c r="S52" s="19">
        <f t="shared" si="23"/>
        <v>2914.848424498141</v>
      </c>
      <c r="T52" s="19">
        <f t="shared" si="23"/>
        <v>3200.1730685368207</v>
      </c>
      <c r="U52" s="19">
        <f t="shared" si="23"/>
        <v>3433.0431955812137</v>
      </c>
      <c r="V52" s="19">
        <f t="shared" si="23"/>
        <v>3577.6166041925535</v>
      </c>
      <c r="W52" s="19">
        <f t="shared" si="23"/>
        <v>3667.2059432729329</v>
      </c>
      <c r="X52" s="182">
        <f t="shared" si="23"/>
        <v>3824.6011034407343</v>
      </c>
      <c r="Y52" s="19">
        <f t="shared" si="23"/>
        <v>4098.3984522702658</v>
      </c>
      <c r="Z52" s="19">
        <f t="shared" si="23"/>
        <v>4552.1272591317629</v>
      </c>
      <c r="AA52" s="19">
        <f t="shared" si="23"/>
        <v>4939.7679417201762</v>
      </c>
      <c r="AB52" s="19">
        <f t="shared" si="23"/>
        <v>5324.2985838261657</v>
      </c>
      <c r="AC52" s="19">
        <f t="shared" si="23"/>
        <v>5469.5579077230468</v>
      </c>
      <c r="AD52" s="19">
        <f t="shared" si="23"/>
        <v>5583.7815007311174</v>
      </c>
      <c r="AE52" s="19">
        <f t="shared" si="23"/>
        <v>5686.6122013951153</v>
      </c>
      <c r="AF52" s="19">
        <f t="shared" si="23"/>
        <v>5837.6856543631766</v>
      </c>
      <c r="AG52" s="19">
        <f t="shared" si="23"/>
        <v>6025.3784243898499</v>
      </c>
      <c r="AH52" s="19">
        <f t="shared" si="23"/>
        <v>6113.648468837745</v>
      </c>
    </row>
    <row r="53" spans="1:34" s="20" customFormat="1" ht="15">
      <c r="A53" s="27" t="s">
        <v>330</v>
      </c>
      <c r="B53" s="39"/>
      <c r="C53" s="334">
        <f>C20*Inputs!$C$60</f>
        <v>829.4</v>
      </c>
      <c r="D53" s="334">
        <f>D20*Inputs!$C$60</f>
        <v>769.67</v>
      </c>
      <c r="E53" s="334">
        <f>E20*Inputs!$C$60</f>
        <v>796.79150759999993</v>
      </c>
      <c r="F53" s="334">
        <f>F20*Inputs!$C$60</f>
        <v>799.00645439999994</v>
      </c>
      <c r="G53" s="334">
        <f>G20*Inputs!$C$60</f>
        <v>740.13900179999996</v>
      </c>
      <c r="H53" s="19">
        <f>H20*Inputs!$C$60</f>
        <v>768.60451799999998</v>
      </c>
      <c r="I53" s="19">
        <f>I20*Inputs!$C$60</f>
        <v>832.48746900000003</v>
      </c>
      <c r="J53" s="19">
        <f>J20*Inputs!$C$60</f>
        <v>827.66292179999994</v>
      </c>
      <c r="K53" s="19">
        <f>K20*Inputs!$C$60</f>
        <v>852.44728800000007</v>
      </c>
      <c r="L53" s="19">
        <f>L20*Inputs!$C$60</f>
        <v>857.91445079999994</v>
      </c>
      <c r="M53" s="19">
        <f>M20*Inputs!$C$60</f>
        <v>856.25780459999987</v>
      </c>
      <c r="N53" s="190">
        <f>N20*Inputs!$C$60</f>
        <v>856.85623320000002</v>
      </c>
      <c r="O53" s="19">
        <f>O20*Inputs!$C$60</f>
        <v>831.60727320000001</v>
      </c>
      <c r="P53" s="19">
        <f>P20*Inputs!$C$60</f>
        <v>820.86996420000003</v>
      </c>
      <c r="Q53" s="19">
        <f>Q20*Inputs!$C$60</f>
        <v>821.17586099999994</v>
      </c>
      <c r="R53" s="19">
        <f>R20*Inputs!$C$60</f>
        <v>821.115768</v>
      </c>
      <c r="S53" s="19">
        <f>S20*Inputs!$C$60</f>
        <v>821.44009860000006</v>
      </c>
      <c r="T53" s="19">
        <f>T20*Inputs!$C$60</f>
        <v>818.71259580000003</v>
      </c>
      <c r="U53" s="19">
        <f>U20*Inputs!$C$60</f>
        <v>817.46776980000004</v>
      </c>
      <c r="V53" s="19">
        <f>V20*Inputs!$C$60</f>
        <v>816.27196200000003</v>
      </c>
      <c r="W53" s="19">
        <f>W20*Inputs!$C$60</f>
        <v>815.46431340000004</v>
      </c>
      <c r="X53" s="182">
        <f>X20*Inputs!$C$60</f>
        <v>814.51375500000006</v>
      </c>
      <c r="Y53" s="19">
        <f>Y20*Inputs!$C$60</f>
        <v>813.51092459999995</v>
      </c>
      <c r="Z53" s="19">
        <f>Z20*Inputs!$C$60</f>
        <v>810.50771339999994</v>
      </c>
      <c r="AA53" s="19">
        <f>AA20*Inputs!$C$60</f>
        <v>809.52931619999993</v>
      </c>
      <c r="AB53" s="19">
        <f>AB20*Inputs!$C$60</f>
        <v>808.61372459999995</v>
      </c>
      <c r="AC53" s="19">
        <f>AC20*Inputs!$C$60</f>
        <v>807.91355699999997</v>
      </c>
      <c r="AD53" s="19">
        <f>AD20*Inputs!$C$60</f>
        <v>807.43425839999986</v>
      </c>
      <c r="AE53" s="19">
        <f>AE20*Inputs!$C$60</f>
        <v>806.36342819999993</v>
      </c>
      <c r="AF53" s="19">
        <f>AF20*Inputs!$C$60</f>
        <v>805.4162424000001</v>
      </c>
      <c r="AG53" s="19">
        <f>AG20*Inputs!$C$60</f>
        <v>804.57668939999996</v>
      </c>
      <c r="AH53" s="19">
        <f>AH20*Inputs!$C$60</f>
        <v>803.62454699999989</v>
      </c>
    </row>
    <row r="54" spans="1:34" s="20" customFormat="1" ht="15">
      <c r="A54" s="27" t="s">
        <v>222</v>
      </c>
      <c r="B54" s="39"/>
      <c r="C54" s="334">
        <f>C21*Inputs!$C$61</f>
        <v>2846.58</v>
      </c>
      <c r="D54" s="334">
        <f>D21*Inputs!$C$61</f>
        <v>2605.6799999999998</v>
      </c>
      <c r="E54" s="334">
        <f>E21*Inputs!$C$61</f>
        <v>2367.8761535000003</v>
      </c>
      <c r="F54" s="334">
        <f>F21*Inputs!$C$61</f>
        <v>2836.0685925000002</v>
      </c>
      <c r="G54" s="334">
        <f>G21*Inputs!$C$61</f>
        <v>3508.9670329999999</v>
      </c>
      <c r="H54" s="19">
        <f>H21*Inputs!$C$61</f>
        <v>3438.5866515000007</v>
      </c>
      <c r="I54" s="19">
        <f>I21*Inputs!$C$61</f>
        <v>2223.6018804999999</v>
      </c>
      <c r="J54" s="19">
        <f>J21*Inputs!$C$61</f>
        <v>2403.9132260000001</v>
      </c>
      <c r="K54" s="19">
        <f>K21*Inputs!$C$61</f>
        <v>2388.5387955000006</v>
      </c>
      <c r="L54" s="19">
        <f>L21*Inputs!$C$61</f>
        <v>2636.8837494999998</v>
      </c>
      <c r="M54" s="19">
        <f>M21*Inputs!$C$61</f>
        <v>2741.3208680000002</v>
      </c>
      <c r="N54" s="190">
        <f>N21*Inputs!$C$61</f>
        <v>2859.4653944999995</v>
      </c>
      <c r="O54" s="19">
        <f>O21*Inputs!$C$61</f>
        <v>3287.0760064999999</v>
      </c>
      <c r="P54" s="19">
        <f>P21*Inputs!$C$61</f>
        <v>3685.3759800000007</v>
      </c>
      <c r="Q54" s="19">
        <f>Q21*Inputs!$C$61</f>
        <v>3949.2826230000005</v>
      </c>
      <c r="R54" s="19">
        <f>R21*Inputs!$C$61</f>
        <v>4053.2755120000006</v>
      </c>
      <c r="S54" s="19">
        <f>S21*Inputs!$C$61</f>
        <v>4261.5688115000012</v>
      </c>
      <c r="T54" s="19">
        <f>T21*Inputs!$C$61</f>
        <v>4547.2529244999996</v>
      </c>
      <c r="U54" s="19">
        <f>U21*Inputs!$C$61</f>
        <v>4713.6437205000002</v>
      </c>
      <c r="V54" s="19">
        <f>V21*Inputs!$C$61</f>
        <v>4830.2346950000001</v>
      </c>
      <c r="W54" s="19">
        <f>W21*Inputs!$C$61</f>
        <v>5083.6040254999998</v>
      </c>
      <c r="X54" s="182">
        <f>X21*Inputs!$C$61</f>
        <v>5308.1773029999995</v>
      </c>
      <c r="Y54" s="19">
        <f>Y21*Inputs!$C$61</f>
        <v>5305.0260834999999</v>
      </c>
      <c r="Z54" s="19">
        <f>Z21*Inputs!$C$61</f>
        <v>5520.2317170000006</v>
      </c>
      <c r="AA54" s="19">
        <f>AA21*Inputs!$C$61</f>
        <v>5621.010252</v>
      </c>
      <c r="AB54" s="19">
        <f>AB21*Inputs!$C$61</f>
        <v>5672.3990895000006</v>
      </c>
      <c r="AC54" s="19">
        <f>AC21*Inputs!$C$61</f>
        <v>5739.6311114999999</v>
      </c>
      <c r="AD54" s="19">
        <f>AD21*Inputs!$C$61</f>
        <v>5702.8678849999997</v>
      </c>
      <c r="AE54" s="19">
        <f>AE21*Inputs!$C$61</f>
        <v>5720.0784354999996</v>
      </c>
      <c r="AF54" s="19">
        <f>AF21*Inputs!$C$61</f>
        <v>5811.9943310000008</v>
      </c>
      <c r="AG54" s="19">
        <f>AG21*Inputs!$C$61</f>
        <v>6029.0378719999999</v>
      </c>
      <c r="AH54" s="19">
        <f>AH21*Inputs!$C$61</f>
        <v>6221.9703975000002</v>
      </c>
    </row>
    <row r="55" spans="1:34" s="20" customFormat="1" ht="15">
      <c r="A55" s="27" t="s">
        <v>58</v>
      </c>
      <c r="B55" s="39"/>
      <c r="C55" s="334">
        <f>SUM(C52:C54)</f>
        <v>4632.3034200000002</v>
      </c>
      <c r="D55" s="334">
        <f t="shared" ref="D55:AH55" si="24">SUM(D52:D54)</f>
        <v>4382.9647999999997</v>
      </c>
      <c r="E55" s="334">
        <f t="shared" si="24"/>
        <v>4155.7854166054403</v>
      </c>
      <c r="F55" s="334">
        <f t="shared" si="24"/>
        <v>4646.4511689564215</v>
      </c>
      <c r="G55" s="334">
        <f t="shared" si="24"/>
        <v>5363.3715719677548</v>
      </c>
      <c r="H55" s="19">
        <f t="shared" si="24"/>
        <v>5374.027370230433</v>
      </c>
      <c r="I55" s="19">
        <f t="shared" si="24"/>
        <v>4180.9679658635287</v>
      </c>
      <c r="J55" s="19">
        <f t="shared" si="24"/>
        <v>4607.0515415774253</v>
      </c>
      <c r="K55" s="19">
        <f t="shared" si="24"/>
        <v>4877.2971725406651</v>
      </c>
      <c r="L55" s="19">
        <f t="shared" si="24"/>
        <v>5319.1797641042049</v>
      </c>
      <c r="M55" s="19">
        <f t="shared" si="24"/>
        <v>5473.2336951474699</v>
      </c>
      <c r="N55" s="190">
        <f t="shared" si="24"/>
        <v>5644.9226809172351</v>
      </c>
      <c r="O55" s="19">
        <f t="shared" si="24"/>
        <v>6175.6391391463276</v>
      </c>
      <c r="P55" s="19">
        <f t="shared" si="24"/>
        <v>6749.711690977656</v>
      </c>
      <c r="Q55" s="19">
        <f t="shared" si="24"/>
        <v>7220.3175636674587</v>
      </c>
      <c r="R55" s="19">
        <f t="shared" si="24"/>
        <v>7525.1666535810236</v>
      </c>
      <c r="S55" s="19">
        <f t="shared" si="24"/>
        <v>7997.8573345981422</v>
      </c>
      <c r="T55" s="19">
        <f t="shared" si="24"/>
        <v>8566.1385888368204</v>
      </c>
      <c r="U55" s="19">
        <f t="shared" si="24"/>
        <v>8964.1546858812144</v>
      </c>
      <c r="V55" s="19">
        <f t="shared" si="24"/>
        <v>9224.1232611925534</v>
      </c>
      <c r="W55" s="19">
        <f t="shared" si="24"/>
        <v>9566.2742821729335</v>
      </c>
      <c r="X55" s="182">
        <f t="shared" si="24"/>
        <v>9947.2921614407351</v>
      </c>
      <c r="Y55" s="19">
        <f t="shared" si="24"/>
        <v>10216.935460370267</v>
      </c>
      <c r="Z55" s="19">
        <f t="shared" si="24"/>
        <v>10882.866689531764</v>
      </c>
      <c r="AA55" s="19">
        <f t="shared" si="24"/>
        <v>11370.307509920176</v>
      </c>
      <c r="AB55" s="19">
        <f t="shared" si="24"/>
        <v>11805.311397926165</v>
      </c>
      <c r="AC55" s="19">
        <f t="shared" si="24"/>
        <v>12017.102576223046</v>
      </c>
      <c r="AD55" s="19">
        <f t="shared" si="24"/>
        <v>12094.083644131117</v>
      </c>
      <c r="AE55" s="19">
        <f t="shared" si="24"/>
        <v>12213.054065095115</v>
      </c>
      <c r="AF55" s="19">
        <f t="shared" si="24"/>
        <v>12455.096227763177</v>
      </c>
      <c r="AG55" s="19">
        <f t="shared" si="24"/>
        <v>12858.99298578985</v>
      </c>
      <c r="AH55" s="19">
        <f t="shared" si="24"/>
        <v>13139.243413337746</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332.23364999999995</v>
      </c>
      <c r="D60" s="331">
        <f>D42*Inputs!$H48</f>
        <v>291.19364999999993</v>
      </c>
      <c r="E60" s="331">
        <f>E42*Inputs!$H48</f>
        <v>340.93820837315343</v>
      </c>
      <c r="F60" s="331">
        <f>F42*Inputs!$H48</f>
        <v>320.4747068467484</v>
      </c>
      <c r="G60" s="331">
        <f>G42*Inputs!$H48</f>
        <v>263.56061345512779</v>
      </c>
      <c r="H60" s="14">
        <f>H42*Inputs!$H48</f>
        <v>269.16651920827883</v>
      </c>
      <c r="I60" s="14">
        <f>I42*Inputs!$H48</f>
        <v>273.60093247634683</v>
      </c>
      <c r="J60" s="14">
        <f>J42*Inputs!$H48</f>
        <v>278.43260785454765</v>
      </c>
      <c r="K60" s="14">
        <f>K42*Inputs!$H48</f>
        <v>281.82976519450915</v>
      </c>
      <c r="L60" s="14">
        <f>L42*Inputs!$H48</f>
        <v>280.6214323185248</v>
      </c>
      <c r="M60" s="14">
        <f>M42*Inputs!$H48</f>
        <v>280.62152479255076</v>
      </c>
      <c r="N60" s="190">
        <f>N42*Inputs!$H48</f>
        <v>280.6214323185248</v>
      </c>
      <c r="O60" s="14">
        <f>O42*Inputs!$H48</f>
        <v>282.07268605376612</v>
      </c>
      <c r="P60" s="14">
        <f>P42*Inputs!$H48</f>
        <v>282.07259357974033</v>
      </c>
      <c r="Q60" s="14">
        <f>Q42*Inputs!$H48</f>
        <v>282.0725620545042</v>
      </c>
      <c r="R60" s="14">
        <f>R42*Inputs!$H48</f>
        <v>282.0725620545042</v>
      </c>
      <c r="S60" s="14">
        <f>S42*Inputs!$H48</f>
        <v>282.0725620545042</v>
      </c>
      <c r="T60" s="14">
        <f>T42*Inputs!$H48</f>
        <v>282.07252842758567</v>
      </c>
      <c r="U60" s="14">
        <f>U42*Inputs!$H48</f>
        <v>282.07252842758567</v>
      </c>
      <c r="V60" s="14">
        <f>V42*Inputs!$H48</f>
        <v>282.07252842758567</v>
      </c>
      <c r="W60" s="14">
        <f>W42*Inputs!$H48</f>
        <v>283.77632872750507</v>
      </c>
      <c r="X60" s="187">
        <f>X42*Inputs!$H48</f>
        <v>283.77632872750507</v>
      </c>
      <c r="Y60" s="14">
        <f>Y42*Inputs!$H48</f>
        <v>284.14598944259529</v>
      </c>
      <c r="Z60" s="14">
        <f>Z42*Inputs!$H48</f>
        <v>284.14599154427765</v>
      </c>
      <c r="AA60" s="14">
        <f>AA42*Inputs!$H48</f>
        <v>284.14599154427765</v>
      </c>
      <c r="AB60" s="14">
        <f>AB42*Inputs!$H48</f>
        <v>284.14599154427765</v>
      </c>
      <c r="AC60" s="14">
        <f>AC42*Inputs!$H48</f>
        <v>284.68991535777388</v>
      </c>
      <c r="AD60" s="14">
        <f>AD42*Inputs!$H48</f>
        <v>284.69000993348214</v>
      </c>
      <c r="AE60" s="14">
        <f>AE42*Inputs!$H48</f>
        <v>284.6899447813276</v>
      </c>
      <c r="AF60" s="14">
        <f>AF42*Inputs!$H48</f>
        <v>284.68984810393687</v>
      </c>
      <c r="AG60" s="14">
        <f>AG42*Inputs!$H48</f>
        <v>286.00365391148438</v>
      </c>
      <c r="AH60" s="14">
        <f>AH42*Inputs!$H48</f>
        <v>286.00362448793072</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0.189</v>
      </c>
      <c r="D62" s="331">
        <f>D44*Inputs!$H46</f>
        <v>0</v>
      </c>
      <c r="E62" s="331">
        <f>E44*Inputs!$H46</f>
        <v>3.8568377908343124E-2</v>
      </c>
      <c r="F62" s="331">
        <f>F44*Inputs!$H46</f>
        <v>3.7335532314923613E-2</v>
      </c>
      <c r="G62" s="331">
        <f>G44*Inputs!$H46</f>
        <v>3.6694546180963572E-2</v>
      </c>
      <c r="H62" s="14">
        <f>H44*Inputs!$H46</f>
        <v>3.9213361692126907E-2</v>
      </c>
      <c r="I62" s="14">
        <f>I44*Inputs!$H46</f>
        <v>3.8873132079905982E-2</v>
      </c>
      <c r="J62" s="14">
        <f>J44*Inputs!$H46</f>
        <v>4.2109851468860163E-2</v>
      </c>
      <c r="K62" s="14">
        <f>K44*Inputs!$H46</f>
        <v>4.609242867215041E-2</v>
      </c>
      <c r="L62" s="14">
        <f>L44*Inputs!$H46</f>
        <v>5.6320075205640412E-2</v>
      </c>
      <c r="M62" s="14">
        <f>M44*Inputs!$H46</f>
        <v>6.2837384488836676E-2</v>
      </c>
      <c r="N62" s="190">
        <f>N44*Inputs!$H46</f>
        <v>6.3949338190364274E-2</v>
      </c>
      <c r="O62" s="14">
        <f>O44*Inputs!$H46</f>
        <v>6.7094111633372505E-2</v>
      </c>
      <c r="P62" s="14">
        <f>P44*Inputs!$H46</f>
        <v>6.8667379318448879E-2</v>
      </c>
      <c r="Q62" s="14">
        <f>Q44*Inputs!$H46</f>
        <v>6.9796626556991773E-2</v>
      </c>
      <c r="R62" s="14">
        <f>R44*Inputs!$H46</f>
        <v>7.213199435957697E-2</v>
      </c>
      <c r="S62" s="14">
        <f>S44*Inputs!$H46</f>
        <v>7.3024491891891891E-2</v>
      </c>
      <c r="T62" s="14">
        <f>T44*Inputs!$H46</f>
        <v>7.7211733960046991E-2</v>
      </c>
      <c r="U62" s="14">
        <f>U44*Inputs!$H46</f>
        <v>7.8796461574618101E-2</v>
      </c>
      <c r="V62" s="14">
        <f>V44*Inputs!$H46</f>
        <v>7.9444406580493523E-2</v>
      </c>
      <c r="W62" s="14">
        <f>W44*Inputs!$H46</f>
        <v>8.0796722679200933E-2</v>
      </c>
      <c r="X62" s="187">
        <f>X44*Inputs!$H46</f>
        <v>8.1940657579318441E-2</v>
      </c>
      <c r="Y62" s="14">
        <f>Y44*Inputs!$H46</f>
        <v>8.3364664864864851E-2</v>
      </c>
      <c r="Z62" s="14">
        <f>Z44*Inputs!$H46</f>
        <v>8.8243130199764985E-2</v>
      </c>
      <c r="AA62" s="14">
        <f>AA44*Inputs!$H46</f>
        <v>8.9845788014101036E-2</v>
      </c>
      <c r="AB62" s="14">
        <f>AB44*Inputs!$H46</f>
        <v>9.1886499412455927E-2</v>
      </c>
      <c r="AC62" s="14">
        <f>AC44*Inputs!$H46</f>
        <v>9.4071555581668603E-2</v>
      </c>
      <c r="AD62" s="14">
        <f>AD44*Inputs!$H46</f>
        <v>9.6074703877790824E-2</v>
      </c>
      <c r="AE62" s="14">
        <f>AE44*Inputs!$H46</f>
        <v>0.10018898143360749</v>
      </c>
      <c r="AF62" s="14">
        <f>AF44*Inputs!$H46</f>
        <v>0.10232375605170387</v>
      </c>
      <c r="AG62" s="14">
        <f>AG44*Inputs!$H46</f>
        <v>0.10502060023501759</v>
      </c>
      <c r="AH62" s="14">
        <f>AH44*Inputs!$H46</f>
        <v>0.10786190763807284</v>
      </c>
    </row>
    <row r="63" spans="1:34" ht="15">
      <c r="A63" s="8" t="s">
        <v>50</v>
      </c>
      <c r="B63" s="34">
        <v>1</v>
      </c>
      <c r="C63" s="331">
        <f>C45*Inputs!$H49</f>
        <v>367.42500000000001</v>
      </c>
      <c r="D63" s="331">
        <f>D45*Inputs!$H49</f>
        <v>465.75</v>
      </c>
      <c r="E63" s="331">
        <f>E45*Inputs!$H49</f>
        <v>372.79298715675219</v>
      </c>
      <c r="F63" s="331">
        <f>F45*Inputs!$H49</f>
        <v>387.67418111695008</v>
      </c>
      <c r="G63" s="331">
        <f>G45*Inputs!$H49</f>
        <v>460.49186963949535</v>
      </c>
      <c r="H63" s="14">
        <f>H45*Inputs!$H49</f>
        <v>502.32080723169418</v>
      </c>
      <c r="I63" s="14">
        <f>I45*Inputs!$H49</f>
        <v>502.32080723169418</v>
      </c>
      <c r="J63" s="14">
        <f>J45*Inputs!$H49</f>
        <v>654.87708417550436</v>
      </c>
      <c r="K63" s="14">
        <f>K45*Inputs!$H49</f>
        <v>876.74824552507471</v>
      </c>
      <c r="L63" s="14">
        <f>L45*Inputs!$H49</f>
        <v>1021.9562652051545</v>
      </c>
      <c r="M63" s="14">
        <f>M45*Inputs!$H49</f>
        <v>1058.5666733307723</v>
      </c>
      <c r="N63" s="190">
        <f>N45*Inputs!$H49</f>
        <v>1060.8753570245206</v>
      </c>
      <c r="O63" s="14">
        <f>O45*Inputs!$H49</f>
        <v>1137.0829052173838</v>
      </c>
      <c r="P63" s="14">
        <f>P45*Inputs!$H49</f>
        <v>1266.1911900933708</v>
      </c>
      <c r="Q63" s="14">
        <f>Q45*Inputs!$H49</f>
        <v>1422.5469411104802</v>
      </c>
      <c r="R63" s="14">
        <f>R45*Inputs!$H49</f>
        <v>1587.2729821611254</v>
      </c>
      <c r="S63" s="14">
        <f>S45*Inputs!$H49</f>
        <v>1727.0073934473835</v>
      </c>
      <c r="T63" s="14">
        <f>T45*Inputs!$H49</f>
        <v>1900.5789688156003</v>
      </c>
      <c r="U63" s="14">
        <f>U45*Inputs!$H49</f>
        <v>2057.3443342356913</v>
      </c>
      <c r="V63" s="14">
        <f>V45*Inputs!$H49</f>
        <v>2142.3352209867539</v>
      </c>
      <c r="W63" s="14">
        <f>W45*Inputs!$H49</f>
        <v>2162.5083964606438</v>
      </c>
      <c r="X63" s="187">
        <f>X45*Inputs!$H49</f>
        <v>2243.2865698292048</v>
      </c>
      <c r="Y63" s="14">
        <f>Y45*Inputs!$H49</f>
        <v>2446.9637545015921</v>
      </c>
      <c r="Z63" s="14">
        <f>Z45*Inputs!$H49</f>
        <v>2776.7983596014737</v>
      </c>
      <c r="AA63" s="14">
        <f>AA45*Inputs!$H49</f>
        <v>3061.7816184589333</v>
      </c>
      <c r="AB63" s="14">
        <f>AB45*Inputs!$H49</f>
        <v>3347.2674037893562</v>
      </c>
      <c r="AC63" s="14">
        <f>AC45*Inputs!$H49</f>
        <v>3425.5424840199971</v>
      </c>
      <c r="AD63" s="14">
        <f>AD45*Inputs!$H49</f>
        <v>3492.631294436942</v>
      </c>
      <c r="AE63" s="14">
        <f>AE45*Inputs!$H49</f>
        <v>3543.9345921838003</v>
      </c>
      <c r="AF63" s="14">
        <f>AF45*Inputs!$H49</f>
        <v>3624.8243745070631</v>
      </c>
      <c r="AG63" s="14">
        <f>AG45*Inputs!$H49</f>
        <v>3716.0209099240669</v>
      </c>
      <c r="AH63" s="14">
        <f>AH45*Inputs!$H49</f>
        <v>3727.1228529719879</v>
      </c>
    </row>
    <row r="64" spans="1:34" ht="15">
      <c r="A64" s="8" t="s">
        <v>51</v>
      </c>
      <c r="B64" s="34">
        <v>1</v>
      </c>
      <c r="C64" s="331">
        <f>C46*Inputs!$H52</f>
        <v>0</v>
      </c>
      <c r="D64" s="331">
        <f>D46*Inputs!$H52</f>
        <v>0</v>
      </c>
      <c r="E64" s="331">
        <f>E46*Inputs!$H52</f>
        <v>8.4714390000000005E-4</v>
      </c>
      <c r="F64" s="331">
        <f>F46*Inputs!$H52</f>
        <v>9.9422505000000029E-4</v>
      </c>
      <c r="G64" s="331">
        <f>G46*Inputs!$H52</f>
        <v>1.1862760500000002E-3</v>
      </c>
      <c r="H64" s="14">
        <f>H46*Inputs!$H52</f>
        <v>1.0602832499999998E-3</v>
      </c>
      <c r="I64" s="14">
        <f>I46*Inputs!$H52</f>
        <v>1.1849166000000003E-3</v>
      </c>
      <c r="J64" s="14">
        <f>J46*Inputs!$H52</f>
        <v>1.0602036E-3</v>
      </c>
      <c r="K64" s="14">
        <f>K46*Inputs!$H52</f>
        <v>1.1777089500000001E-3</v>
      </c>
      <c r="L64" s="14">
        <f>L46*Inputs!$H52</f>
        <v>9.2586510000000014E-4</v>
      </c>
      <c r="M64" s="14">
        <f>M46*Inputs!$H52</f>
        <v>1.1958219E-3</v>
      </c>
      <c r="N64" s="190">
        <f>N46*Inputs!$H52</f>
        <v>1.3181440500000001E-3</v>
      </c>
      <c r="O64" s="14">
        <f>O46*Inputs!$H52</f>
        <v>1.1959272000000001E-3</v>
      </c>
      <c r="P64" s="14">
        <f>P46*Inputs!$H52</f>
        <v>1.0616899500000003E-3</v>
      </c>
      <c r="Q64" s="14">
        <f>Q46*Inputs!$H52</f>
        <v>1.184058E-3</v>
      </c>
      <c r="R64" s="14">
        <f>R46*Inputs!$H52</f>
        <v>1.3222858499999999E-3</v>
      </c>
      <c r="S64" s="14">
        <f>S46*Inputs!$H52</f>
        <v>1.0591033500000002E-3</v>
      </c>
      <c r="T64" s="14">
        <f>T46*Inputs!$H52</f>
        <v>1.1796300000000001E-3</v>
      </c>
      <c r="U64" s="14">
        <f>U46*Inputs!$H52</f>
        <v>1.1790211500000002E-3</v>
      </c>
      <c r="V64" s="14">
        <f>V46*Inputs!$H52</f>
        <v>1.19539395E-3</v>
      </c>
      <c r="W64" s="14">
        <f>W46*Inputs!$H52</f>
        <v>1.0429370999999999E-3</v>
      </c>
      <c r="X64" s="187">
        <f>X46*Inputs!$H52</f>
        <v>1.04829525E-3</v>
      </c>
      <c r="Y64" s="14">
        <f>Y46*Inputs!$H52</f>
        <v>1.1852379000000001E-3</v>
      </c>
      <c r="Z64" s="14">
        <f>Z46*Inputs!$H52</f>
        <v>1.0409269499999999E-3</v>
      </c>
      <c r="AA64" s="14">
        <f>AA46*Inputs!$H52</f>
        <v>1.1771784E-3</v>
      </c>
      <c r="AB64" s="14">
        <f>AB46*Inputs!$H52</f>
        <v>1.1788011000000002E-3</v>
      </c>
      <c r="AC64" s="14">
        <f>AC46*Inputs!$H52</f>
        <v>1.0386130500000001E-3</v>
      </c>
      <c r="AD64" s="14">
        <f>AD46*Inputs!$H52</f>
        <v>1.1757244500000001E-3</v>
      </c>
      <c r="AE64" s="14">
        <f>AE46*Inputs!$H52</f>
        <v>1.0374966000000002E-3</v>
      </c>
      <c r="AF64" s="14">
        <f>AF46*Inputs!$H52</f>
        <v>1.0390423500000001E-3</v>
      </c>
      <c r="AG64" s="14">
        <f>AG46*Inputs!$H52</f>
        <v>1.0385469000000001E-3</v>
      </c>
      <c r="AH64" s="14">
        <f>AH46*Inputs!$H52</f>
        <v>1.0598809500000001E-3</v>
      </c>
    </row>
    <row r="65" spans="1:34" ht="15">
      <c r="A65" s="8" t="s">
        <v>347</v>
      </c>
      <c r="B65" s="34">
        <v>1</v>
      </c>
      <c r="C65" s="331">
        <f>C47*Inputs!$H54</f>
        <v>160.84099799999998</v>
      </c>
      <c r="D65" s="331">
        <f>D47*Inputs!$H54</f>
        <v>149.90724</v>
      </c>
      <c r="E65" s="331">
        <f>E47*Inputs!$H54</f>
        <v>178.2271965492933</v>
      </c>
      <c r="F65" s="331">
        <f>F47*Inputs!$H54</f>
        <v>202.04260049428586</v>
      </c>
      <c r="G65" s="331">
        <f>G47*Inputs!$H54</f>
        <v>278.73918721269035</v>
      </c>
      <c r="H65" s="14">
        <f>H47*Inputs!$H54</f>
        <v>278.61553295562885</v>
      </c>
      <c r="I65" s="14">
        <f>I47*Inputs!$H54</f>
        <v>236.41916329744501</v>
      </c>
      <c r="J65" s="14">
        <f>J47*Inputs!$H54</f>
        <v>304.56500046585393</v>
      </c>
      <c r="K65" s="14">
        <f>K47*Inputs!$H54</f>
        <v>314.04470711336234</v>
      </c>
      <c r="L65" s="14">
        <f>L47*Inputs!$H54</f>
        <v>339.2984719284097</v>
      </c>
      <c r="M65" s="14">
        <f>M47*Inputs!$H54</f>
        <v>348.82729725001354</v>
      </c>
      <c r="N65" s="190">
        <f>N47*Inputs!$H54</f>
        <v>394.16889944244997</v>
      </c>
      <c r="O65" s="14">
        <f>O47*Inputs!$H54</f>
        <v>432.02640060004387</v>
      </c>
      <c r="P65" s="14">
        <f>P47*Inputs!$H54</f>
        <v>470.77566597650673</v>
      </c>
      <c r="Q65" s="14">
        <f>Q47*Inputs!$H54</f>
        <v>500.17269567489041</v>
      </c>
      <c r="R65" s="14">
        <f>R47*Inputs!$H54</f>
        <v>516.26884564504894</v>
      </c>
      <c r="S65" s="14">
        <f>S47*Inputs!$H54</f>
        <v>614.1995455631245</v>
      </c>
      <c r="T65" s="14">
        <f>T47*Inputs!$H54</f>
        <v>697.41586739700256</v>
      </c>
      <c r="U65" s="14">
        <f>U47*Inputs!$H54</f>
        <v>750.23202430054653</v>
      </c>
      <c r="V65" s="14">
        <f>V47*Inputs!$H54</f>
        <v>795.35653732365404</v>
      </c>
      <c r="W65" s="14">
        <f>W47*Inputs!$H54</f>
        <v>854.10876542106541</v>
      </c>
      <c r="X65" s="187">
        <f>X47*Inputs!$H54</f>
        <v>914.98508031280926</v>
      </c>
      <c r="Y65" s="14">
        <f>Y47*Inputs!$H54</f>
        <v>957.35427991395477</v>
      </c>
      <c r="Z65" s="14">
        <f>Z47*Inputs!$H54</f>
        <v>1035.870856820806</v>
      </c>
      <c r="AA65" s="14">
        <f>AA47*Inputs!$H54</f>
        <v>1099.7624649813517</v>
      </c>
      <c r="AB65" s="14">
        <f>AB47*Inputs!$H54</f>
        <v>1160.3521800362976</v>
      </c>
      <c r="AC65" s="14">
        <f>AC47*Inputs!$H54</f>
        <v>1212.264498248084</v>
      </c>
      <c r="AD65" s="14">
        <f>AD47*Inputs!$H54</f>
        <v>1247.9742246888975</v>
      </c>
      <c r="AE65" s="14">
        <f>AE47*Inputs!$H54</f>
        <v>1289.2141145322601</v>
      </c>
      <c r="AF65" s="14">
        <f>AF47*Inputs!$H54</f>
        <v>1344.2882544301115</v>
      </c>
      <c r="AG65" s="14">
        <f>AG47*Inputs!$H54</f>
        <v>1420.6986579797142</v>
      </c>
      <c r="AH65" s="14">
        <f>AH47*Inputs!$H54</f>
        <v>1489.0368307331009</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v>
      </c>
      <c r="E68" s="331">
        <f>E50*Inputs!$H57</f>
        <v>3.6723538890000001E-3</v>
      </c>
      <c r="F68" s="331">
        <f>F50*Inputs!$H57</f>
        <v>4.19163543E-3</v>
      </c>
      <c r="G68" s="331">
        <f>G50*Inputs!$H57</f>
        <v>4.9323214349999995E-3</v>
      </c>
      <c r="H68" s="14">
        <f>H50*Inputs!$H57</f>
        <v>4.9476168450000007E-3</v>
      </c>
      <c r="I68" s="14">
        <f>I50*Inputs!$H57</f>
        <v>5.2936730100000004E-3</v>
      </c>
      <c r="J68" s="14">
        <f>J50*Inputs!$H57</f>
        <v>5.4918487079999995E-3</v>
      </c>
      <c r="K68" s="14">
        <f>K50*Inputs!$H57</f>
        <v>5.4921660300000005E-3</v>
      </c>
      <c r="L68" s="14">
        <f>L50*Inputs!$H57</f>
        <v>5.4920313900000016E-3</v>
      </c>
      <c r="M68" s="14">
        <f>M50*Inputs!$H57</f>
        <v>5.4917129970000001E-3</v>
      </c>
      <c r="N68" s="190">
        <f>N50*Inputs!$H57</f>
        <v>5.4916277759999993E-3</v>
      </c>
      <c r="O68" s="14">
        <f>O50*Inputs!$H57</f>
        <v>5.4915916680000005E-3</v>
      </c>
      <c r="P68" s="14">
        <f>P50*Inputs!$H57</f>
        <v>5.4933810030000007E-3</v>
      </c>
      <c r="Q68" s="14">
        <f>Q50*Inputs!$H57</f>
        <v>5.4921762810000007E-3</v>
      </c>
      <c r="R68" s="14">
        <f>R50*Inputs!$H57</f>
        <v>5.492082033E-3</v>
      </c>
      <c r="S68" s="14">
        <f>S50*Inputs!$H57</f>
        <v>5.4973880729999999E-3</v>
      </c>
      <c r="T68" s="14">
        <f>T50*Inputs!$H57</f>
        <v>5.5056789900000012E-3</v>
      </c>
      <c r="U68" s="14">
        <f>U50*Inputs!$H57</f>
        <v>5.5135765440000005E-3</v>
      </c>
      <c r="V68" s="14">
        <f>V50*Inputs!$H57</f>
        <v>5.5172347739999997E-3</v>
      </c>
      <c r="W68" s="14">
        <f>W50*Inputs!$H57</f>
        <v>5.518676646000001E-3</v>
      </c>
      <c r="X68" s="187">
        <f>X50*Inputs!$H57</f>
        <v>5.5252743119999998E-3</v>
      </c>
      <c r="Y68" s="14">
        <f>Y50*Inputs!$H57</f>
        <v>5.533282332E-3</v>
      </c>
      <c r="Z68" s="14">
        <f>Z50*Inputs!$H57</f>
        <v>5.5411948800000001E-3</v>
      </c>
      <c r="AA68" s="14">
        <f>AA50*Inputs!$H57</f>
        <v>5.5495971810000022E-3</v>
      </c>
      <c r="AB68" s="14">
        <f>AB50*Inputs!$H57</f>
        <v>5.5847731049999995E-3</v>
      </c>
      <c r="AC68" s="14">
        <f>AC50*Inputs!$H57</f>
        <v>5.6091562560000013E-3</v>
      </c>
      <c r="AD68" s="14">
        <f>AD50*Inputs!$H57</f>
        <v>6.0711703560000002E-3</v>
      </c>
      <c r="AE68" s="14">
        <f>AE50*Inputs!$H57</f>
        <v>6.6032801820000006E-3</v>
      </c>
      <c r="AF68" s="14">
        <f>AF50*Inputs!$H57</f>
        <v>6.7490873460000003E-3</v>
      </c>
      <c r="AG68" s="14">
        <f>AG50*Inputs!$H57</f>
        <v>6.8009884650000003E-3</v>
      </c>
      <c r="AH68" s="14">
        <f>AH50*Inputs!$H57</f>
        <v>6.8919723629999995E-3</v>
      </c>
    </row>
    <row r="69" spans="1:34" s="20" customFormat="1" ht="15">
      <c r="A69" s="8" t="s">
        <v>128</v>
      </c>
      <c r="B69" s="38"/>
      <c r="C69" s="334">
        <f t="shared" ref="C69:AH69" si="25">SUMPRODUCT($B60:$B68,C60:C68)</f>
        <v>528.45742800000005</v>
      </c>
      <c r="D69" s="334">
        <f t="shared" si="25"/>
        <v>615.65967000000001</v>
      </c>
      <c r="E69" s="334">
        <f t="shared" si="25"/>
        <v>551.06777158174282</v>
      </c>
      <c r="F69" s="334">
        <f t="shared" si="25"/>
        <v>589.76380300403082</v>
      </c>
      <c r="G69" s="334">
        <f t="shared" si="25"/>
        <v>739.27836999585179</v>
      </c>
      <c r="H69" s="19">
        <f t="shared" si="25"/>
        <v>780.98606144911025</v>
      </c>
      <c r="I69" s="19">
        <f t="shared" si="25"/>
        <v>738.78982225082905</v>
      </c>
      <c r="J69" s="19">
        <f t="shared" si="25"/>
        <v>959.49524654513505</v>
      </c>
      <c r="K69" s="19">
        <f t="shared" si="25"/>
        <v>1190.8502149420892</v>
      </c>
      <c r="L69" s="19">
        <f t="shared" si="25"/>
        <v>1361.32197510526</v>
      </c>
      <c r="M69" s="19">
        <f t="shared" si="25"/>
        <v>1407.4679955001716</v>
      </c>
      <c r="N69" s="190">
        <f t="shared" si="25"/>
        <v>1455.1195155769872</v>
      </c>
      <c r="O69" s="19">
        <f t="shared" si="25"/>
        <v>1569.187587447929</v>
      </c>
      <c r="P69" s="19">
        <f t="shared" si="25"/>
        <v>1737.0465785201486</v>
      </c>
      <c r="Q69" s="19">
        <f t="shared" si="25"/>
        <v>1922.8006096462088</v>
      </c>
      <c r="R69" s="19">
        <f t="shared" si="25"/>
        <v>2103.6252741684166</v>
      </c>
      <c r="S69" s="19">
        <f t="shared" si="25"/>
        <v>2341.2910199938228</v>
      </c>
      <c r="T69" s="19">
        <f t="shared" si="25"/>
        <v>2598.0832332555533</v>
      </c>
      <c r="U69" s="19">
        <f t="shared" si="25"/>
        <v>2807.666347595507</v>
      </c>
      <c r="V69" s="19">
        <f t="shared" si="25"/>
        <v>2937.7824153457123</v>
      </c>
      <c r="W69" s="19">
        <f t="shared" si="25"/>
        <v>3016.7090202181344</v>
      </c>
      <c r="X69" s="182">
        <f t="shared" si="25"/>
        <v>3158.364664369155</v>
      </c>
      <c r="Y69" s="19">
        <f t="shared" si="25"/>
        <v>3404.4126176006439</v>
      </c>
      <c r="Z69" s="19">
        <f t="shared" si="25"/>
        <v>3812.7685416743093</v>
      </c>
      <c r="AA69" s="19">
        <f t="shared" si="25"/>
        <v>4161.6451560038795</v>
      </c>
      <c r="AB69" s="19">
        <f t="shared" si="25"/>
        <v>4507.7227338992698</v>
      </c>
      <c r="AC69" s="19">
        <f t="shared" si="25"/>
        <v>4637.912201592967</v>
      </c>
      <c r="AD69" s="19">
        <f t="shared" si="25"/>
        <v>4740.7133407245228</v>
      </c>
      <c r="AE69" s="19">
        <f t="shared" si="25"/>
        <v>4833.2610364742759</v>
      </c>
      <c r="AF69" s="19">
        <f t="shared" si="25"/>
        <v>4969.2272408229219</v>
      </c>
      <c r="AG69" s="19">
        <f t="shared" si="25"/>
        <v>5136.8369280393808</v>
      </c>
      <c r="AH69" s="19">
        <f t="shared" si="25"/>
        <v>5216.2799974660384</v>
      </c>
    </row>
    <row r="70" spans="1:34" s="20" customFormat="1" ht="15">
      <c r="A70" s="27" t="s">
        <v>329</v>
      </c>
      <c r="B70" s="39"/>
      <c r="C70" s="334">
        <f>SUM(C58:C68)</f>
        <v>860.69107799999995</v>
      </c>
      <c r="D70" s="334">
        <f t="shared" ref="D70:AH70" si="26">SUM(D58:D68)</f>
        <v>906.85331999999994</v>
      </c>
      <c r="E70" s="334">
        <f t="shared" si="26"/>
        <v>892.00597995489625</v>
      </c>
      <c r="F70" s="334">
        <f t="shared" si="26"/>
        <v>910.23850985077922</v>
      </c>
      <c r="G70" s="334">
        <f t="shared" si="26"/>
        <v>1002.8389834509795</v>
      </c>
      <c r="H70" s="19">
        <f t="shared" si="26"/>
        <v>1050.1525806573889</v>
      </c>
      <c r="I70" s="19">
        <f t="shared" si="26"/>
        <v>1012.3907547271759</v>
      </c>
      <c r="J70" s="19">
        <f t="shared" si="26"/>
        <v>1237.9278543996829</v>
      </c>
      <c r="K70" s="19">
        <f t="shared" si="26"/>
        <v>1472.6799801365985</v>
      </c>
      <c r="L70" s="19">
        <f t="shared" si="26"/>
        <v>1641.9434074237847</v>
      </c>
      <c r="M70" s="19">
        <f t="shared" si="26"/>
        <v>1688.0895202927225</v>
      </c>
      <c r="N70" s="182">
        <f t="shared" si="26"/>
        <v>1735.7409478955117</v>
      </c>
      <c r="O70" s="19">
        <f t="shared" si="26"/>
        <v>1851.2602735016951</v>
      </c>
      <c r="P70" s="19">
        <f t="shared" si="26"/>
        <v>2019.1191720998891</v>
      </c>
      <c r="Q70" s="19">
        <f t="shared" si="26"/>
        <v>2204.8731717007131</v>
      </c>
      <c r="R70" s="19">
        <f t="shared" si="26"/>
        <v>2385.6978362229211</v>
      </c>
      <c r="S70" s="19">
        <f t="shared" si="26"/>
        <v>2623.3635820483269</v>
      </c>
      <c r="T70" s="19">
        <f t="shared" si="26"/>
        <v>2880.1557616831392</v>
      </c>
      <c r="U70" s="19">
        <f t="shared" si="26"/>
        <v>3089.7388760230924</v>
      </c>
      <c r="V70" s="19">
        <f t="shared" si="26"/>
        <v>3219.8549437732981</v>
      </c>
      <c r="W70" s="19">
        <f t="shared" si="26"/>
        <v>3300.4853489456395</v>
      </c>
      <c r="X70" s="182">
        <f t="shared" si="26"/>
        <v>3442.1409930966602</v>
      </c>
      <c r="Y70" s="19">
        <f t="shared" si="26"/>
        <v>3688.5586070432391</v>
      </c>
      <c r="Z70" s="19">
        <f t="shared" si="26"/>
        <v>4096.9145332185853</v>
      </c>
      <c r="AA70" s="19">
        <f t="shared" si="26"/>
        <v>4445.7911475481569</v>
      </c>
      <c r="AB70" s="19">
        <f t="shared" si="26"/>
        <v>4791.8687254435481</v>
      </c>
      <c r="AC70" s="19">
        <f t="shared" si="26"/>
        <v>4922.6021169507412</v>
      </c>
      <c r="AD70" s="19">
        <f t="shared" si="26"/>
        <v>5025.4033506580054</v>
      </c>
      <c r="AE70" s="19">
        <f t="shared" si="26"/>
        <v>5117.9509812556034</v>
      </c>
      <c r="AF70" s="19">
        <f t="shared" si="26"/>
        <v>5253.9170889268589</v>
      </c>
      <c r="AG70" s="19">
        <f t="shared" si="26"/>
        <v>5422.8405819508653</v>
      </c>
      <c r="AH70" s="19">
        <f t="shared" si="26"/>
        <v>5502.2836219539686</v>
      </c>
    </row>
    <row r="71" spans="1:34" s="20" customFormat="1" ht="15">
      <c r="A71" s="27" t="s">
        <v>142</v>
      </c>
      <c r="B71" s="39"/>
      <c r="C71" s="334">
        <f>C53*Inputs!$H$60</f>
        <v>746.46</v>
      </c>
      <c r="D71" s="334">
        <f>D53*Inputs!$H$60</f>
        <v>692.70299999999997</v>
      </c>
      <c r="E71" s="334">
        <f>E53*Inputs!$H$60</f>
        <v>717.11235683999996</v>
      </c>
      <c r="F71" s="334">
        <f>F53*Inputs!$H$60</f>
        <v>719.10580895999999</v>
      </c>
      <c r="G71" s="334">
        <f>G53*Inputs!$H$60</f>
        <v>666.12510162000001</v>
      </c>
      <c r="H71" s="19">
        <f>H53*Inputs!$H$60</f>
        <v>691.74406620000002</v>
      </c>
      <c r="I71" s="19">
        <f>I53*Inputs!$H$60</f>
        <v>749.23872210000002</v>
      </c>
      <c r="J71" s="19">
        <f>J53*Inputs!$H$60</f>
        <v>744.89662962</v>
      </c>
      <c r="K71" s="19">
        <f>K53*Inputs!$H$60</f>
        <v>767.20255920000011</v>
      </c>
      <c r="L71" s="19">
        <f>L53*Inputs!$H$60</f>
        <v>772.12300571999992</v>
      </c>
      <c r="M71" s="19">
        <f>M53*Inputs!$H$60</f>
        <v>770.63202413999988</v>
      </c>
      <c r="N71" s="190">
        <f>N53*Inputs!$H$60</f>
        <v>771.17060988000003</v>
      </c>
      <c r="O71" s="19">
        <f>O53*Inputs!$H$60</f>
        <v>748.44654588000003</v>
      </c>
      <c r="P71" s="19">
        <f>P53*Inputs!$H$60</f>
        <v>738.78296778000004</v>
      </c>
      <c r="Q71" s="19">
        <f>Q53*Inputs!$H$60</f>
        <v>739.05827490000001</v>
      </c>
      <c r="R71" s="19">
        <f>R53*Inputs!$H$60</f>
        <v>739.00419120000004</v>
      </c>
      <c r="S71" s="19">
        <f>S53*Inputs!$H$60</f>
        <v>739.29608874000007</v>
      </c>
      <c r="T71" s="19">
        <f>T53*Inputs!$H$60</f>
        <v>736.84133622000002</v>
      </c>
      <c r="U71" s="19">
        <f>U53*Inputs!$H$60</f>
        <v>735.72099282000011</v>
      </c>
      <c r="V71" s="19">
        <f>V53*Inputs!$H$60</f>
        <v>734.64476580000007</v>
      </c>
      <c r="W71" s="19">
        <f>W53*Inputs!$H$60</f>
        <v>733.91788206000001</v>
      </c>
      <c r="X71" s="182">
        <f>X53*Inputs!$H$60</f>
        <v>733.06237950000002</v>
      </c>
      <c r="Y71" s="19">
        <f>Y53*Inputs!$H$60</f>
        <v>732.15983213999993</v>
      </c>
      <c r="Z71" s="19">
        <f>Z53*Inputs!$H$60</f>
        <v>729.45694205999996</v>
      </c>
      <c r="AA71" s="19">
        <f>AA53*Inputs!$H$60</f>
        <v>728.57638457999997</v>
      </c>
      <c r="AB71" s="19">
        <f>AB53*Inputs!$H$60</f>
        <v>727.75235213999997</v>
      </c>
      <c r="AC71" s="19">
        <f>AC53*Inputs!$H$60</f>
        <v>727.12220130000003</v>
      </c>
      <c r="AD71" s="19">
        <f>AD53*Inputs!$H$60</f>
        <v>726.69083255999988</v>
      </c>
      <c r="AE71" s="19">
        <f>AE53*Inputs!$H$60</f>
        <v>725.72708537999995</v>
      </c>
      <c r="AF71" s="19">
        <f>AF53*Inputs!$H$60</f>
        <v>724.87461816000007</v>
      </c>
      <c r="AG71" s="19">
        <f>AG53*Inputs!$H$60</f>
        <v>724.11902046</v>
      </c>
      <c r="AH71" s="19">
        <f>AH53*Inputs!$H$60</f>
        <v>723.26209229999995</v>
      </c>
    </row>
    <row r="72" spans="1:34" s="20" customFormat="1" ht="15">
      <c r="A72" s="27" t="s">
        <v>222</v>
      </c>
      <c r="B72" s="39"/>
      <c r="C72" s="334">
        <f>C54*Inputs!$H$61</f>
        <v>2561.922</v>
      </c>
      <c r="D72" s="334">
        <f>D54*Inputs!$H$61</f>
        <v>2345.1120000000001</v>
      </c>
      <c r="E72" s="334">
        <f>E54*Inputs!$H$61</f>
        <v>2131.0885381500002</v>
      </c>
      <c r="F72" s="334">
        <f>F54*Inputs!$H$61</f>
        <v>2552.4617332500002</v>
      </c>
      <c r="G72" s="334">
        <f>G54*Inputs!$H$61</f>
        <v>3158.0703297</v>
      </c>
      <c r="H72" s="19">
        <f>H54*Inputs!$H$61</f>
        <v>3094.7279863500007</v>
      </c>
      <c r="I72" s="19">
        <f>I54*Inputs!$H$61</f>
        <v>2001.2416924499998</v>
      </c>
      <c r="J72" s="19">
        <f>J54*Inputs!$H$61</f>
        <v>2163.5219034000002</v>
      </c>
      <c r="K72" s="19">
        <f>K54*Inputs!$H$61</f>
        <v>2149.6849159500007</v>
      </c>
      <c r="L72" s="19">
        <f>L54*Inputs!$H$61</f>
        <v>2373.19537455</v>
      </c>
      <c r="M72" s="19">
        <f>M54*Inputs!$H$61</f>
        <v>2467.1887812000004</v>
      </c>
      <c r="N72" s="190">
        <f>N54*Inputs!$H$61</f>
        <v>2573.5188550499997</v>
      </c>
      <c r="O72" s="19">
        <f>O54*Inputs!$H$61</f>
        <v>2958.3684058499998</v>
      </c>
      <c r="P72" s="19">
        <f>P54*Inputs!$H$61</f>
        <v>3316.8383820000008</v>
      </c>
      <c r="Q72" s="19">
        <f>Q54*Inputs!$H$61</f>
        <v>3554.3543607000006</v>
      </c>
      <c r="R72" s="19">
        <f>R54*Inputs!$H$61</f>
        <v>3647.9479608000006</v>
      </c>
      <c r="S72" s="19">
        <f>S54*Inputs!$H$61</f>
        <v>3835.4119303500011</v>
      </c>
      <c r="T72" s="19">
        <f>T54*Inputs!$H$61</f>
        <v>4092.5276320499997</v>
      </c>
      <c r="U72" s="19">
        <f>U54*Inputs!$H$61</f>
        <v>4242.2793484500007</v>
      </c>
      <c r="V72" s="19">
        <f>V54*Inputs!$H$61</f>
        <v>4347.2112255000002</v>
      </c>
      <c r="W72" s="19">
        <f>W54*Inputs!$H$61</f>
        <v>4575.2436229499999</v>
      </c>
      <c r="X72" s="182">
        <f>X54*Inputs!$H$61</f>
        <v>4777.3595726999993</v>
      </c>
      <c r="Y72" s="19">
        <f>Y54*Inputs!$H$61</f>
        <v>4774.5234751500002</v>
      </c>
      <c r="Z72" s="19">
        <f>Z54*Inputs!$H$61</f>
        <v>4968.2085453000009</v>
      </c>
      <c r="AA72" s="19">
        <f>AA54*Inputs!$H$61</f>
        <v>5058.9092268000004</v>
      </c>
      <c r="AB72" s="19">
        <f>AB54*Inputs!$H$61</f>
        <v>5105.1591805500011</v>
      </c>
      <c r="AC72" s="19">
        <f>AC54*Inputs!$H$61</f>
        <v>5165.6680003499996</v>
      </c>
      <c r="AD72" s="19">
        <f>AD54*Inputs!$H$61</f>
        <v>5132.5810965000001</v>
      </c>
      <c r="AE72" s="19">
        <f>AE54*Inputs!$H$61</f>
        <v>5148.0705919499997</v>
      </c>
      <c r="AF72" s="19">
        <f>AF54*Inputs!$H$61</f>
        <v>5230.7948979000012</v>
      </c>
      <c r="AG72" s="19">
        <f>AG54*Inputs!$H$61</f>
        <v>5426.1340848</v>
      </c>
      <c r="AH72" s="19">
        <f>AH54*Inputs!$H$61</f>
        <v>5599.7733577500003</v>
      </c>
    </row>
    <row r="73" spans="1:34" ht="15">
      <c r="A73" s="27" t="s">
        <v>58</v>
      </c>
      <c r="C73" s="331">
        <f>SUM(C70:C72)</f>
        <v>4169.0730779999994</v>
      </c>
      <c r="D73" s="331">
        <f t="shared" ref="D73:AH73" si="27">SUM(D70:D72)</f>
        <v>3944.6683199999998</v>
      </c>
      <c r="E73" s="331">
        <f t="shared" si="27"/>
        <v>3740.2068749448963</v>
      </c>
      <c r="F73" s="331">
        <f t="shared" si="27"/>
        <v>4181.8060520607796</v>
      </c>
      <c r="G73" s="331">
        <f t="shared" si="27"/>
        <v>4827.0344147709793</v>
      </c>
      <c r="H73" s="14">
        <f t="shared" si="27"/>
        <v>4836.6246332073897</v>
      </c>
      <c r="I73" s="14">
        <f t="shared" si="27"/>
        <v>3762.8711692771758</v>
      </c>
      <c r="J73" s="14">
        <f t="shared" si="27"/>
        <v>4146.3463874196832</v>
      </c>
      <c r="K73" s="14">
        <f t="shared" si="27"/>
        <v>4389.5674552865994</v>
      </c>
      <c r="L73" s="14">
        <f t="shared" si="27"/>
        <v>4787.2617876937848</v>
      </c>
      <c r="M73" s="14">
        <f t="shared" si="27"/>
        <v>4925.9103256327226</v>
      </c>
      <c r="N73" s="190">
        <f t="shared" si="27"/>
        <v>5080.4304128255117</v>
      </c>
      <c r="O73" s="14">
        <f t="shared" si="27"/>
        <v>5558.0752252316943</v>
      </c>
      <c r="P73" s="14">
        <f t="shared" si="27"/>
        <v>6074.7405218798904</v>
      </c>
      <c r="Q73" s="14">
        <f t="shared" si="27"/>
        <v>6498.2858073007137</v>
      </c>
      <c r="R73" s="14">
        <f t="shared" si="27"/>
        <v>6772.6499882229218</v>
      </c>
      <c r="S73" s="14">
        <f t="shared" si="27"/>
        <v>7198.0716011383283</v>
      </c>
      <c r="T73" s="14">
        <f t="shared" si="27"/>
        <v>7709.5247299531384</v>
      </c>
      <c r="U73" s="14">
        <f t="shared" si="27"/>
        <v>8067.7392172930931</v>
      </c>
      <c r="V73" s="14">
        <f t="shared" si="27"/>
        <v>8301.710935073299</v>
      </c>
      <c r="W73" s="14">
        <f t="shared" si="27"/>
        <v>8609.646853955639</v>
      </c>
      <c r="X73" s="187">
        <f t="shared" si="27"/>
        <v>8952.5629452966605</v>
      </c>
      <c r="Y73" s="14">
        <f t="shared" si="27"/>
        <v>9195.241914333239</v>
      </c>
      <c r="Z73" s="14">
        <f t="shared" si="27"/>
        <v>9794.5800205785854</v>
      </c>
      <c r="AA73" s="14">
        <f t="shared" si="27"/>
        <v>10233.276758928158</v>
      </c>
      <c r="AB73" s="14">
        <f t="shared" si="27"/>
        <v>10624.780258133549</v>
      </c>
      <c r="AC73" s="14">
        <f t="shared" si="27"/>
        <v>10815.392318600741</v>
      </c>
      <c r="AD73" s="14">
        <f t="shared" si="27"/>
        <v>10884.675279718005</v>
      </c>
      <c r="AE73" s="14">
        <f t="shared" si="27"/>
        <v>10991.748658585602</v>
      </c>
      <c r="AF73" s="14">
        <f t="shared" si="27"/>
        <v>11209.58660498686</v>
      </c>
      <c r="AG73" s="14">
        <f t="shared" si="27"/>
        <v>11573.093687210865</v>
      </c>
      <c r="AH73" s="14">
        <f t="shared" si="27"/>
        <v>11825.319072003969</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7"/>
      <c r="B1" s="537"/>
      <c r="C1" s="537"/>
      <c r="D1" s="537"/>
      <c r="E1" s="537"/>
      <c r="F1" s="537"/>
      <c r="G1" s="537"/>
      <c r="H1" s="537"/>
      <c r="I1" s="537"/>
      <c r="J1" s="537"/>
      <c r="K1" s="537"/>
      <c r="L1" s="537"/>
      <c r="M1" s="537"/>
      <c r="N1" s="537"/>
      <c r="O1" s="537"/>
      <c r="P1" s="537"/>
    </row>
    <row r="2" spans="1:16">
      <c r="A2" s="537"/>
      <c r="B2" s="537"/>
      <c r="C2" s="537"/>
      <c r="D2" s="537"/>
      <c r="E2" s="537"/>
      <c r="F2" s="537"/>
      <c r="G2" s="537"/>
      <c r="H2" s="537"/>
      <c r="I2" s="537"/>
      <c r="J2" s="537"/>
      <c r="K2" s="537"/>
      <c r="L2" s="537"/>
      <c r="M2" s="537"/>
      <c r="N2" s="537"/>
      <c r="O2" s="537"/>
      <c r="P2" s="537"/>
    </row>
    <row r="3" spans="1:16">
      <c r="A3" s="537"/>
      <c r="B3" s="537"/>
      <c r="C3" s="537"/>
      <c r="D3" s="537"/>
      <c r="E3" s="537"/>
      <c r="F3" s="537"/>
      <c r="G3" s="537"/>
      <c r="H3" s="537"/>
      <c r="I3" s="537"/>
      <c r="J3" s="537"/>
      <c r="K3" s="537"/>
      <c r="L3" s="537"/>
      <c r="M3" s="537"/>
      <c r="N3" s="537"/>
      <c r="O3" s="537"/>
      <c r="P3" s="537"/>
    </row>
    <row r="4" spans="1:16">
      <c r="A4" s="537"/>
      <c r="B4" s="537"/>
      <c r="C4" s="537"/>
      <c r="D4" s="537"/>
      <c r="E4" s="537"/>
      <c r="F4" s="537"/>
      <c r="G4" s="537"/>
      <c r="H4" s="537"/>
      <c r="I4" s="537"/>
      <c r="J4" s="537"/>
      <c r="K4" s="537"/>
      <c r="L4" s="537"/>
      <c r="M4" s="537"/>
      <c r="N4" s="537"/>
      <c r="O4" s="537"/>
      <c r="P4" s="537"/>
    </row>
    <row r="5" spans="1:16">
      <c r="A5" s="537"/>
      <c r="B5" s="537"/>
      <c r="C5" s="537"/>
      <c r="D5" s="537"/>
      <c r="E5" s="537"/>
      <c r="F5" s="537"/>
      <c r="G5" s="537"/>
      <c r="H5" s="537"/>
      <c r="I5" s="537"/>
      <c r="J5" s="537"/>
      <c r="K5" s="537"/>
      <c r="L5" s="537"/>
      <c r="M5" s="537"/>
      <c r="N5" s="537"/>
      <c r="O5" s="537"/>
      <c r="P5" s="537"/>
    </row>
    <row r="6" spans="1:16">
      <c r="A6" s="537"/>
      <c r="B6" s="537"/>
      <c r="C6" s="537"/>
      <c r="D6" s="537"/>
      <c r="E6" s="537"/>
      <c r="F6" s="537"/>
      <c r="G6" s="537"/>
      <c r="H6" s="537"/>
      <c r="I6" s="537"/>
      <c r="J6" s="537"/>
      <c r="K6" s="537"/>
      <c r="L6" s="537"/>
      <c r="M6" s="537"/>
      <c r="N6" s="537"/>
      <c r="O6" s="537"/>
      <c r="P6" s="537"/>
    </row>
    <row r="7" spans="1:16">
      <c r="A7" s="537"/>
      <c r="B7" s="537"/>
      <c r="C7" s="537"/>
      <c r="D7" s="537"/>
      <c r="E7" s="537"/>
      <c r="F7" s="537"/>
      <c r="G7" s="537"/>
      <c r="H7" s="537"/>
      <c r="I7" s="537"/>
      <c r="J7" s="537"/>
      <c r="K7" s="537"/>
      <c r="L7" s="537"/>
      <c r="M7" s="537"/>
      <c r="N7" s="537"/>
      <c r="O7" s="537"/>
      <c r="P7" s="537"/>
    </row>
    <row r="8" spans="1:16">
      <c r="A8" s="537"/>
      <c r="B8" s="537"/>
      <c r="C8" s="537"/>
      <c r="D8" s="537"/>
      <c r="E8" s="537"/>
      <c r="F8" s="537"/>
      <c r="G8" s="537"/>
      <c r="H8" s="537"/>
      <c r="I8" s="537"/>
      <c r="J8" s="537"/>
      <c r="K8" s="537"/>
      <c r="L8" s="537"/>
      <c r="M8" s="537"/>
      <c r="N8" s="537"/>
      <c r="O8" s="537"/>
      <c r="P8" s="537"/>
    </row>
    <row r="9" spans="1:16" ht="2.25" customHeight="1">
      <c r="A9" s="537"/>
      <c r="B9" s="537"/>
      <c r="C9" s="537"/>
      <c r="D9" s="537"/>
      <c r="E9" s="537"/>
      <c r="F9" s="537"/>
      <c r="G9" s="537"/>
      <c r="H9" s="537"/>
      <c r="I9" s="537"/>
      <c r="J9" s="537"/>
      <c r="K9" s="537"/>
      <c r="L9" s="537"/>
      <c r="M9" s="537"/>
      <c r="N9" s="537"/>
      <c r="O9" s="537"/>
      <c r="P9" s="537"/>
    </row>
    <row r="10" spans="1:16" hidden="1">
      <c r="A10" s="537"/>
      <c r="B10" s="537"/>
      <c r="C10" s="537"/>
      <c r="D10" s="537"/>
      <c r="E10" s="537"/>
      <c r="F10" s="537"/>
      <c r="G10" s="537"/>
      <c r="H10" s="537"/>
      <c r="I10" s="537"/>
      <c r="J10" s="537"/>
      <c r="K10" s="537"/>
      <c r="L10" s="537"/>
      <c r="M10" s="537"/>
      <c r="N10" s="537"/>
      <c r="O10" s="537"/>
      <c r="P10" s="537"/>
    </row>
    <row r="11" spans="1:16">
      <c r="A11" s="538" t="s">
        <v>212</v>
      </c>
      <c r="B11" s="540">
        <v>2000</v>
      </c>
      <c r="C11" s="542" t="s">
        <v>219</v>
      </c>
      <c r="D11" s="542" t="s">
        <v>555</v>
      </c>
      <c r="E11" s="545" t="s">
        <v>213</v>
      </c>
      <c r="F11" s="546"/>
      <c r="G11" s="540"/>
      <c r="H11" s="549" t="s">
        <v>556</v>
      </c>
      <c r="I11" s="550"/>
      <c r="J11" s="550"/>
      <c r="K11" s="550"/>
      <c r="L11" s="550"/>
      <c r="M11" s="550"/>
      <c r="N11" s="550"/>
      <c r="O11" s="551"/>
    </row>
    <row r="12" spans="1:16">
      <c r="A12" s="539"/>
      <c r="B12" s="541"/>
      <c r="C12" s="543"/>
      <c r="D12" s="543"/>
      <c r="E12" s="547"/>
      <c r="F12" s="548"/>
      <c r="G12" s="541"/>
      <c r="H12" s="548" t="s">
        <v>214</v>
      </c>
      <c r="I12" s="541"/>
      <c r="J12" s="547" t="s">
        <v>215</v>
      </c>
      <c r="K12" s="541"/>
      <c r="L12" s="547" t="s">
        <v>216</v>
      </c>
      <c r="M12" s="548"/>
      <c r="N12" s="548"/>
      <c r="O12" s="541"/>
    </row>
    <row r="13" spans="1:16" ht="67" thickBot="1">
      <c r="A13" s="211" t="s">
        <v>217</v>
      </c>
      <c r="B13" s="211" t="s">
        <v>218</v>
      </c>
      <c r="C13" s="544"/>
      <c r="D13" s="544"/>
      <c r="E13" s="411" t="s">
        <v>557</v>
      </c>
      <c r="F13" s="435" t="s">
        <v>558</v>
      </c>
      <c r="G13" s="212" t="s">
        <v>308</v>
      </c>
      <c r="H13" s="423" t="s">
        <v>359</v>
      </c>
      <c r="I13" s="435" t="s">
        <v>559</v>
      </c>
      <c r="J13" s="411" t="s">
        <v>359</v>
      </c>
      <c r="K13" s="435" t="s">
        <v>559</v>
      </c>
      <c r="L13" s="411" t="s">
        <v>359</v>
      </c>
      <c r="M13" s="435" t="s">
        <v>559</v>
      </c>
      <c r="N13" s="212" t="s">
        <v>58</v>
      </c>
      <c r="O13" s="212" t="s">
        <v>560</v>
      </c>
    </row>
    <row r="14" spans="1:16" ht="13" thickTop="1">
      <c r="A14" s="443" t="s">
        <v>561</v>
      </c>
      <c r="B14" s="443" t="s">
        <v>562</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60">
        <f>AVERAGE(N14:N15)</f>
        <v>0.20532702121944668</v>
      </c>
    </row>
    <row r="15" spans="1:16" ht="13" thickBot="1">
      <c r="A15" s="223" t="s">
        <v>563</v>
      </c>
      <c r="B15" s="223" t="s">
        <v>564</v>
      </c>
      <c r="C15" s="224">
        <v>0.85</v>
      </c>
      <c r="D15" s="225">
        <v>40</v>
      </c>
      <c r="E15" s="226">
        <v>8.5</v>
      </c>
      <c r="F15" s="432">
        <v>0.24</v>
      </c>
      <c r="G15" s="532">
        <v>0.13</v>
      </c>
      <c r="H15" s="414">
        <f t="shared" si="0"/>
        <v>0.21249999999999999</v>
      </c>
      <c r="I15" s="532">
        <f t="shared" si="1"/>
        <v>1.2079800000000001</v>
      </c>
      <c r="J15" s="427">
        <f t="shared" si="2"/>
        <v>0.25</v>
      </c>
      <c r="K15" s="532">
        <f t="shared" si="3"/>
        <v>1.4211529411764707</v>
      </c>
      <c r="L15" s="427">
        <f t="shared" si="4"/>
        <v>2.8538812785388126E-2</v>
      </c>
      <c r="M15" s="532">
        <f t="shared" si="4"/>
        <v>0.16223207091055603</v>
      </c>
      <c r="N15" s="419">
        <f t="shared" si="5"/>
        <v>0.19077088369594414</v>
      </c>
      <c r="O15" s="561"/>
    </row>
    <row r="16" spans="1:16">
      <c r="A16" s="227" t="s">
        <v>565</v>
      </c>
      <c r="B16" s="227" t="s">
        <v>566</v>
      </c>
      <c r="C16" s="228">
        <v>0.9</v>
      </c>
      <c r="D16" s="229">
        <v>40</v>
      </c>
      <c r="E16" s="230">
        <f>36000/5600</f>
        <v>6.4285714285714288</v>
      </c>
      <c r="F16" s="464">
        <f>10000/5600</f>
        <v>1.7857142857142858</v>
      </c>
      <c r="G16" s="230">
        <v>0</v>
      </c>
      <c r="H16" s="412">
        <f t="shared" si="0"/>
        <v>0.16071428571428573</v>
      </c>
      <c r="I16" s="533">
        <f t="shared" si="1"/>
        <v>1.7857142857142858</v>
      </c>
      <c r="J16" s="428">
        <f t="shared" si="2"/>
        <v>0.17857142857142858</v>
      </c>
      <c r="K16" s="533">
        <f t="shared" si="3"/>
        <v>1.9841269841269842</v>
      </c>
      <c r="L16" s="428">
        <f t="shared" si="4"/>
        <v>2.0384866275277233E-2</v>
      </c>
      <c r="M16" s="533">
        <f t="shared" si="4"/>
        <v>0.22649851416974706</v>
      </c>
      <c r="N16" s="421">
        <f t="shared" si="5"/>
        <v>0.24688338044502428</v>
      </c>
      <c r="O16" s="562">
        <f>AVERAGE(N16:N18)</f>
        <v>0.24750247638375492</v>
      </c>
    </row>
    <row r="17" spans="1:15">
      <c r="A17" s="217" t="s">
        <v>567</v>
      </c>
      <c r="B17" s="217" t="s">
        <v>312</v>
      </c>
      <c r="C17" s="218">
        <v>0.9</v>
      </c>
      <c r="D17" s="219">
        <v>40</v>
      </c>
      <c r="E17" s="216">
        <v>17.5</v>
      </c>
      <c r="F17" s="531">
        <v>1.7</v>
      </c>
      <c r="G17" s="216">
        <v>0</v>
      </c>
      <c r="H17" s="530">
        <f>E17/D17</f>
        <v>0.4375</v>
      </c>
      <c r="I17" s="534">
        <f>F17+G17*8760/1000*C17</f>
        <v>1.7</v>
      </c>
      <c r="J17" s="429">
        <f>H17/C17</f>
        <v>0.4861111111111111</v>
      </c>
      <c r="K17" s="534">
        <f>I17/C17</f>
        <v>1.8888888888888888</v>
      </c>
      <c r="L17" s="429">
        <f t="shared" si="4"/>
        <v>5.5492135971588023E-2</v>
      </c>
      <c r="M17" s="534">
        <f t="shared" si="4"/>
        <v>0.21562658548959918</v>
      </c>
      <c r="N17" s="420">
        <f>SUM(L17:M17)</f>
        <v>0.27111872146118721</v>
      </c>
      <c r="O17" s="563"/>
    </row>
    <row r="18" spans="1:15" ht="13" thickBot="1">
      <c r="A18" s="451" t="s">
        <v>568</v>
      </c>
      <c r="B18" s="451" t="s">
        <v>562</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61"/>
    </row>
    <row r="19" spans="1:15">
      <c r="A19" s="227" t="s">
        <v>569</v>
      </c>
      <c r="B19" s="227" t="s">
        <v>312</v>
      </c>
      <c r="C19" s="228">
        <v>0.85</v>
      </c>
      <c r="D19" s="229">
        <v>40</v>
      </c>
      <c r="E19" s="230">
        <v>21.3</v>
      </c>
      <c r="F19" s="464">
        <v>7.8</v>
      </c>
      <c r="G19" s="230">
        <v>0</v>
      </c>
      <c r="H19" s="412">
        <f>E19/D19</f>
        <v>0.53249999999999997</v>
      </c>
      <c r="I19" s="533">
        <f>F19+G19*8760/1000*C19</f>
        <v>7.8</v>
      </c>
      <c r="J19" s="428">
        <f>H19/C19</f>
        <v>0.62647058823529411</v>
      </c>
      <c r="K19" s="533">
        <f>I19/C19</f>
        <v>9.1764705882352935</v>
      </c>
      <c r="L19" s="428">
        <f t="shared" si="4"/>
        <v>7.1514907332796127E-2</v>
      </c>
      <c r="M19" s="533">
        <f t="shared" si="4"/>
        <v>1.0475423045930701</v>
      </c>
      <c r="N19" s="421">
        <f>SUM(L19:M19)</f>
        <v>1.1190572119258662</v>
      </c>
      <c r="O19" s="562">
        <f>AVERAGE(N19:N20)</f>
        <v>0.71885911899006172</v>
      </c>
    </row>
    <row r="20" spans="1:15" ht="13" thickBot="1">
      <c r="A20" s="451" t="s">
        <v>570</v>
      </c>
      <c r="B20" s="451" t="s">
        <v>562</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61"/>
    </row>
    <row r="21" spans="1:15" ht="13" thickBot="1">
      <c r="A21" s="231" t="s">
        <v>571</v>
      </c>
      <c r="B21" s="231" t="s">
        <v>562</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572</v>
      </c>
      <c r="C22" s="237">
        <v>0.2</v>
      </c>
      <c r="D22" s="238">
        <v>25</v>
      </c>
      <c r="E22" s="239">
        <v>37</v>
      </c>
      <c r="F22" s="468">
        <v>1</v>
      </c>
      <c r="G22" s="239">
        <v>0</v>
      </c>
      <c r="H22" s="424">
        <f>E22/D22</f>
        <v>1.48</v>
      </c>
      <c r="I22" s="535">
        <f>F22+G22*8760/1000*C22</f>
        <v>1</v>
      </c>
      <c r="J22" s="431">
        <f>H22/C22</f>
        <v>7.3999999999999995</v>
      </c>
      <c r="K22" s="535">
        <f>I22/C22</f>
        <v>5</v>
      </c>
      <c r="L22" s="431">
        <f>J22/8760*1000</f>
        <v>0.84474885844748848</v>
      </c>
      <c r="M22" s="535">
        <f>K22/8760*1000</f>
        <v>0.57077625570776247</v>
      </c>
      <c r="N22" s="426">
        <f>SUM(L22:M22)</f>
        <v>1.415525114155251</v>
      </c>
      <c r="O22" s="567">
        <f>N39</f>
        <v>0.79313246811604099</v>
      </c>
    </row>
    <row r="23" spans="1:15">
      <c r="A23" s="455" t="s">
        <v>310</v>
      </c>
      <c r="B23" s="455" t="s">
        <v>221</v>
      </c>
      <c r="C23" s="456">
        <v>0.2</v>
      </c>
      <c r="D23" s="457">
        <v>25</v>
      </c>
      <c r="E23" s="458">
        <v>32.340000000000003</v>
      </c>
      <c r="F23" s="467">
        <v>0.37</v>
      </c>
      <c r="G23" s="458">
        <v>0</v>
      </c>
      <c r="H23" s="459">
        <f t="shared" si="0"/>
        <v>1.2936000000000001</v>
      </c>
      <c r="I23" s="529">
        <f t="shared" si="1"/>
        <v>0.37</v>
      </c>
      <c r="J23" s="460">
        <f t="shared" si="2"/>
        <v>6.468</v>
      </c>
      <c r="K23" s="529">
        <f t="shared" si="3"/>
        <v>1.8499999999999999</v>
      </c>
      <c r="L23" s="460">
        <f t="shared" si="4"/>
        <v>0.73835616438356166</v>
      </c>
      <c r="M23" s="529">
        <f t="shared" si="4"/>
        <v>0.21118721461187212</v>
      </c>
      <c r="N23" s="461">
        <f t="shared" si="5"/>
        <v>0.94954337899543373</v>
      </c>
      <c r="O23" s="568"/>
    </row>
    <row r="24" spans="1:15" ht="13" thickBot="1">
      <c r="A24" s="451" t="s">
        <v>311</v>
      </c>
      <c r="B24" s="451" t="s">
        <v>562</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9"/>
    </row>
    <row r="25" spans="1:15">
      <c r="A25" s="227" t="s">
        <v>433</v>
      </c>
      <c r="B25" s="227" t="s">
        <v>437</v>
      </c>
      <c r="C25" s="240">
        <v>0.4</v>
      </c>
      <c r="D25" s="229">
        <v>25</v>
      </c>
      <c r="E25" s="230">
        <f>10310/1000</f>
        <v>10.31</v>
      </c>
      <c r="F25" s="464">
        <v>1</v>
      </c>
      <c r="G25" s="230">
        <v>0</v>
      </c>
      <c r="H25" s="424">
        <f t="shared" si="0"/>
        <v>0.41240000000000004</v>
      </c>
      <c r="I25" s="535">
        <f t="shared" si="1"/>
        <v>1</v>
      </c>
      <c r="J25" s="431">
        <f t="shared" si="2"/>
        <v>1.0310000000000001</v>
      </c>
      <c r="K25" s="535">
        <f t="shared" si="3"/>
        <v>2.5</v>
      </c>
      <c r="L25" s="431">
        <f t="shared" si="4"/>
        <v>0.11769406392694066</v>
      </c>
      <c r="M25" s="535">
        <f t="shared" si="4"/>
        <v>0.28538812785388123</v>
      </c>
      <c r="N25" s="426">
        <f t="shared" si="5"/>
        <v>0.40308219178082189</v>
      </c>
      <c r="O25" s="562">
        <f>AVERAGE(N25:N26,N27)</f>
        <v>0.23028919330289191</v>
      </c>
    </row>
    <row r="26" spans="1:15">
      <c r="A26" s="214" t="s">
        <v>434</v>
      </c>
      <c r="B26" s="214" t="s">
        <v>436</v>
      </c>
      <c r="C26" s="220">
        <v>0.4</v>
      </c>
      <c r="D26" s="215">
        <v>25</v>
      </c>
      <c r="E26" s="216">
        <v>4.5</v>
      </c>
      <c r="F26" s="531">
        <v>0.38</v>
      </c>
      <c r="G26" s="534">
        <v>0</v>
      </c>
      <c r="H26" s="415">
        <f t="shared" si="0"/>
        <v>0.18</v>
      </c>
      <c r="I26" s="534">
        <f t="shared" si="1"/>
        <v>0.38</v>
      </c>
      <c r="J26" s="429">
        <f t="shared" si="2"/>
        <v>0.44999999999999996</v>
      </c>
      <c r="K26" s="534">
        <f t="shared" si="3"/>
        <v>0.95</v>
      </c>
      <c r="L26" s="429">
        <f t="shared" si="4"/>
        <v>5.1369863013698627E-2</v>
      </c>
      <c r="M26" s="534">
        <f t="shared" si="4"/>
        <v>0.10844748858447488</v>
      </c>
      <c r="N26" s="420">
        <f t="shared" si="5"/>
        <v>0.15981735159817351</v>
      </c>
      <c r="O26" s="563"/>
    </row>
    <row r="27" spans="1:15" ht="13" thickBot="1">
      <c r="A27" s="436" t="s">
        <v>435</v>
      </c>
      <c r="B27" s="436" t="s">
        <v>562</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61"/>
    </row>
    <row r="28" spans="1:15">
      <c r="A28" s="241" t="s">
        <v>573</v>
      </c>
      <c r="B28" s="241" t="s">
        <v>361</v>
      </c>
      <c r="C28" s="240">
        <v>0.35</v>
      </c>
      <c r="D28" s="229">
        <v>25</v>
      </c>
      <c r="E28" s="230">
        <v>10.1</v>
      </c>
      <c r="F28" s="464">
        <v>0.4</v>
      </c>
      <c r="G28" s="533">
        <v>0</v>
      </c>
      <c r="H28" s="425">
        <f t="shared" si="0"/>
        <v>0.40399999999999997</v>
      </c>
      <c r="I28" s="533">
        <f t="shared" si="1"/>
        <v>0.4</v>
      </c>
      <c r="J28" s="428">
        <f t="shared" si="2"/>
        <v>1.1542857142857144</v>
      </c>
      <c r="K28" s="533">
        <f t="shared" si="3"/>
        <v>1.142857142857143</v>
      </c>
      <c r="L28" s="428">
        <f t="shared" si="4"/>
        <v>0.13176777560339206</v>
      </c>
      <c r="M28" s="533">
        <f t="shared" si="4"/>
        <v>0.13046314416177432</v>
      </c>
      <c r="N28" s="421">
        <f t="shared" si="5"/>
        <v>0.26223091976516638</v>
      </c>
      <c r="O28" s="562">
        <f>AVERAGE(N28,N29,N30:N32)</f>
        <v>0.16974559686888452</v>
      </c>
    </row>
    <row r="29" spans="1:15">
      <c r="A29" s="214" t="s">
        <v>220</v>
      </c>
      <c r="B29" s="214" t="s">
        <v>221</v>
      </c>
      <c r="C29" s="220">
        <v>0.35</v>
      </c>
      <c r="D29" s="219">
        <v>25</v>
      </c>
      <c r="E29" s="216">
        <v>3.8</v>
      </c>
      <c r="F29" s="531">
        <v>0.14399999999999999</v>
      </c>
      <c r="G29" s="534">
        <v>0</v>
      </c>
      <c r="H29" s="415">
        <f t="shared" si="0"/>
        <v>0.152</v>
      </c>
      <c r="I29" s="534">
        <f t="shared" si="1"/>
        <v>0.14399999999999999</v>
      </c>
      <c r="J29" s="429">
        <f t="shared" si="2"/>
        <v>0.43428571428571427</v>
      </c>
      <c r="K29" s="534">
        <f t="shared" si="3"/>
        <v>0.41142857142857142</v>
      </c>
      <c r="L29" s="429">
        <f t="shared" si="4"/>
        <v>4.9575994781474238E-2</v>
      </c>
      <c r="M29" s="534">
        <f t="shared" si="4"/>
        <v>4.6966731898238752E-2</v>
      </c>
      <c r="N29" s="420">
        <f t="shared" si="5"/>
        <v>9.654272667971299E-2</v>
      </c>
      <c r="O29" s="563"/>
    </row>
    <row r="30" spans="1:15">
      <c r="A30" s="214" t="s">
        <v>360</v>
      </c>
      <c r="B30" s="214" t="s">
        <v>574</v>
      </c>
      <c r="C30" s="220">
        <v>0.35</v>
      </c>
      <c r="D30" s="215">
        <v>25</v>
      </c>
      <c r="E30" s="534">
        <v>10.96</v>
      </c>
      <c r="F30" s="429">
        <v>0.17499999999999999</v>
      </c>
      <c r="G30" s="534">
        <v>0</v>
      </c>
      <c r="H30" s="415">
        <f t="shared" si="0"/>
        <v>0.43840000000000001</v>
      </c>
      <c r="I30" s="534">
        <f t="shared" si="1"/>
        <v>0.17499999999999999</v>
      </c>
      <c r="J30" s="429">
        <f t="shared" si="2"/>
        <v>1.2525714285714287</v>
      </c>
      <c r="K30" s="534">
        <f t="shared" si="3"/>
        <v>0.5</v>
      </c>
      <c r="L30" s="429">
        <f t="shared" si="4"/>
        <v>0.14298760600130464</v>
      </c>
      <c r="M30" s="534">
        <f t="shared" si="4"/>
        <v>5.7077625570776253E-2</v>
      </c>
      <c r="N30" s="420">
        <f t="shared" si="5"/>
        <v>0.20006523157208089</v>
      </c>
      <c r="O30" s="563"/>
    </row>
    <row r="31" spans="1:15">
      <c r="A31" s="214" t="s">
        <v>575</v>
      </c>
      <c r="B31" s="214" t="s">
        <v>312</v>
      </c>
      <c r="C31" s="220">
        <v>0.35</v>
      </c>
      <c r="D31" s="215">
        <v>25</v>
      </c>
      <c r="E31" s="534">
        <v>7.4</v>
      </c>
      <c r="F31" s="429">
        <v>0.2</v>
      </c>
      <c r="G31" s="534">
        <v>0</v>
      </c>
      <c r="H31" s="415">
        <f t="shared" si="0"/>
        <v>0.29600000000000004</v>
      </c>
      <c r="I31" s="534">
        <f t="shared" si="1"/>
        <v>0.2</v>
      </c>
      <c r="J31" s="429">
        <f t="shared" si="2"/>
        <v>0.84571428571428586</v>
      </c>
      <c r="K31" s="534">
        <f t="shared" si="3"/>
        <v>0.57142857142857151</v>
      </c>
      <c r="L31" s="429">
        <f t="shared" si="4"/>
        <v>9.6542726679713003E-2</v>
      </c>
      <c r="M31" s="534">
        <f t="shared" si="4"/>
        <v>6.523157208088716E-2</v>
      </c>
      <c r="N31" s="420">
        <f t="shared" si="5"/>
        <v>0.16177429876060018</v>
      </c>
      <c r="O31" s="563"/>
    </row>
    <row r="32" spans="1:15" ht="13" thickBot="1">
      <c r="A32" s="436" t="s">
        <v>576</v>
      </c>
      <c r="B32" s="436" t="s">
        <v>562</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61"/>
    </row>
    <row r="33" spans="1:15" ht="23" thickBot="1">
      <c r="A33" s="231" t="s">
        <v>430</v>
      </c>
      <c r="B33" s="231" t="s">
        <v>431</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432</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426</v>
      </c>
      <c r="B37" s="213" t="s">
        <v>428</v>
      </c>
      <c r="C37" s="245">
        <v>1</v>
      </c>
      <c r="D37" s="222">
        <v>20</v>
      </c>
      <c r="E37" s="552" t="s">
        <v>0</v>
      </c>
      <c r="F37" s="553"/>
      <c r="G37" s="553"/>
      <c r="H37" s="553"/>
      <c r="I37" s="553"/>
      <c r="J37" s="553"/>
      <c r="K37" s="553"/>
      <c r="L37" s="553"/>
      <c r="M37" s="554"/>
      <c r="N37" s="418">
        <v>0.17</v>
      </c>
      <c r="O37" s="555">
        <f>AVERAGE(N37,N38)</f>
        <v>0.38</v>
      </c>
    </row>
    <row r="38" spans="1:15">
      <c r="A38" s="214" t="s">
        <v>427</v>
      </c>
      <c r="B38" s="214" t="s">
        <v>429</v>
      </c>
      <c r="C38" s="221">
        <v>1</v>
      </c>
      <c r="D38" s="215">
        <v>20</v>
      </c>
      <c r="E38" s="557" t="s">
        <v>0</v>
      </c>
      <c r="F38" s="558"/>
      <c r="G38" s="558"/>
      <c r="H38" s="558"/>
      <c r="I38" s="558"/>
      <c r="J38" s="558"/>
      <c r="K38" s="558"/>
      <c r="L38" s="558"/>
      <c r="M38" s="559"/>
      <c r="N38" s="420">
        <v>0.59</v>
      </c>
      <c r="O38" s="556"/>
    </row>
    <row r="39" spans="1:15">
      <c r="A39" s="81" t="s">
        <v>758</v>
      </c>
      <c r="B39" s="81" t="s">
        <v>759</v>
      </c>
      <c r="C39" s="570">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1"/>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4"/>
      <c r="C1" s="564"/>
      <c r="D1" s="564"/>
      <c r="E1" s="564"/>
      <c r="F1" s="564"/>
      <c r="G1" s="564"/>
      <c r="H1" s="564"/>
      <c r="I1" s="564"/>
      <c r="J1" s="564"/>
      <c r="K1" s="564"/>
      <c r="L1" s="564"/>
    </row>
    <row r="2" spans="1:12">
      <c r="B2" s="564"/>
      <c r="C2" s="564"/>
      <c r="D2" s="564"/>
      <c r="E2" s="564"/>
      <c r="F2" s="564"/>
      <c r="G2" s="564"/>
      <c r="H2" s="564"/>
      <c r="I2" s="564"/>
      <c r="J2" s="564"/>
      <c r="K2" s="564"/>
      <c r="L2" s="564"/>
    </row>
    <row r="3" spans="1:12">
      <c r="B3" s="564"/>
      <c r="C3" s="564"/>
      <c r="D3" s="564"/>
      <c r="E3" s="564"/>
      <c r="F3" s="564"/>
      <c r="G3" s="564"/>
      <c r="H3" s="564"/>
      <c r="I3" s="564"/>
      <c r="J3" s="564"/>
      <c r="K3" s="564"/>
      <c r="L3" s="564"/>
    </row>
    <row r="4" spans="1:12">
      <c r="B4" s="564"/>
      <c r="C4" s="564"/>
      <c r="D4" s="564"/>
      <c r="E4" s="564"/>
      <c r="F4" s="564"/>
      <c r="G4" s="564"/>
      <c r="H4" s="564"/>
      <c r="I4" s="564"/>
      <c r="J4" s="564"/>
      <c r="K4" s="564"/>
      <c r="L4" s="564"/>
    </row>
    <row r="5" spans="1:12">
      <c r="B5" s="564"/>
      <c r="C5" s="564"/>
      <c r="D5" s="564"/>
      <c r="E5" s="564"/>
      <c r="F5" s="564"/>
      <c r="G5" s="564"/>
      <c r="H5" s="564"/>
      <c r="I5" s="564"/>
      <c r="J5" s="564"/>
      <c r="K5" s="564"/>
      <c r="L5" s="564"/>
    </row>
    <row r="6" spans="1:12">
      <c r="B6" s="564"/>
      <c r="C6" s="564"/>
      <c r="D6" s="564"/>
      <c r="E6" s="564"/>
      <c r="F6" s="564"/>
      <c r="G6" s="564"/>
      <c r="H6" s="564"/>
      <c r="I6" s="564"/>
      <c r="J6" s="564"/>
      <c r="K6" s="564"/>
      <c r="L6" s="564"/>
    </row>
    <row r="7" spans="1:12">
      <c r="B7" s="564"/>
      <c r="C7" s="564"/>
      <c r="D7" s="564"/>
      <c r="E7" s="564"/>
      <c r="F7" s="564"/>
      <c r="G7" s="564"/>
      <c r="H7" s="564"/>
      <c r="I7" s="564"/>
      <c r="J7" s="564"/>
      <c r="K7" s="564"/>
      <c r="L7" s="564"/>
    </row>
    <row r="8" spans="1:12">
      <c r="B8" s="564"/>
      <c r="C8" s="564"/>
      <c r="D8" s="564"/>
      <c r="E8" s="564"/>
      <c r="F8" s="564"/>
      <c r="G8" s="564"/>
      <c r="H8" s="564"/>
      <c r="I8" s="564"/>
      <c r="J8" s="564"/>
      <c r="K8" s="564"/>
      <c r="L8" s="564"/>
    </row>
    <row r="9" spans="1:12" ht="48" customHeight="1">
      <c r="B9" s="564"/>
      <c r="C9" s="564"/>
      <c r="D9" s="564"/>
      <c r="E9" s="564"/>
      <c r="F9" s="564"/>
      <c r="G9" s="564"/>
      <c r="H9" s="564"/>
      <c r="I9" s="564"/>
      <c r="J9" s="564"/>
      <c r="K9" s="564"/>
      <c r="L9" s="564"/>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1" zoomScale="125" zoomScaleNormal="125" zoomScalePageLayoutView="125" workbookViewId="0">
      <pane xSplit="1" topLeftCell="B1" activePane="topRight" state="frozen"/>
      <selection activeCell="A33" sqref="A33"/>
      <selection pane="topRight" activeCell="G55" sqref="G55:AJ55"/>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755</v>
      </c>
    </row>
    <row r="35" spans="1:44" s="251" customFormat="1">
      <c r="A35" s="250" t="s">
        <v>753</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120.72598600000001</v>
      </c>
      <c r="H36" s="499">
        <v>121.06158400000001</v>
      </c>
      <c r="I36" s="499">
        <v>112.142273</v>
      </c>
      <c r="J36" s="499">
        <v>116.45523</v>
      </c>
      <c r="K36" s="499">
        <v>126.13446500000001</v>
      </c>
      <c r="L36" s="499">
        <v>125.40347299999999</v>
      </c>
      <c r="M36" s="499">
        <v>129.15868</v>
      </c>
      <c r="N36" s="499">
        <v>129.98703799999998</v>
      </c>
      <c r="O36" s="499">
        <v>129.736031</v>
      </c>
      <c r="P36" s="499">
        <v>129.82670200000001</v>
      </c>
      <c r="Q36" s="499">
        <v>126.001102</v>
      </c>
      <c r="R36" s="499">
        <v>124.37423700000001</v>
      </c>
      <c r="S36" s="499">
        <v>124.420585</v>
      </c>
      <c r="T36" s="499">
        <v>124.41148000000001</v>
      </c>
      <c r="U36" s="499">
        <v>124.460621</v>
      </c>
      <c r="V36" s="499">
        <v>124.04736299999999</v>
      </c>
      <c r="W36" s="499">
        <v>123.85875300000001</v>
      </c>
      <c r="X36" s="499">
        <v>123.67757</v>
      </c>
      <c r="Y36" s="499">
        <v>123.55519900000002</v>
      </c>
      <c r="Z36" s="499">
        <v>123.411175</v>
      </c>
      <c r="AA36" s="499">
        <v>123.259231</v>
      </c>
      <c r="AB36" s="499">
        <v>122.804199</v>
      </c>
      <c r="AC36" s="499">
        <v>122.655957</v>
      </c>
      <c r="AD36" s="499">
        <v>122.517231</v>
      </c>
      <c r="AE36" s="499">
        <v>122.411145</v>
      </c>
      <c r="AF36" s="499">
        <v>122.33852399999999</v>
      </c>
      <c r="AG36" s="499">
        <v>122.176277</v>
      </c>
      <c r="AH36" s="499">
        <v>122.03276400000001</v>
      </c>
      <c r="AI36" s="499">
        <v>121.905559</v>
      </c>
      <c r="AJ36" s="499">
        <v>121.76129499999999</v>
      </c>
      <c r="AK36" s="503">
        <v>0.03</v>
      </c>
      <c r="AL36" s="515" t="s">
        <v>68</v>
      </c>
      <c r="AM36" s="518">
        <v>0.06</v>
      </c>
    </row>
    <row r="37" spans="1:44" s="251" customFormat="1">
      <c r="A37" s="501" t="s">
        <v>720</v>
      </c>
      <c r="G37" s="499">
        <v>0.62127200000000005</v>
      </c>
      <c r="H37" s="499">
        <v>0.59678000000000009</v>
      </c>
      <c r="I37" s="499">
        <v>0.89980700000000002</v>
      </c>
      <c r="J37" s="499">
        <v>0.91695899999999997</v>
      </c>
      <c r="K37" s="499">
        <v>0.95265</v>
      </c>
      <c r="L37" s="499">
        <v>0.95290999999999992</v>
      </c>
      <c r="M37" s="499">
        <v>0.96764600000000001</v>
      </c>
      <c r="N37" s="499">
        <v>0.97380100000000003</v>
      </c>
      <c r="O37" s="499">
        <v>0.97239200000000003</v>
      </c>
      <c r="P37" s="499">
        <v>0.97311999999999999</v>
      </c>
      <c r="Q37" s="499">
        <v>0.95820799999999995</v>
      </c>
      <c r="R37" s="499">
        <v>0.95167100000000004</v>
      </c>
      <c r="S37" s="499">
        <v>0.95186300000000001</v>
      </c>
      <c r="T37" s="499">
        <v>0.95210400000000006</v>
      </c>
      <c r="U37" s="499">
        <v>0.95268299999999995</v>
      </c>
      <c r="V37" s="499">
        <v>0.951658</v>
      </c>
      <c r="W37" s="499">
        <v>0.95044600000000001</v>
      </c>
      <c r="X37" s="499">
        <v>0.94969800000000004</v>
      </c>
      <c r="Y37" s="499">
        <v>0.94920400000000005</v>
      </c>
      <c r="Z37" s="499">
        <v>0.94862599999999997</v>
      </c>
      <c r="AA37" s="499">
        <v>0.94799899999999993</v>
      </c>
      <c r="AB37" s="499">
        <v>0.94740899999999995</v>
      </c>
      <c r="AC37" s="499">
        <v>0.946828</v>
      </c>
      <c r="AD37" s="499">
        <v>0.94627399999999995</v>
      </c>
      <c r="AE37" s="499">
        <v>0.94586000000000003</v>
      </c>
      <c r="AF37" s="499">
        <v>0.94559100000000007</v>
      </c>
      <c r="AG37" s="499">
        <v>0.94483800000000007</v>
      </c>
      <c r="AH37" s="499">
        <v>0.94430499999999995</v>
      </c>
      <c r="AI37" s="499">
        <v>0.94387900000000002</v>
      </c>
      <c r="AJ37" s="499">
        <v>0.94330599999999998</v>
      </c>
      <c r="AK37" s="503">
        <v>-3.7999999999999999E-2</v>
      </c>
      <c r="AL37" s="516" t="s">
        <v>69</v>
      </c>
      <c r="AM37" s="518">
        <v>2.2236826195474173E-2</v>
      </c>
    </row>
    <row r="38" spans="1:44" s="251" customFormat="1">
      <c r="A38" s="501" t="s">
        <v>721</v>
      </c>
      <c r="G38" s="499">
        <v>33.117148999999998</v>
      </c>
      <c r="H38" s="499">
        <v>39.665295</v>
      </c>
      <c r="I38" s="499">
        <v>49.076461999999999</v>
      </c>
      <c r="J38" s="499">
        <v>48.092121000000006</v>
      </c>
      <c r="K38" s="499">
        <v>31.099326999999999</v>
      </c>
      <c r="L38" s="499">
        <v>33.621164</v>
      </c>
      <c r="M38" s="499">
        <v>33.406137000000001</v>
      </c>
      <c r="N38" s="499">
        <v>36.879492999999997</v>
      </c>
      <c r="O38" s="499">
        <v>38.340152000000003</v>
      </c>
      <c r="P38" s="499">
        <v>39.992522999999998</v>
      </c>
      <c r="Q38" s="499">
        <v>45.973090999999997</v>
      </c>
      <c r="R38" s="499">
        <v>51.54372</v>
      </c>
      <c r="S38" s="499">
        <v>55.234722000000005</v>
      </c>
      <c r="T38" s="499">
        <v>56.689168000000002</v>
      </c>
      <c r="U38" s="499">
        <v>59.602361000000002</v>
      </c>
      <c r="V38" s="499">
        <v>63.597943000000001</v>
      </c>
      <c r="W38" s="499">
        <v>65.925087000000005</v>
      </c>
      <c r="X38" s="499">
        <v>67.555729999999997</v>
      </c>
      <c r="Y38" s="499">
        <v>71.099356999999998</v>
      </c>
      <c r="Z38" s="499">
        <v>74.240241999999995</v>
      </c>
      <c r="AA38" s="499">
        <v>74.196168999999998</v>
      </c>
      <c r="AB38" s="499">
        <v>77.206038000000007</v>
      </c>
      <c r="AC38" s="499">
        <v>78.615527999999998</v>
      </c>
      <c r="AD38" s="499">
        <v>79.334253000000004</v>
      </c>
      <c r="AE38" s="499">
        <v>80.274561000000006</v>
      </c>
      <c r="AF38" s="499">
        <v>79.760390000000001</v>
      </c>
      <c r="AG38" s="499">
        <v>80.001097000000001</v>
      </c>
      <c r="AH38" s="499">
        <v>81.286634000000006</v>
      </c>
      <c r="AI38" s="499">
        <v>84.322208000000003</v>
      </c>
      <c r="AJ38" s="499">
        <v>87.020565000000005</v>
      </c>
      <c r="AK38" s="503">
        <v>-4.0000000000000001E-3</v>
      </c>
      <c r="AL38" s="516" t="s">
        <v>76</v>
      </c>
      <c r="AM38" s="518">
        <v>0.65</v>
      </c>
    </row>
    <row r="39" spans="1:44" s="251" customFormat="1">
      <c r="A39" s="501" t="s">
        <v>722</v>
      </c>
      <c r="G39" s="499">
        <v>4.806</v>
      </c>
      <c r="H39" s="499">
        <v>9.3339999999999996</v>
      </c>
      <c r="I39" s="499">
        <v>7.8059539999999998</v>
      </c>
      <c r="J39" s="499">
        <v>7.8757409999999997</v>
      </c>
      <c r="K39" s="499">
        <v>8.1149930000000001</v>
      </c>
      <c r="L39" s="499">
        <v>8.1847829999999995</v>
      </c>
      <c r="M39" s="499">
        <v>8.1847829999999995</v>
      </c>
      <c r="N39" s="499">
        <v>8.1847829999999995</v>
      </c>
      <c r="O39" s="499">
        <v>8.1847829999999995</v>
      </c>
      <c r="P39" s="499">
        <v>8.1847829999999995</v>
      </c>
      <c r="Q39" s="499">
        <v>8.1847829999999995</v>
      </c>
      <c r="R39" s="499">
        <v>8.1847829999999995</v>
      </c>
      <c r="S39" s="499">
        <v>8.1847829999999995</v>
      </c>
      <c r="T39" s="499">
        <v>8.1847829999999995</v>
      </c>
      <c r="U39" s="499">
        <v>8.1847829999999995</v>
      </c>
      <c r="V39" s="499">
        <v>8.1847829999999995</v>
      </c>
      <c r="W39" s="499">
        <v>8.1847829999999995</v>
      </c>
      <c r="X39" s="499">
        <v>8.1847829999999995</v>
      </c>
      <c r="Y39" s="499">
        <v>8.1847829999999995</v>
      </c>
      <c r="Z39" s="499">
        <v>8.1847829999999995</v>
      </c>
      <c r="AA39" s="499">
        <v>8.1847829999999995</v>
      </c>
      <c r="AB39" s="499">
        <v>8.1847829999999995</v>
      </c>
      <c r="AC39" s="499">
        <v>8.1847829999999995</v>
      </c>
      <c r="AD39" s="499">
        <v>8.1847829999999995</v>
      </c>
      <c r="AE39" s="499">
        <v>8.1847829999999995</v>
      </c>
      <c r="AF39" s="499">
        <v>8.1847829999999995</v>
      </c>
      <c r="AG39" s="499">
        <v>8.1847829999999995</v>
      </c>
      <c r="AH39" s="499">
        <v>8.1847829999999995</v>
      </c>
      <c r="AI39" s="499">
        <v>8.1847829999999995</v>
      </c>
      <c r="AJ39" s="499">
        <v>8.1847829999999995</v>
      </c>
      <c r="AK39" s="503">
        <v>-5.0000000000000001E-3</v>
      </c>
      <c r="AL39" s="516" t="s">
        <v>741</v>
      </c>
      <c r="AM39" s="518">
        <v>5.7005965234093346E-3</v>
      </c>
    </row>
    <row r="40" spans="1:44" s="251" customFormat="1">
      <c r="A40" s="501" t="s">
        <v>723</v>
      </c>
      <c r="G40" s="499">
        <v>0.23122799999999999</v>
      </c>
      <c r="H40" s="499">
        <v>0.33035000000000003</v>
      </c>
      <c r="I40" s="499">
        <v>1.3511999999999996E-2</v>
      </c>
      <c r="J40" s="499">
        <v>1.3511999999999996E-2</v>
      </c>
      <c r="K40" s="499">
        <v>1.3511999999999996E-2</v>
      </c>
      <c r="L40" s="499">
        <v>1.3511999999999996E-2</v>
      </c>
      <c r="M40" s="499">
        <v>1.4013999999999999E-2</v>
      </c>
      <c r="N40" s="499">
        <v>1.4280000000000001E-2</v>
      </c>
      <c r="O40" s="499">
        <v>1.4343999999999996E-2</v>
      </c>
      <c r="P40" s="499">
        <v>1.4366000000000004E-2</v>
      </c>
      <c r="Q40" s="499">
        <v>1.6367000000000007E-2</v>
      </c>
      <c r="R40" s="499">
        <v>1.7008000000000009E-2</v>
      </c>
      <c r="S40" s="499">
        <v>1.7030000000000003E-2</v>
      </c>
      <c r="T40" s="499">
        <v>1.721099999999999E-2</v>
      </c>
      <c r="U40" s="499">
        <v>1.7351000000000005E-2</v>
      </c>
      <c r="V40" s="499">
        <v>1.7553000000000013E-2</v>
      </c>
      <c r="W40" s="499">
        <v>1.7667999999999989E-2</v>
      </c>
      <c r="X40" s="499">
        <v>1.772E-2</v>
      </c>
      <c r="Y40" s="499">
        <v>1.7791000000000001E-2</v>
      </c>
      <c r="Z40" s="499">
        <v>1.7880999999999994E-2</v>
      </c>
      <c r="AA40" s="499">
        <v>1.8125000000000002E-2</v>
      </c>
      <c r="AB40" s="499">
        <v>1.8248E-2</v>
      </c>
      <c r="AC40" s="499">
        <v>1.8317E-2</v>
      </c>
      <c r="AD40" s="499">
        <v>1.8393999999999994E-2</v>
      </c>
      <c r="AE40" s="499">
        <v>1.8472999999999989E-2</v>
      </c>
      <c r="AF40" s="499">
        <v>1.8757999999999997E-2</v>
      </c>
      <c r="AG40" s="499">
        <v>1.8873000000000001E-2</v>
      </c>
      <c r="AH40" s="499">
        <v>1.8983E-2</v>
      </c>
      <c r="AI40" s="499">
        <v>1.9057999999999992E-2</v>
      </c>
      <c r="AJ40" s="499">
        <v>1.915E-2</v>
      </c>
      <c r="AK40" s="503">
        <v>1E-3</v>
      </c>
      <c r="AL40" s="517" t="s">
        <v>225</v>
      </c>
      <c r="AM40" s="518">
        <v>0</v>
      </c>
    </row>
    <row r="41" spans="1:44" s="251" customFormat="1">
      <c r="A41" s="501" t="s">
        <v>724</v>
      </c>
      <c r="G41" s="499">
        <v>189.425432</v>
      </c>
      <c r="H41" s="499">
        <v>183.10309899999999</v>
      </c>
      <c r="I41" s="499">
        <v>161.279922</v>
      </c>
      <c r="J41" s="499">
        <v>164.29767899999999</v>
      </c>
      <c r="K41" s="499">
        <v>168.61283700000001</v>
      </c>
      <c r="L41" s="499">
        <v>173.02721199999999</v>
      </c>
      <c r="M41" s="499">
        <v>176.08523199999999</v>
      </c>
      <c r="N41" s="499">
        <v>176.71988099999999</v>
      </c>
      <c r="O41" s="499">
        <v>177.47684099999998</v>
      </c>
      <c r="P41" s="499">
        <v>177.56408199999998</v>
      </c>
      <c r="Q41" s="499">
        <v>178.673936</v>
      </c>
      <c r="R41" s="499">
        <v>179.277254</v>
      </c>
      <c r="S41" s="499">
        <v>180.167452</v>
      </c>
      <c r="T41" s="499">
        <v>181.21535600000001</v>
      </c>
      <c r="U41" s="499">
        <v>181.79784500000002</v>
      </c>
      <c r="V41" s="499">
        <v>183.08373800000001</v>
      </c>
      <c r="W41" s="499">
        <v>184.00170700000001</v>
      </c>
      <c r="X41" s="499">
        <v>184.451977</v>
      </c>
      <c r="Y41" s="499">
        <v>185.28033300000001</v>
      </c>
      <c r="Z41" s="499">
        <v>185.749101</v>
      </c>
      <c r="AA41" s="499">
        <v>187.159041</v>
      </c>
      <c r="AB41" s="499">
        <v>189.09426199999999</v>
      </c>
      <c r="AC41" s="499">
        <v>190.77137400000001</v>
      </c>
      <c r="AD41" s="499">
        <v>192.64729300000002</v>
      </c>
      <c r="AE41" s="499">
        <v>193.64615900000001</v>
      </c>
      <c r="AF41" s="499">
        <v>197.26296000000002</v>
      </c>
      <c r="AG41" s="499">
        <v>201.09660399999999</v>
      </c>
      <c r="AH41" s="499">
        <v>202.52672700000002</v>
      </c>
      <c r="AI41" s="499">
        <v>204.05673200000001</v>
      </c>
      <c r="AJ41" s="499">
        <v>204.829328</v>
      </c>
      <c r="AK41" s="503">
        <v>2.1000000000000001E-2</v>
      </c>
      <c r="AL41" s="517" t="s">
        <v>378</v>
      </c>
      <c r="AM41" s="518">
        <v>2.4945418177906752E-2</v>
      </c>
    </row>
    <row r="42" spans="1:44" s="251" customFormat="1">
      <c r="A42" s="501" t="s">
        <v>725</v>
      </c>
      <c r="G42" s="499">
        <v>0</v>
      </c>
      <c r="H42" s="499">
        <v>0</v>
      </c>
      <c r="I42" s="499">
        <v>0</v>
      </c>
      <c r="J42" s="499">
        <v>0</v>
      </c>
      <c r="K42" s="499">
        <v>1.5115E-2</v>
      </c>
      <c r="L42" s="499">
        <v>0.11178200000000001</v>
      </c>
      <c r="M42" s="499">
        <v>0.223165</v>
      </c>
      <c r="N42" s="499">
        <v>0.32806600000000002</v>
      </c>
      <c r="O42" s="499">
        <v>0.338565</v>
      </c>
      <c r="P42" s="499">
        <v>0.34898499999999999</v>
      </c>
      <c r="Q42" s="499">
        <v>0.35950199999999999</v>
      </c>
      <c r="R42" s="499">
        <v>0.37012299999999998</v>
      </c>
      <c r="S42" s="499">
        <v>0.38046400000000002</v>
      </c>
      <c r="T42" s="499">
        <v>0.39595599999999997</v>
      </c>
      <c r="U42" s="499">
        <v>0.41773399999999999</v>
      </c>
      <c r="V42" s="499">
        <v>0.44779800000000003</v>
      </c>
      <c r="W42" s="499">
        <v>0.48069200000000001</v>
      </c>
      <c r="X42" s="499">
        <v>0.51378699999999999</v>
      </c>
      <c r="Y42" s="499">
        <v>0.54720600000000008</v>
      </c>
      <c r="Z42" s="499">
        <v>0.579071</v>
      </c>
      <c r="AA42" s="499">
        <v>0.60809800000000003</v>
      </c>
      <c r="AB42" s="499">
        <v>0.637741</v>
      </c>
      <c r="AC42" s="499">
        <v>0.67019300000000004</v>
      </c>
      <c r="AD42" s="499">
        <v>0.70581099999999997</v>
      </c>
      <c r="AE42" s="499">
        <v>0.73983899999999991</v>
      </c>
      <c r="AF42" s="499">
        <v>0.77408199999999994</v>
      </c>
      <c r="AG42" s="499">
        <v>0.852321</v>
      </c>
      <c r="AH42" s="499">
        <v>0.93569100000000005</v>
      </c>
      <c r="AI42" s="499">
        <v>1.0207109999999999</v>
      </c>
      <c r="AJ42" s="499">
        <v>1.1066560000000001</v>
      </c>
      <c r="AK42" s="499" t="s">
        <v>41</v>
      </c>
      <c r="AL42" s="517" t="s">
        <v>742</v>
      </c>
      <c r="AM42" s="518">
        <v>0</v>
      </c>
    </row>
    <row r="43" spans="1:44" s="251" customFormat="1">
      <c r="A43" s="502" t="s">
        <v>726</v>
      </c>
      <c r="G43" s="500">
        <v>348.92707900000005</v>
      </c>
      <c r="H43" s="500">
        <v>354.091095</v>
      </c>
      <c r="I43" s="500">
        <v>331.21792600000003</v>
      </c>
      <c r="J43" s="500">
        <v>337.65123699999998</v>
      </c>
      <c r="K43" s="500">
        <v>334.94289400000002</v>
      </c>
      <c r="L43" s="500">
        <v>341.31483500000002</v>
      </c>
      <c r="M43" s="500">
        <v>348.03964999999994</v>
      </c>
      <c r="N43" s="500">
        <v>353.08734099999998</v>
      </c>
      <c r="O43" s="500">
        <v>355.06312600000001</v>
      </c>
      <c r="P43" s="500">
        <v>356.90457900000001</v>
      </c>
      <c r="Q43" s="500">
        <v>360.16699200000005</v>
      </c>
      <c r="R43" s="500">
        <v>364.71881100000002</v>
      </c>
      <c r="S43" s="500">
        <v>369.35690399999999</v>
      </c>
      <c r="T43" s="500">
        <v>371.86606600000005</v>
      </c>
      <c r="U43" s="500">
        <v>375.43338800000004</v>
      </c>
      <c r="V43" s="500">
        <v>380.33083399999998</v>
      </c>
      <c r="W43" s="500">
        <v>383.41915900000004</v>
      </c>
      <c r="X43" s="500">
        <v>385.35127199999999</v>
      </c>
      <c r="Y43" s="500">
        <v>389.63385099999999</v>
      </c>
      <c r="Z43" s="500">
        <v>393.13087399999995</v>
      </c>
      <c r="AA43" s="500">
        <v>394.37347399999999</v>
      </c>
      <c r="AB43" s="500">
        <v>398.89269300000001</v>
      </c>
      <c r="AC43" s="500">
        <v>401.86298400000004</v>
      </c>
      <c r="AD43" s="500">
        <v>404.35404199999999</v>
      </c>
      <c r="AE43" s="500">
        <v>406.22083200000003</v>
      </c>
      <c r="AF43" s="500">
        <v>409.28509500000001</v>
      </c>
      <c r="AG43" s="500">
        <v>413.27477199999998</v>
      </c>
      <c r="AH43" s="500">
        <v>415.92989399999999</v>
      </c>
      <c r="AI43" s="500">
        <v>420.45294200000001</v>
      </c>
      <c r="AJ43" s="500">
        <v>423.86506700000001</v>
      </c>
      <c r="AK43" s="504">
        <v>1E-3</v>
      </c>
      <c r="AL43" s="517" t="s">
        <v>743</v>
      </c>
      <c r="AM43" s="518">
        <v>0</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9.073988398920349E-2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754</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750</v>
      </c>
      <c r="AN48" s="255">
        <v>2006</v>
      </c>
      <c r="AO48" s="255">
        <v>2007</v>
      </c>
      <c r="AP48" s="255">
        <v>2008</v>
      </c>
      <c r="AQ48" s="255">
        <v>2009</v>
      </c>
      <c r="AR48" s="255">
        <v>2010</v>
      </c>
    </row>
    <row r="49" spans="1:44" s="255" customFormat="1">
      <c r="A49" s="254" t="s">
        <v>68</v>
      </c>
      <c r="B49" s="505">
        <f>AN51</f>
        <v>7.2539999999999996</v>
      </c>
      <c r="C49" s="505">
        <f t="shared" ref="C49:F49" si="0">AO51</f>
        <v>7.0910000000000002</v>
      </c>
      <c r="D49" s="505">
        <f t="shared" si="0"/>
        <v>7.8120000000000003</v>
      </c>
      <c r="E49" s="505">
        <f t="shared" si="0"/>
        <v>7.54</v>
      </c>
      <c r="F49" s="505">
        <f t="shared" si="0"/>
        <v>6.9969999999999999</v>
      </c>
      <c r="G49" s="484">
        <f t="shared" ref="G49:AJ49" si="1">G36*$AM36</f>
        <v>7.2435591600000002</v>
      </c>
      <c r="H49" s="484">
        <f t="shared" si="1"/>
        <v>7.26369504</v>
      </c>
      <c r="I49" s="484">
        <f t="shared" si="1"/>
        <v>6.7285363799999995</v>
      </c>
      <c r="J49" s="484">
        <f t="shared" si="1"/>
        <v>6.9873137999999999</v>
      </c>
      <c r="K49" s="484">
        <f t="shared" si="1"/>
        <v>7.5680679</v>
      </c>
      <c r="L49" s="484">
        <f t="shared" si="1"/>
        <v>7.5242083799999993</v>
      </c>
      <c r="M49" s="484">
        <f t="shared" si="1"/>
        <v>7.7495208</v>
      </c>
      <c r="N49" s="484">
        <f t="shared" si="1"/>
        <v>7.7992222799999986</v>
      </c>
      <c r="O49" s="484">
        <f t="shared" si="1"/>
        <v>7.7841618599999993</v>
      </c>
      <c r="P49" s="484">
        <f t="shared" si="1"/>
        <v>7.7896021200000005</v>
      </c>
      <c r="Q49" s="484">
        <f t="shared" si="1"/>
        <v>7.5600661200000001</v>
      </c>
      <c r="R49" s="484">
        <f t="shared" si="1"/>
        <v>7.4624542200000006</v>
      </c>
      <c r="S49" s="484">
        <f t="shared" si="1"/>
        <v>7.4652351000000001</v>
      </c>
      <c r="T49" s="484">
        <f t="shared" si="1"/>
        <v>7.4646888000000002</v>
      </c>
      <c r="U49" s="484">
        <f t="shared" si="1"/>
        <v>7.4676372600000001</v>
      </c>
      <c r="V49" s="484">
        <f t="shared" si="1"/>
        <v>7.4428417799999993</v>
      </c>
      <c r="W49" s="484">
        <f t="shared" si="1"/>
        <v>7.4315251800000004</v>
      </c>
      <c r="X49" s="484">
        <f t="shared" si="1"/>
        <v>7.4206541999999995</v>
      </c>
      <c r="Y49" s="484">
        <f t="shared" si="1"/>
        <v>7.4133119400000007</v>
      </c>
      <c r="Z49" s="484">
        <f t="shared" si="1"/>
        <v>7.4046704999999999</v>
      </c>
      <c r="AA49" s="484">
        <f t="shared" si="1"/>
        <v>7.3955538599999997</v>
      </c>
      <c r="AB49" s="484">
        <f t="shared" si="1"/>
        <v>7.3682519399999995</v>
      </c>
      <c r="AC49" s="484">
        <f t="shared" si="1"/>
        <v>7.3593574199999994</v>
      </c>
      <c r="AD49" s="484">
        <f t="shared" si="1"/>
        <v>7.3510338599999994</v>
      </c>
      <c r="AE49" s="484">
        <f t="shared" si="1"/>
        <v>7.3446686999999997</v>
      </c>
      <c r="AF49" s="484">
        <f t="shared" si="1"/>
        <v>7.3403114399999989</v>
      </c>
      <c r="AG49" s="484">
        <f t="shared" si="1"/>
        <v>7.3305766199999995</v>
      </c>
      <c r="AH49" s="484">
        <f t="shared" si="1"/>
        <v>7.3219658400000007</v>
      </c>
      <c r="AI49" s="484">
        <f t="shared" si="1"/>
        <v>7.3143335399999998</v>
      </c>
      <c r="AJ49" s="484">
        <f t="shared" si="1"/>
        <v>7.3056776999999995</v>
      </c>
      <c r="AK49"/>
    </row>
    <row r="50" spans="1:44" s="255" customFormat="1">
      <c r="A50" s="254" t="s">
        <v>69</v>
      </c>
      <c r="B50" s="505">
        <f t="shared" ref="B50:B51" si="2">AN52</f>
        <v>1.7000000000000001E-2</v>
      </c>
      <c r="C50" s="505">
        <f t="shared" ref="C50:C51" si="3">AO52</f>
        <v>1.0999999999999999E-2</v>
      </c>
      <c r="D50" s="505">
        <f t="shared" ref="D50:D51" si="4">AP52</f>
        <v>1.4E-2</v>
      </c>
      <c r="E50" s="505">
        <f t="shared" ref="E50:E51" si="5">AQ52</f>
        <v>1.6E-2</v>
      </c>
      <c r="F50" s="505">
        <f t="shared" ref="F50:F51" si="6">AR52</f>
        <v>1.0999999999999999E-2</v>
      </c>
      <c r="G50" s="484">
        <f t="shared" ref="G50:AJ50" si="7">G37*$AM37</f>
        <v>1.3815117484114632E-2</v>
      </c>
      <c r="H50" s="484">
        <f t="shared" si="7"/>
        <v>1.3270493136935079E-2</v>
      </c>
      <c r="I50" s="484">
        <f t="shared" si="7"/>
        <v>2.0008851868471029E-2</v>
      </c>
      <c r="J50" s="484">
        <f t="shared" si="7"/>
        <v>2.03902579113758E-2</v>
      </c>
      <c r="K50" s="484">
        <f t="shared" si="7"/>
        <v>2.1183912475118472E-2</v>
      </c>
      <c r="L50" s="484">
        <f t="shared" si="7"/>
        <v>2.1189694049929292E-2</v>
      </c>
      <c r="M50" s="484">
        <f t="shared" si="7"/>
        <v>2.1517375920745801E-2</v>
      </c>
      <c r="N50" s="484">
        <f t="shared" si="7"/>
        <v>2.1654243585978946E-2</v>
      </c>
      <c r="O50" s="484">
        <f t="shared" si="7"/>
        <v>2.1622911897869523E-2</v>
      </c>
      <c r="P50" s="484">
        <f t="shared" si="7"/>
        <v>2.1639100307339825E-2</v>
      </c>
      <c r="Q50" s="484">
        <f t="shared" si="7"/>
        <v>2.1307504755112915E-2</v>
      </c>
      <c r="R50" s="484">
        <f t="shared" si="7"/>
        <v>2.1162142622273103E-2</v>
      </c>
      <c r="S50" s="484">
        <f t="shared" si="7"/>
        <v>2.1166412092902633E-2</v>
      </c>
      <c r="T50" s="484">
        <f t="shared" si="7"/>
        <v>2.1171771168015743E-2</v>
      </c>
      <c r="U50" s="484">
        <f t="shared" si="7"/>
        <v>2.1184646290382921E-2</v>
      </c>
      <c r="V50" s="484">
        <f t="shared" si="7"/>
        <v>2.1161853543532561E-2</v>
      </c>
      <c r="W50" s="484">
        <f t="shared" si="7"/>
        <v>2.1134902510183646E-2</v>
      </c>
      <c r="X50" s="484">
        <f t="shared" si="7"/>
        <v>2.1118269364189431E-2</v>
      </c>
      <c r="Y50" s="484">
        <f t="shared" si="7"/>
        <v>2.1107284372048868E-2</v>
      </c>
      <c r="Z50" s="484">
        <f t="shared" si="7"/>
        <v>2.1094431486507883E-2</v>
      </c>
      <c r="AA50" s="484">
        <f t="shared" si="7"/>
        <v>2.1080488996483317E-2</v>
      </c>
      <c r="AB50" s="484">
        <f t="shared" si="7"/>
        <v>2.106736926902799E-2</v>
      </c>
      <c r="AC50" s="484">
        <f t="shared" si="7"/>
        <v>2.1054449673008419E-2</v>
      </c>
      <c r="AD50" s="484">
        <f t="shared" si="7"/>
        <v>2.1042130471296126E-2</v>
      </c>
      <c r="AE50" s="484">
        <f t="shared" si="7"/>
        <v>2.10329244252512E-2</v>
      </c>
      <c r="AF50" s="484">
        <f t="shared" si="7"/>
        <v>2.102694271900462E-2</v>
      </c>
      <c r="AG50" s="484">
        <f t="shared" si="7"/>
        <v>2.1010198388879429E-2</v>
      </c>
      <c r="AH50" s="484">
        <f t="shared" si="7"/>
        <v>2.0998346160517236E-2</v>
      </c>
      <c r="AI50" s="484">
        <f t="shared" si="7"/>
        <v>2.0988873272557967E-2</v>
      </c>
      <c r="AJ50" s="484">
        <f t="shared" si="7"/>
        <v>2.0976131571147961E-2</v>
      </c>
      <c r="AK50"/>
      <c r="AM50" s="255" t="s">
        <v>747</v>
      </c>
      <c r="AN50" s="255">
        <v>28.459</v>
      </c>
      <c r="AO50" s="255">
        <v>29.37</v>
      </c>
      <c r="AP50" s="255">
        <v>31.800999999999998</v>
      </c>
      <c r="AQ50" s="255">
        <v>33.436</v>
      </c>
      <c r="AR50" s="255">
        <v>30.702000000000002</v>
      </c>
    </row>
    <row r="51" spans="1:44" s="255" customFormat="1">
      <c r="A51" s="254" t="s">
        <v>76</v>
      </c>
      <c r="B51" s="505">
        <f t="shared" si="2"/>
        <v>21.184000000000001</v>
      </c>
      <c r="C51" s="505">
        <f t="shared" si="3"/>
        <v>22.263000000000002</v>
      </c>
      <c r="D51" s="505">
        <f t="shared" si="4"/>
        <v>23.972000000000001</v>
      </c>
      <c r="E51" s="505">
        <f t="shared" si="5"/>
        <v>25.878</v>
      </c>
      <c r="F51" s="505">
        <f t="shared" si="6"/>
        <v>23.687999999999999</v>
      </c>
      <c r="G51" s="484">
        <f t="shared" ref="G51:AJ51" si="8">G38*$AM38</f>
        <v>21.52614685</v>
      </c>
      <c r="H51" s="484">
        <f t="shared" si="8"/>
        <v>25.78244175</v>
      </c>
      <c r="I51" s="484">
        <f t="shared" si="8"/>
        <v>31.899700299999999</v>
      </c>
      <c r="J51" s="484">
        <f t="shared" si="8"/>
        <v>31.259878650000005</v>
      </c>
      <c r="K51" s="484">
        <f t="shared" si="8"/>
        <v>20.21456255</v>
      </c>
      <c r="L51" s="484">
        <f t="shared" si="8"/>
        <v>21.853756600000001</v>
      </c>
      <c r="M51" s="484">
        <f t="shared" si="8"/>
        <v>21.713989050000002</v>
      </c>
      <c r="N51" s="484">
        <f t="shared" si="8"/>
        <v>23.971670449999998</v>
      </c>
      <c r="O51" s="484">
        <f t="shared" si="8"/>
        <v>24.921098800000003</v>
      </c>
      <c r="P51" s="484">
        <f t="shared" si="8"/>
        <v>25.995139949999999</v>
      </c>
      <c r="Q51" s="484">
        <f t="shared" si="8"/>
        <v>29.882509149999997</v>
      </c>
      <c r="R51" s="484">
        <f t="shared" si="8"/>
        <v>33.503418000000003</v>
      </c>
      <c r="S51" s="484">
        <f t="shared" si="8"/>
        <v>35.902569300000003</v>
      </c>
      <c r="T51" s="484">
        <f t="shared" si="8"/>
        <v>36.847959200000005</v>
      </c>
      <c r="U51" s="484">
        <f t="shared" si="8"/>
        <v>38.741534650000006</v>
      </c>
      <c r="V51" s="484">
        <f t="shared" si="8"/>
        <v>41.33866295</v>
      </c>
      <c r="W51" s="484">
        <f t="shared" si="8"/>
        <v>42.851306550000004</v>
      </c>
      <c r="X51" s="484">
        <f t="shared" si="8"/>
        <v>43.911224500000003</v>
      </c>
      <c r="Y51" s="484">
        <f t="shared" si="8"/>
        <v>46.214582049999997</v>
      </c>
      <c r="Z51" s="484">
        <f t="shared" si="8"/>
        <v>48.256157299999998</v>
      </c>
      <c r="AA51" s="484">
        <f t="shared" si="8"/>
        <v>48.227509849999997</v>
      </c>
      <c r="AB51" s="484">
        <f t="shared" si="8"/>
        <v>50.183924700000006</v>
      </c>
      <c r="AC51" s="484">
        <f t="shared" si="8"/>
        <v>51.100093200000003</v>
      </c>
      <c r="AD51" s="484">
        <f t="shared" si="8"/>
        <v>51.567264450000003</v>
      </c>
      <c r="AE51" s="484">
        <f t="shared" si="8"/>
        <v>52.178464650000002</v>
      </c>
      <c r="AF51" s="484">
        <f t="shared" si="8"/>
        <v>51.844253500000001</v>
      </c>
      <c r="AG51" s="484">
        <f t="shared" si="8"/>
        <v>52.000713050000002</v>
      </c>
      <c r="AH51" s="484">
        <f t="shared" si="8"/>
        <v>52.836312100000008</v>
      </c>
      <c r="AI51" s="484">
        <f t="shared" si="8"/>
        <v>54.809435200000003</v>
      </c>
      <c r="AJ51" s="484">
        <f t="shared" si="8"/>
        <v>56.563367250000006</v>
      </c>
      <c r="AK51"/>
      <c r="AM51" s="255" t="s">
        <v>68</v>
      </c>
      <c r="AN51" s="255">
        <v>7.2539999999999996</v>
      </c>
      <c r="AO51" s="255">
        <v>7.0910000000000002</v>
      </c>
      <c r="AP51" s="255">
        <v>7.8120000000000003</v>
      </c>
      <c r="AQ51" s="255">
        <v>7.54</v>
      </c>
      <c r="AR51" s="255">
        <v>6.9969999999999999</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1.7000000000000001E-2</v>
      </c>
      <c r="AO52" s="255">
        <v>1.0999999999999999E-2</v>
      </c>
      <c r="AP52" s="255">
        <v>1.4E-2</v>
      </c>
      <c r="AQ52" s="255">
        <v>1.6E-2</v>
      </c>
      <c r="AR52" s="255">
        <v>1.0999999999999999E-2</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21.184000000000001</v>
      </c>
      <c r="AO53" s="255">
        <v>22.263000000000002</v>
      </c>
      <c r="AP53" s="255">
        <v>23.972000000000001</v>
      </c>
      <c r="AQ53" s="255">
        <v>25.878</v>
      </c>
      <c r="AR53" s="255">
        <v>23.687999999999999</v>
      </c>
    </row>
    <row r="54" spans="1:44" s="255" customFormat="1">
      <c r="A54" s="254" t="s">
        <v>627</v>
      </c>
      <c r="B54" s="506">
        <f>AN56</f>
        <v>3.4009999999999998</v>
      </c>
      <c r="C54" s="506">
        <f t="shared" ref="C54:F54" si="11">AO56</f>
        <v>3.3</v>
      </c>
      <c r="D54" s="506">
        <f t="shared" si="11"/>
        <v>3.2890000000000001</v>
      </c>
      <c r="E54" s="506">
        <f t="shared" si="11"/>
        <v>4.2690000000000001</v>
      </c>
      <c r="F54" s="506">
        <f t="shared" si="11"/>
        <v>4.444</v>
      </c>
      <c r="G54" s="484">
        <f>EIA_RE_aeo2014!G79</f>
        <v>4.6379672080608065</v>
      </c>
      <c r="H54" s="484">
        <f>EIA_RE_aeo2014!H79</f>
        <v>4.8281671180418462</v>
      </c>
      <c r="I54" s="484">
        <f>EIA_RE_aeo2014!I79</f>
        <v>4.9104475784128772</v>
      </c>
      <c r="J54" s="484">
        <f>EIA_RE_aeo2014!J79</f>
        <v>5.2717864053295731</v>
      </c>
      <c r="K54" s="484">
        <f>EIA_RE_aeo2014!K79</f>
        <v>5.4468260450417585</v>
      </c>
      <c r="L54" s="484">
        <f>EIA_RE_aeo2014!L79</f>
        <v>6.2968006079301313</v>
      </c>
      <c r="M54" s="484">
        <f>EIA_RE_aeo2014!M79</f>
        <v>7.3220047845530312</v>
      </c>
      <c r="N54" s="484">
        <f>EIA_RE_aeo2014!N79</f>
        <v>7.9743730836584721</v>
      </c>
      <c r="O54" s="484">
        <f>EIA_RE_aeo2014!O79</f>
        <v>8.1568702079911901</v>
      </c>
      <c r="P54" s="484">
        <f>EIA_RE_aeo2014!P79</f>
        <v>8.1918489625028332</v>
      </c>
      <c r="Q54" s="484">
        <f>EIA_RE_aeo2014!Q79</f>
        <v>8.5680921005852078</v>
      </c>
      <c r="R54" s="484">
        <f>EIA_RE_aeo2014!R79</f>
        <v>9.173703392194529</v>
      </c>
      <c r="S54" s="484">
        <f>EIA_RE_aeo2014!S79</f>
        <v>9.9040421950769311</v>
      </c>
      <c r="T54" s="484">
        <f>EIA_RE_aeo2014!T79</f>
        <v>10.67424991781558</v>
      </c>
      <c r="U54" s="484">
        <f>EIA_RE_aeo2014!U79</f>
        <v>11.359182643252465</v>
      </c>
      <c r="V54" s="484">
        <f>EIA_RE_aeo2014!V79</f>
        <v>12.212057627305127</v>
      </c>
      <c r="W54" s="484">
        <f>EIA_RE_aeo2014!W79</f>
        <v>12.969996167575284</v>
      </c>
      <c r="X54" s="484">
        <f>EIA_RE_aeo2014!X79</f>
        <v>13.397094807039538</v>
      </c>
      <c r="Y54" s="484">
        <f>EIA_RE_aeo2014!Y79</f>
        <v>13.550335893380277</v>
      </c>
      <c r="Z54" s="484">
        <f>EIA_RE_aeo2014!Z79</f>
        <v>13.969278257765348</v>
      </c>
      <c r="AA54" s="484">
        <f>EIA_RE_aeo2014!AA79</f>
        <v>14.940171199189836</v>
      </c>
      <c r="AB54" s="484">
        <f>EIA_RE_aeo2014!AB79</f>
        <v>16.471121340779241</v>
      </c>
      <c r="AC54" s="484">
        <f>EIA_RE_aeo2014!AC79</f>
        <v>17.804665608003248</v>
      </c>
      <c r="AD54" s="484">
        <f>EIA_RE_aeo2014!AD79</f>
        <v>19.235375156079218</v>
      </c>
      <c r="AE54" s="484">
        <f>EIA_RE_aeo2014!AE79</f>
        <v>19.846234033718932</v>
      </c>
      <c r="AF54" s="484">
        <f>EIA_RE_aeo2014!AF79</f>
        <v>20.302147973973319</v>
      </c>
      <c r="AG54" s="484">
        <f>EIA_RE_aeo2014!AG79</f>
        <v>20.609573327160646</v>
      </c>
      <c r="AH54" s="484">
        <f>EIA_RE_aeo2014!AH79</f>
        <v>21.049255578759603</v>
      </c>
      <c r="AI54" s="484">
        <f>EIA_RE_aeo2014!AI79</f>
        <v>21.543622398290307</v>
      </c>
      <c r="AJ54" s="484">
        <f>EIA_RE_aeo2014!AJ79</f>
        <v>21.673754757234903</v>
      </c>
      <c r="AK54"/>
      <c r="AM54" s="255" t="s">
        <v>748</v>
      </c>
      <c r="AN54" s="255">
        <v>4.0000000000000001E-3</v>
      </c>
      <c r="AO54" s="255">
        <v>4.0000000000000001E-3</v>
      </c>
      <c r="AP54" s="255">
        <v>2E-3</v>
      </c>
      <c r="AQ54" s="255">
        <v>2E-3</v>
      </c>
      <c r="AR54" s="255">
        <v>6.0000000000000001E-3</v>
      </c>
    </row>
    <row r="55" spans="1:44" s="255" customFormat="1">
      <c r="A55" s="254" t="s">
        <v>628</v>
      </c>
      <c r="B55" s="506">
        <f>AN58</f>
        <v>0</v>
      </c>
      <c r="C55" s="506">
        <f t="shared" ref="C55:F55" si="12">AO58</f>
        <v>0</v>
      </c>
      <c r="D55" s="506">
        <f t="shared" si="12"/>
        <v>0</v>
      </c>
      <c r="E55" s="506">
        <f t="shared" si="12"/>
        <v>0</v>
      </c>
      <c r="F55" s="506">
        <f t="shared" si="12"/>
        <v>0</v>
      </c>
      <c r="G55" s="484">
        <f>G40*$AM43</f>
        <v>0</v>
      </c>
      <c r="H55" s="484">
        <f t="shared" ref="H55:AJ55" si="13">H40*$AM43</f>
        <v>0</v>
      </c>
      <c r="I55" s="484">
        <f t="shared" si="13"/>
        <v>0</v>
      </c>
      <c r="J55" s="484">
        <f t="shared" si="13"/>
        <v>0</v>
      </c>
      <c r="K55" s="484">
        <f t="shared" si="13"/>
        <v>0</v>
      </c>
      <c r="L55" s="484">
        <f t="shared" si="13"/>
        <v>0</v>
      </c>
      <c r="M55" s="484">
        <f t="shared" si="13"/>
        <v>0</v>
      </c>
      <c r="N55" s="484">
        <f t="shared" si="13"/>
        <v>0</v>
      </c>
      <c r="O55" s="484">
        <f t="shared" si="13"/>
        <v>0</v>
      </c>
      <c r="P55" s="484">
        <f t="shared" si="13"/>
        <v>0</v>
      </c>
      <c r="Q55" s="484">
        <f t="shared" si="13"/>
        <v>0</v>
      </c>
      <c r="R55" s="484">
        <f t="shared" si="13"/>
        <v>0</v>
      </c>
      <c r="S55" s="484">
        <f t="shared" si="13"/>
        <v>0</v>
      </c>
      <c r="T55" s="484">
        <f t="shared" si="13"/>
        <v>0</v>
      </c>
      <c r="U55" s="484">
        <f t="shared" si="13"/>
        <v>0</v>
      </c>
      <c r="V55" s="484">
        <f t="shared" si="13"/>
        <v>0</v>
      </c>
      <c r="W55" s="484">
        <f t="shared" si="13"/>
        <v>0</v>
      </c>
      <c r="X55" s="484">
        <f t="shared" si="13"/>
        <v>0</v>
      </c>
      <c r="Y55" s="484">
        <f t="shared" si="13"/>
        <v>0</v>
      </c>
      <c r="Z55" s="484">
        <f t="shared" si="13"/>
        <v>0</v>
      </c>
      <c r="AA55" s="484">
        <f t="shared" si="13"/>
        <v>0</v>
      </c>
      <c r="AB55" s="484">
        <f t="shared" si="13"/>
        <v>0</v>
      </c>
      <c r="AC55" s="484">
        <f t="shared" si="13"/>
        <v>0</v>
      </c>
      <c r="AD55" s="484">
        <f t="shared" si="13"/>
        <v>0</v>
      </c>
      <c r="AE55" s="484">
        <f t="shared" si="13"/>
        <v>0</v>
      </c>
      <c r="AF55" s="484">
        <f t="shared" si="13"/>
        <v>0</v>
      </c>
      <c r="AG55" s="484">
        <f t="shared" si="13"/>
        <v>0</v>
      </c>
      <c r="AH55" s="484">
        <f t="shared" si="13"/>
        <v>0</v>
      </c>
      <c r="AI55" s="484">
        <f t="shared" si="13"/>
        <v>0</v>
      </c>
      <c r="AJ55" s="484">
        <f t="shared" si="13"/>
        <v>0</v>
      </c>
      <c r="AK55"/>
      <c r="AM55" s="255" t="s">
        <v>225</v>
      </c>
      <c r="AN55" s="255">
        <v>0</v>
      </c>
      <c r="AO55" s="255">
        <v>0</v>
      </c>
      <c r="AP55" s="255">
        <v>0</v>
      </c>
      <c r="AQ55" s="255">
        <v>0</v>
      </c>
      <c r="AR55" s="255">
        <v>0</v>
      </c>
    </row>
    <row r="56" spans="1:44" s="255" customFormat="1">
      <c r="A56" s="254" t="s">
        <v>82</v>
      </c>
      <c r="B56" s="506">
        <f>AN59</f>
        <v>31.86</v>
      </c>
      <c r="C56" s="506">
        <f t="shared" ref="C56" si="14">AO59</f>
        <v>32.67</v>
      </c>
      <c r="D56" s="506">
        <f t="shared" ref="D56" si="15">AP59</f>
        <v>35.090000000000003</v>
      </c>
      <c r="E56" s="506">
        <f t="shared" ref="E56" si="16">AQ59</f>
        <v>37.704999999999998</v>
      </c>
      <c r="F56" s="506">
        <f t="shared" ref="F56" si="17">AR59</f>
        <v>35.146000000000001</v>
      </c>
      <c r="G56" s="528">
        <f>G58</f>
        <v>33.421488335544922</v>
      </c>
      <c r="H56" s="528">
        <f t="shared" ref="H56:AJ56" si="18">H58</f>
        <v>37.887574401178782</v>
      </c>
      <c r="I56" s="528">
        <f t="shared" si="18"/>
        <v>43.558693110281347</v>
      </c>
      <c r="J56" s="528">
        <f t="shared" si="18"/>
        <v>43.539369113240951</v>
      </c>
      <c r="K56" s="528">
        <f t="shared" si="18"/>
        <v>33.250640407516876</v>
      </c>
      <c r="L56" s="528">
        <f t="shared" si="18"/>
        <v>35.695955281980062</v>
      </c>
      <c r="M56" s="528">
        <f t="shared" si="18"/>
        <v>36.807032010473776</v>
      </c>
      <c r="N56" s="528">
        <f t="shared" si="18"/>
        <v>39.766920057244448</v>
      </c>
      <c r="O56" s="528">
        <f t="shared" si="18"/>
        <v>40.883753779889062</v>
      </c>
      <c r="P56" s="528">
        <f t="shared" si="18"/>
        <v>41.998230132810171</v>
      </c>
      <c r="Q56" s="528">
        <f t="shared" si="18"/>
        <v>46.03197487534031</v>
      </c>
      <c r="R56" s="528">
        <f t="shared" si="18"/>
        <v>50.160737754816807</v>
      </c>
      <c r="S56" s="528">
        <f t="shared" si="18"/>
        <v>53.29301300716984</v>
      </c>
      <c r="T56" s="528">
        <f t="shared" si="18"/>
        <v>55.008069688983603</v>
      </c>
      <c r="U56" s="528">
        <f t="shared" si="18"/>
        <v>57.589539199542855</v>
      </c>
      <c r="V56" s="528">
        <f t="shared" si="18"/>
        <v>61.014724210848662</v>
      </c>
      <c r="W56" s="528">
        <f t="shared" si="18"/>
        <v>63.273962800085471</v>
      </c>
      <c r="X56" s="528">
        <f t="shared" si="18"/>
        <v>64.750091776403735</v>
      </c>
      <c r="Y56" s="528">
        <f t="shared" si="18"/>
        <v>67.199337167752319</v>
      </c>
      <c r="Z56" s="528">
        <f t="shared" si="18"/>
        <v>69.651200489251849</v>
      </c>
      <c r="AA56" s="528">
        <f t="shared" si="18"/>
        <v>70.58431539818632</v>
      </c>
      <c r="AB56" s="528">
        <f t="shared" si="18"/>
        <v>74.044365350048281</v>
      </c>
      <c r="AC56" s="528">
        <f t="shared" si="18"/>
        <v>76.285170677676263</v>
      </c>
      <c r="AD56" s="528">
        <f t="shared" si="18"/>
        <v>78.174715596550513</v>
      </c>
      <c r="AE56" s="528">
        <f t="shared" si="18"/>
        <v>79.39040030814418</v>
      </c>
      <c r="AF56" s="528">
        <f t="shared" si="18"/>
        <v>79.507739856692325</v>
      </c>
      <c r="AG56" s="528">
        <f t="shared" si="18"/>
        <v>79.961873195549529</v>
      </c>
      <c r="AH56" s="528">
        <f t="shared" si="18"/>
        <v>81.228531864920129</v>
      </c>
      <c r="AI56" s="528">
        <f t="shared" si="18"/>
        <v>83.68838001156287</v>
      </c>
      <c r="AJ56" s="528">
        <f t="shared" si="18"/>
        <v>85.563775838806066</v>
      </c>
      <c r="AK56"/>
      <c r="AM56" s="255" t="s">
        <v>378</v>
      </c>
      <c r="AN56" s="255">
        <v>3.4009999999999998</v>
      </c>
      <c r="AO56" s="255">
        <v>3.3</v>
      </c>
      <c r="AP56" s="255">
        <v>3.2890000000000001</v>
      </c>
      <c r="AQ56" s="255">
        <v>4.2690000000000001</v>
      </c>
      <c r="AR56" s="255">
        <v>4.444</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749</v>
      </c>
      <c r="AN57" s="255">
        <v>0</v>
      </c>
      <c r="AO57" s="255">
        <v>0</v>
      </c>
      <c r="AP57" s="255">
        <v>0</v>
      </c>
      <c r="AQ57" s="255">
        <v>0</v>
      </c>
      <c r="AR57" s="255">
        <v>0</v>
      </c>
    </row>
    <row r="58" spans="1:44" s="255" customFormat="1">
      <c r="A58" s="254" t="s">
        <v>83</v>
      </c>
      <c r="B58" s="483">
        <f>SUM(B49:B52,B54,B55)</f>
        <v>31.856000000000002</v>
      </c>
      <c r="C58" s="483">
        <f t="shared" ref="C58:AJ58" si="19">SUM(C49:C52,C54,C55)</f>
        <v>32.664999999999999</v>
      </c>
      <c r="D58" s="483">
        <f t="shared" si="19"/>
        <v>35.087000000000003</v>
      </c>
      <c r="E58" s="483">
        <f t="shared" si="19"/>
        <v>37.702999999999996</v>
      </c>
      <c r="F58" s="483">
        <f t="shared" si="19"/>
        <v>35.14</v>
      </c>
      <c r="G58" s="483">
        <f t="shared" si="19"/>
        <v>33.421488335544922</v>
      </c>
      <c r="H58" s="483">
        <f t="shared" si="19"/>
        <v>37.887574401178782</v>
      </c>
      <c r="I58" s="483">
        <f t="shared" si="19"/>
        <v>43.558693110281347</v>
      </c>
      <c r="J58" s="483">
        <f t="shared" si="19"/>
        <v>43.539369113240951</v>
      </c>
      <c r="K58" s="483">
        <f t="shared" si="19"/>
        <v>33.250640407516876</v>
      </c>
      <c r="L58" s="483">
        <f t="shared" si="19"/>
        <v>35.695955281980062</v>
      </c>
      <c r="M58" s="483">
        <f t="shared" si="19"/>
        <v>36.807032010473776</v>
      </c>
      <c r="N58" s="483">
        <f t="shared" si="19"/>
        <v>39.766920057244448</v>
      </c>
      <c r="O58" s="483">
        <f t="shared" si="19"/>
        <v>40.883753779889062</v>
      </c>
      <c r="P58" s="483">
        <f t="shared" si="19"/>
        <v>41.998230132810171</v>
      </c>
      <c r="Q58" s="483">
        <f t="shared" si="19"/>
        <v>46.03197487534031</v>
      </c>
      <c r="R58" s="483">
        <f t="shared" si="19"/>
        <v>50.160737754816807</v>
      </c>
      <c r="S58" s="483">
        <f t="shared" si="19"/>
        <v>53.29301300716984</v>
      </c>
      <c r="T58" s="483">
        <f t="shared" si="19"/>
        <v>55.008069688983603</v>
      </c>
      <c r="U58" s="483">
        <f t="shared" si="19"/>
        <v>57.589539199542855</v>
      </c>
      <c r="V58" s="483">
        <f t="shared" si="19"/>
        <v>61.014724210848662</v>
      </c>
      <c r="W58" s="483">
        <f t="shared" si="19"/>
        <v>63.273962800085471</v>
      </c>
      <c r="X58" s="483">
        <f t="shared" si="19"/>
        <v>64.750091776403735</v>
      </c>
      <c r="Y58" s="483">
        <f t="shared" si="19"/>
        <v>67.199337167752319</v>
      </c>
      <c r="Z58" s="483">
        <f t="shared" si="19"/>
        <v>69.651200489251849</v>
      </c>
      <c r="AA58" s="483">
        <f t="shared" si="19"/>
        <v>70.58431539818632</v>
      </c>
      <c r="AB58" s="483">
        <f t="shared" si="19"/>
        <v>74.044365350048281</v>
      </c>
      <c r="AC58" s="483">
        <f t="shared" si="19"/>
        <v>76.285170677676263</v>
      </c>
      <c r="AD58" s="483">
        <f t="shared" si="19"/>
        <v>78.174715596550513</v>
      </c>
      <c r="AE58" s="483">
        <f t="shared" si="19"/>
        <v>79.39040030814418</v>
      </c>
      <c r="AF58" s="483">
        <f t="shared" si="19"/>
        <v>79.507739856692325</v>
      </c>
      <c r="AG58" s="483">
        <f t="shared" si="19"/>
        <v>79.961873195549529</v>
      </c>
      <c r="AH58" s="483">
        <f t="shared" si="19"/>
        <v>81.228531864920129</v>
      </c>
      <c r="AI58" s="483">
        <f t="shared" si="19"/>
        <v>83.68838001156287</v>
      </c>
      <c r="AJ58" s="483">
        <f t="shared" si="19"/>
        <v>85.563775838806066</v>
      </c>
      <c r="AK58" s="490">
        <v>8.9999999999999993E-3</v>
      </c>
      <c r="AM58" s="255" t="s">
        <v>743</v>
      </c>
      <c r="AN58" s="255">
        <v>0</v>
      </c>
      <c r="AO58" s="255">
        <v>0</v>
      </c>
      <c r="AP58" s="255">
        <v>0</v>
      </c>
      <c r="AQ58" s="255">
        <v>0</v>
      </c>
      <c r="AR58" s="255">
        <v>0</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31.86</v>
      </c>
      <c r="AO59" s="5">
        <v>32.67</v>
      </c>
      <c r="AP59" s="5">
        <v>35.090000000000003</v>
      </c>
      <c r="AQ59" s="5">
        <v>37.704999999999998</v>
      </c>
      <c r="AR59" s="5">
        <v>35.146000000000001</v>
      </c>
    </row>
    <row r="60" spans="1:44" s="274" customFormat="1">
      <c r="A60" s="273" t="s">
        <v>331</v>
      </c>
      <c r="B60" s="367"/>
      <c r="C60" s="367"/>
      <c r="D60" s="367"/>
      <c r="E60" s="367">
        <f>E49/SUM(E49,E51)</f>
        <v>0.22562690765455742</v>
      </c>
      <c r="F60" s="367">
        <f t="shared" ref="F60:AJ60" si="20">F49/SUM(F49,F51)</f>
        <v>0.22802672315463582</v>
      </c>
      <c r="G60" s="324">
        <f t="shared" si="20"/>
        <v>0.25177730900281803</v>
      </c>
      <c r="H60" s="324">
        <f t="shared" si="20"/>
        <v>0.21980466540337165</v>
      </c>
      <c r="I60" s="324">
        <f t="shared" si="20"/>
        <v>0.17418699268464768</v>
      </c>
      <c r="J60" s="324">
        <f t="shared" si="20"/>
        <v>0.18268827990798051</v>
      </c>
      <c r="K60" s="324">
        <f t="shared" si="20"/>
        <v>0.27240285665607306</v>
      </c>
      <c r="L60" s="324">
        <f t="shared" si="20"/>
        <v>0.2561174126636187</v>
      </c>
      <c r="M60" s="324">
        <f t="shared" si="20"/>
        <v>0.26302096523642787</v>
      </c>
      <c r="N60" s="324">
        <f t="shared" si="20"/>
        <v>0.24548325872617049</v>
      </c>
      <c r="O60" s="324">
        <f t="shared" si="20"/>
        <v>0.23800947318302154</v>
      </c>
      <c r="P60" s="324">
        <f t="shared" si="20"/>
        <v>0.23056568269369654</v>
      </c>
      <c r="Q60" s="324">
        <f t="shared" si="20"/>
        <v>0.20191095472157145</v>
      </c>
      <c r="R60" s="324">
        <f t="shared" si="20"/>
        <v>0.18216270802008572</v>
      </c>
      <c r="S60" s="324">
        <f t="shared" si="20"/>
        <v>0.17213772297866201</v>
      </c>
      <c r="T60" s="324">
        <f t="shared" si="20"/>
        <v>0.16845503793860389</v>
      </c>
      <c r="U60" s="324">
        <f t="shared" si="20"/>
        <v>0.16160508728752934</v>
      </c>
      <c r="V60" s="324">
        <f t="shared" si="20"/>
        <v>0.15257507576273568</v>
      </c>
      <c r="W60" s="324">
        <f t="shared" si="20"/>
        <v>0.14779448420694583</v>
      </c>
      <c r="X60" s="324">
        <f t="shared" si="20"/>
        <v>0.14456229516493421</v>
      </c>
      <c r="Y60" s="324">
        <f t="shared" si="20"/>
        <v>0.13823611908724892</v>
      </c>
      <c r="Z60" s="324">
        <f t="shared" si="20"/>
        <v>0.13303198663531196</v>
      </c>
      <c r="AA60" s="324">
        <f t="shared" si="20"/>
        <v>0.1329584055016807</v>
      </c>
      <c r="AB60" s="324">
        <f t="shared" si="20"/>
        <v>0.12802733745571154</v>
      </c>
      <c r="AC60" s="324">
        <f t="shared" si="20"/>
        <v>0.12588824119880171</v>
      </c>
      <c r="AD60" s="324">
        <f t="shared" si="20"/>
        <v>0.12476656778718155</v>
      </c>
      <c r="AE60" s="324">
        <f t="shared" si="20"/>
        <v>0.12339183585670561</v>
      </c>
      <c r="AF60" s="324">
        <f t="shared" si="20"/>
        <v>0.12402408376983837</v>
      </c>
      <c r="AG60" s="324">
        <f t="shared" si="20"/>
        <v>0.12355329979800857</v>
      </c>
      <c r="AH60" s="324">
        <f t="shared" si="20"/>
        <v>0.12171169273333758</v>
      </c>
      <c r="AI60" s="324">
        <f t="shared" si="20"/>
        <v>0.11773808460674531</v>
      </c>
      <c r="AJ60" s="324">
        <f t="shared" si="20"/>
        <v>0.11438526606620253</v>
      </c>
      <c r="AK60" s="324"/>
      <c r="AL60" s="274" t="s">
        <v>0</v>
      </c>
    </row>
    <row r="61" spans="1:44" s="265" customFormat="1">
      <c r="A61" s="262" t="s">
        <v>107</v>
      </c>
      <c r="B61" s="358">
        <f>B54/B58</f>
        <v>0.10676167754897035</v>
      </c>
      <c r="C61" s="358">
        <f t="shared" ref="C61:AJ61" si="21">C54/C58</f>
        <v>0.10102556252870044</v>
      </c>
      <c r="D61" s="358">
        <f t="shared" si="21"/>
        <v>9.3738421637643565E-2</v>
      </c>
      <c r="E61" s="358">
        <f t="shared" si="21"/>
        <v>0.11322706415935073</v>
      </c>
      <c r="F61" s="358">
        <f t="shared" si="21"/>
        <v>0.12646556630620376</v>
      </c>
      <c r="G61" s="309">
        <f t="shared" si="21"/>
        <v>0.13877201282888907</v>
      </c>
      <c r="H61" s="309">
        <f t="shared" si="21"/>
        <v>0.12743405177956257</v>
      </c>
      <c r="I61" s="309">
        <f t="shared" si="21"/>
        <v>0.11273174716194236</v>
      </c>
      <c r="J61" s="309">
        <f t="shared" si="21"/>
        <v>0.12108090936316178</v>
      </c>
      <c r="K61" s="309">
        <f t="shared" si="21"/>
        <v>0.16381116207946511</v>
      </c>
      <c r="L61" s="309">
        <f t="shared" si="21"/>
        <v>0.17640095518353771</v>
      </c>
      <c r="M61" s="309">
        <f t="shared" si="21"/>
        <v>0.19892950842842988</v>
      </c>
      <c r="N61" s="309">
        <f t="shared" si="21"/>
        <v>0.20052780230853606</v>
      </c>
      <c r="O61" s="309">
        <f t="shared" si="21"/>
        <v>0.19951372987681965</v>
      </c>
      <c r="P61" s="309">
        <f t="shared" si="21"/>
        <v>0.19505224235873539</v>
      </c>
      <c r="Q61" s="309">
        <f t="shared" si="21"/>
        <v>0.18613348924934353</v>
      </c>
      <c r="R61" s="309">
        <f t="shared" si="21"/>
        <v>0.18288613371348594</v>
      </c>
      <c r="S61" s="309">
        <f t="shared" si="21"/>
        <v>0.185841288308178</v>
      </c>
      <c r="T61" s="309">
        <f t="shared" si="21"/>
        <v>0.19404880007911454</v>
      </c>
      <c r="U61" s="309">
        <f t="shared" si="21"/>
        <v>0.19724385367790256</v>
      </c>
      <c r="V61" s="309">
        <f t="shared" si="21"/>
        <v>0.2001493538691399</v>
      </c>
      <c r="W61" s="309">
        <f t="shared" si="21"/>
        <v>0.20498156893624755</v>
      </c>
      <c r="X61" s="309">
        <f t="shared" si="21"/>
        <v>0.20690464583899965</v>
      </c>
      <c r="Y61" s="309">
        <f t="shared" si="21"/>
        <v>0.20164389210497785</v>
      </c>
      <c r="Z61" s="309">
        <f t="shared" si="21"/>
        <v>0.20056048079057878</v>
      </c>
      <c r="AA61" s="309">
        <f t="shared" si="21"/>
        <v>0.21166417942722907</v>
      </c>
      <c r="AB61" s="309">
        <f t="shared" si="21"/>
        <v>0.22244935536838256</v>
      </c>
      <c r="AC61" s="309">
        <f t="shared" si="21"/>
        <v>0.23339615615769374</v>
      </c>
      <c r="AD61" s="309">
        <f t="shared" si="21"/>
        <v>0.2460562217501433</v>
      </c>
      <c r="AE61" s="309">
        <f t="shared" si="21"/>
        <v>0.24998279334388276</v>
      </c>
      <c r="AF61" s="309">
        <f t="shared" si="21"/>
        <v>0.2553480706477968</v>
      </c>
      <c r="AG61" s="309">
        <f t="shared" si="21"/>
        <v>0.25774250281455041</v>
      </c>
      <c r="AH61" s="309">
        <f t="shared" si="21"/>
        <v>0.25913623077373465</v>
      </c>
      <c r="AI61" s="309">
        <f t="shared" si="21"/>
        <v>0.25742668689863174</v>
      </c>
      <c r="AJ61" s="309">
        <f t="shared" si="21"/>
        <v>0.25330526317662949</v>
      </c>
      <c r="AK61" s="309"/>
    </row>
    <row r="62" spans="1:44" s="275" customFormat="1">
      <c r="A62" s="264" t="s">
        <v>108</v>
      </c>
      <c r="B62" s="368">
        <f>(B54-EIA_RE_aeo2014!B73)/B56</f>
        <v>4.2153170119271811E-2</v>
      </c>
      <c r="C62" s="368">
        <f>(C54-EIA_RE_aeo2014!C73)/C56</f>
        <v>3.9700030609121507E-2</v>
      </c>
      <c r="D62" s="368">
        <f>(D54-EIA_RE_aeo2014!D73)/D56</f>
        <v>4.383015104018239E-2</v>
      </c>
      <c r="E62" s="368">
        <f>(E54-EIA_RE_aeo2014!E73)/E56</f>
        <v>4.7951200106086736E-2</v>
      </c>
      <c r="F62" s="368">
        <f>(F54-EIA_RE_aeo2014!F73)/F56</f>
        <v>6.5071416377397134E-2</v>
      </c>
      <c r="G62" s="325">
        <f>(G54-EIA_RE_aeo2014!G73)/G56</f>
        <v>6.3207508195934944E-2</v>
      </c>
      <c r="H62" s="325">
        <f>(H54-EIA_RE_aeo2014!H73)/H56</f>
        <v>6.4777712467709872E-2</v>
      </c>
      <c r="I62" s="325">
        <f>(I54-EIA_RE_aeo2014!I73)/I56</f>
        <v>6.7911512646055522E-2</v>
      </c>
      <c r="J62" s="325">
        <f>(J54-EIA_RE_aeo2014!J73)/J56</f>
        <v>7.5287042598034065E-2</v>
      </c>
      <c r="K62" s="325">
        <f>(K54-EIA_RE_aeo2014!K73)/K56</f>
        <v>0.10285944659188312</v>
      </c>
      <c r="L62" s="325">
        <f>(L54-EIA_RE_aeo2014!L73)/L56</f>
        <v>0.11862203469820444</v>
      </c>
      <c r="M62" s="325">
        <f>(M54-EIA_RE_aeo2014!M73)/M56</f>
        <v>0.14221105610291659</v>
      </c>
      <c r="N62" s="325">
        <f>(N54-EIA_RE_aeo2014!N73)/N56</f>
        <v>0.14825603287199812</v>
      </c>
      <c r="O62" s="325">
        <f>(O54-EIA_RE_aeo2014!O73)/O56</f>
        <v>0.14866986723598696</v>
      </c>
      <c r="P62" s="325">
        <f>(P54-EIA_RE_aeo2014!P73)/P56</f>
        <v>0.14555760246890845</v>
      </c>
      <c r="Q62" s="325">
        <f>(Q54-EIA_RE_aeo2014!Q73)/Q56</f>
        <v>0.14074249071494652</v>
      </c>
      <c r="R62" s="325">
        <f>(R54-EIA_RE_aeo2014!R73)/R56</f>
        <v>0.14123131138367392</v>
      </c>
      <c r="S62" s="325">
        <f>(S54-EIA_RE_aeo2014!S73)/S56</f>
        <v>0.14663471566970071</v>
      </c>
      <c r="T62" s="325">
        <f>(T54-EIA_RE_aeo2014!T73)/T56</f>
        <v>0.15606462071411187</v>
      </c>
      <c r="U62" s="325">
        <f>(U54-EIA_RE_aeo2014!U73)/U56</f>
        <v>0.16096232729948859</v>
      </c>
      <c r="V62" s="325">
        <f>(V54-EIA_RE_aeo2014!V73)/V56</f>
        <v>0.16590456847471333</v>
      </c>
      <c r="W62" s="325">
        <f>(W54-EIA_RE_aeo2014!W73)/W56</f>
        <v>0.17195951619865904</v>
      </c>
      <c r="X62" s="325">
        <f>(X54-EIA_RE_aeo2014!X73)/X56</f>
        <v>0.17463540761589538</v>
      </c>
      <c r="Y62" s="325">
        <f>(Y54-EIA_RE_aeo2014!Y73)/Y56</f>
        <v>0.17036297523796243</v>
      </c>
      <c r="Z62" s="325">
        <f>(Z54-EIA_RE_aeo2014!Z73)/Z56</f>
        <v>0.17038071555038917</v>
      </c>
      <c r="AA62" s="325">
        <f>(AA54-EIA_RE_aeo2014!AK73)/AA56</f>
        <v>0.21166417942722907</v>
      </c>
      <c r="AB62" s="325">
        <f>(AB54-EIA_RE_aeo2014!AL73)/AB56</f>
        <v>0.22244935536838256</v>
      </c>
      <c r="AC62" s="325">
        <f>(AC54-EIA_RE_aeo2014!AM73)/AC56</f>
        <v>0.23339615615769374</v>
      </c>
      <c r="AD62" s="325">
        <f>(AD54-EIA_RE_aeo2014!AN73)/AD56</f>
        <v>0.21973057432954929</v>
      </c>
      <c r="AE62" s="325">
        <f>(AE54-EIA_RE_aeo2014!AO73)/AE56</f>
        <v>0.2247530427414724</v>
      </c>
      <c r="AF62" s="325">
        <f>(AF54-EIA_RE_aeo2014!AP73)/AF56</f>
        <v>0.23332505750271093</v>
      </c>
      <c r="AG62" s="325">
        <f>(AG54-EIA_RE_aeo2014!AQ73)/AG56</f>
        <v>0.22696533487625639</v>
      </c>
      <c r="AH62" s="325">
        <f>(AH54-EIA_RE_aeo2014!AR73)/AH56</f>
        <v>0.23258152209591434</v>
      </c>
      <c r="AI62" s="325">
        <f>(AI54-EIA_RE_aeo2014!AS73)/AI56</f>
        <v>0.25742668689863174</v>
      </c>
      <c r="AJ62" s="325">
        <f>(AJ54-EIA_RE_aeo2014!AT73)/AJ56</f>
        <v>0.25330526317662949</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3.0700322011355778</v>
      </c>
      <c r="H64" s="481">
        <f t="shared" ref="H64:O64" si="22">H63/1000/H58</f>
        <v>4.3117294081755055</v>
      </c>
      <c r="I64" s="481">
        <f t="shared" si="22"/>
        <v>5.1878205574230645</v>
      </c>
      <c r="J64" s="481">
        <f t="shared" si="22"/>
        <v>6.6512625091742761</v>
      </c>
      <c r="K64" s="481">
        <f t="shared" si="22"/>
        <v>10.783830567935148</v>
      </c>
      <c r="L64" s="481">
        <f t="shared" si="22"/>
        <v>11.990312716412012</v>
      </c>
      <c r="M64" s="481">
        <f t="shared" si="22"/>
        <v>13.571026119950668</v>
      </c>
      <c r="N64" s="481">
        <f t="shared" si="22"/>
        <v>14.369068410413746</v>
      </c>
      <c r="O64" s="481">
        <f t="shared" si="22"/>
        <v>15.717299911440366</v>
      </c>
      <c r="P64" s="481">
        <f t="shared" ref="P64" si="23">P63/1000/P58</f>
        <v>16.972245503582254</v>
      </c>
      <c r="Q64" s="481">
        <f t="shared" ref="Q64" si="24">Q63/1000/Q58</f>
        <v>17.073600662374144</v>
      </c>
      <c r="R64" s="481">
        <f t="shared" ref="R64" si="25">R63/1000/R58</f>
        <v>17.173902726127203</v>
      </c>
      <c r="S64" s="481">
        <f t="shared" ref="S64" si="26">S63/1000/S58</f>
        <v>17.637037028166255</v>
      </c>
      <c r="T64" s="481">
        <f t="shared" ref="T64" si="27">T63/1000/T58</f>
        <v>18.517917680249035</v>
      </c>
      <c r="U64" s="481">
        <f t="shared" ref="U64" si="28">U63/1000/U58</f>
        <v>19.041881120984989</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0.40445738861652164</v>
      </c>
      <c r="I65" s="481">
        <f t="shared" si="29"/>
        <v>0.20318787806730063</v>
      </c>
      <c r="J65" s="481">
        <f t="shared" si="29"/>
        <v>0.2820918602624421</v>
      </c>
      <c r="K65" s="481">
        <f t="shared" si="29"/>
        <v>0.6213208474422266</v>
      </c>
      <c r="L65" s="481">
        <f t="shared" si="29"/>
        <v>0.11187881160375808</v>
      </c>
      <c r="M65" s="481">
        <f t="shared" si="29"/>
        <v>0.13183254189651109</v>
      </c>
      <c r="N65" s="481">
        <f t="shared" si="29"/>
        <v>5.8804859957485599E-2</v>
      </c>
      <c r="O65" s="481">
        <f t="shared" si="29"/>
        <v>9.3828734230920002E-2</v>
      </c>
      <c r="P65" s="481">
        <f t="shared" si="29"/>
        <v>7.9844858799725152E-2</v>
      </c>
      <c r="Q65" s="481">
        <f t="shared" si="29"/>
        <v>5.9718178581907241E-3</v>
      </c>
      <c r="R65" s="481">
        <f t="shared" si="29"/>
        <v>5.8746872283418862E-3</v>
      </c>
      <c r="S65" s="481">
        <f t="shared" si="29"/>
        <v>2.6967329990431981E-2</v>
      </c>
      <c r="T65" s="481">
        <f t="shared" si="29"/>
        <v>4.9944934099532615E-2</v>
      </c>
      <c r="U65" s="481">
        <f t="shared" si="29"/>
        <v>2.8294943836736409E-2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6" t="s">
        <v>631</v>
      </c>
      <c r="B109" s="566"/>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row>
    <row r="110" spans="1:38">
      <c r="A110" s="565" t="s">
        <v>632</v>
      </c>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row>
    <row r="111" spans="1:38">
      <c r="A111" s="565" t="s">
        <v>633</v>
      </c>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row>
    <row r="112" spans="1:38">
      <c r="A112" s="565" t="s">
        <v>634</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row>
    <row r="113" spans="1:32">
      <c r="A113" s="565" t="s">
        <v>635</v>
      </c>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row>
    <row r="114" spans="1:32">
      <c r="A114" s="565" t="s">
        <v>636</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row>
    <row r="115" spans="1:32">
      <c r="A115" s="565" t="s">
        <v>637</v>
      </c>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row>
    <row r="116" spans="1:32">
      <c r="A116" s="565" t="s">
        <v>638</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row>
    <row r="117" spans="1:32">
      <c r="A117" s="565" t="s">
        <v>639</v>
      </c>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row>
    <row r="118" spans="1:32">
      <c r="A118" s="565" t="s">
        <v>640</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row>
    <row r="119" spans="1:32">
      <c r="A119" s="565" t="s">
        <v>641</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row>
    <row r="120" spans="1:32">
      <c r="A120" s="565" t="s">
        <v>642</v>
      </c>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row>
    <row r="121" spans="1:32">
      <c r="A121" s="565" t="s">
        <v>643</v>
      </c>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row>
    <row r="122" spans="1:32">
      <c r="A122" s="565" t="s">
        <v>644</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row>
    <row r="123" spans="1:32">
      <c r="A123" s="565" t="s">
        <v>645</v>
      </c>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row>
    <row r="124" spans="1:32">
      <c r="A124" s="565" t="s">
        <v>646</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row>
    <row r="125" spans="1:32">
      <c r="A125" s="565" t="s">
        <v>639</v>
      </c>
      <c r="B125" s="565"/>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row>
    <row r="126" spans="1:32">
      <c r="A126" s="565" t="s">
        <v>647</v>
      </c>
      <c r="B126" s="565"/>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row>
    <row r="127" spans="1:32">
      <c r="A127" s="565" t="s">
        <v>648</v>
      </c>
      <c r="B127" s="565"/>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row>
    <row r="128" spans="1:32">
      <c r="A128" s="565" t="s">
        <v>649</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row>
    <row r="129" spans="1:32">
      <c r="A129" s="565" t="s">
        <v>619</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row>
    <row r="130" spans="1:32">
      <c r="A130" s="565" t="s">
        <v>620</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row>
    <row r="131" spans="1:32">
      <c r="A131" s="565" t="s">
        <v>621</v>
      </c>
      <c r="B131" s="565"/>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row>
    <row r="132" spans="1:32">
      <c r="A132" s="565" t="s">
        <v>650</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row>
    <row r="133" spans="1:32">
      <c r="A133" s="565" t="s">
        <v>651</v>
      </c>
      <c r="B133" s="565"/>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row>
    <row r="134" spans="1:32">
      <c r="A134" s="565" t="s">
        <v>652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row>
    <row r="135" spans="1:32">
      <c r="A135" s="565" t="s">
        <v>653</v>
      </c>
      <c r="B135" s="565"/>
      <c r="C135" s="565"/>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row>
    <row r="136" spans="1:32">
      <c r="A136" s="565" t="s">
        <v>654</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row>
    <row r="137" spans="1:32">
      <c r="A137" s="565" t="s">
        <v>655</v>
      </c>
      <c r="B137" s="565"/>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1" zoomScale="125" zoomScaleNormal="125" zoomScalePageLayoutView="125" workbookViewId="0">
      <selection activeCell="B54" sqref="B54:AJ5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661</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f>B57*EIA_electricity_aeo2014!B58</f>
        <v>9.5568E-2</v>
      </c>
      <c r="C54">
        <f>C57*EIA_electricity_aeo2014!C58</f>
        <v>0.1469925</v>
      </c>
      <c r="D54">
        <f>D57*EIA_electricity_aeo2014!D58</f>
        <v>0.15789149999999999</v>
      </c>
      <c r="E54">
        <f>E57*EIA_electricity_aeo2014!E58</f>
        <v>0.22621799999999997</v>
      </c>
      <c r="F54">
        <f>F57*EIA_electricity_aeo2014!F58</f>
        <v>0.21084</v>
      </c>
      <c r="G54">
        <f>G57*EIA_electricity_aeo2014!G58</f>
        <v>0.25066116251658688</v>
      </c>
      <c r="H54">
        <f>H57*EIA_electricity_aeo2014!H58</f>
        <v>0.28415680800884086</v>
      </c>
      <c r="I54">
        <f>I57*EIA_electricity_aeo2014!I58</f>
        <v>0.39202823799253211</v>
      </c>
      <c r="J54">
        <f>J57*EIA_electricity_aeo2014!J58</f>
        <v>0.39185432201916853</v>
      </c>
      <c r="K54">
        <f>K57*EIA_electricity_aeo2014!K58</f>
        <v>0.33250640407516879</v>
      </c>
      <c r="L54">
        <f>L57*EIA_electricity_aeo2014!L58</f>
        <v>0.42835146338376073</v>
      </c>
      <c r="M54">
        <f>M57*EIA_electricity_aeo2014!M58</f>
        <v>0.44168438412568534</v>
      </c>
      <c r="N54">
        <f>N57*EIA_electricity_aeo2014!N58</f>
        <v>0.47720304068693337</v>
      </c>
      <c r="O54">
        <f>O57*EIA_electricity_aeo2014!O58</f>
        <v>0.49060504535866878</v>
      </c>
      <c r="P54">
        <f>P57*EIA_electricity_aeo2014!P58</f>
        <v>0.5543766377530942</v>
      </c>
      <c r="Q54">
        <f>Q57*EIA_electricity_aeo2014!Q58</f>
        <v>0.60762206835449206</v>
      </c>
      <c r="R54">
        <f>R57*EIA_electricity_aeo2014!R58</f>
        <v>0.6621217383635819</v>
      </c>
      <c r="S54">
        <f>S57*EIA_electricity_aeo2014!S58</f>
        <v>0.70346777169464192</v>
      </c>
      <c r="T54">
        <f>T57*EIA_electricity_aeo2014!T58</f>
        <v>0.72610651989458352</v>
      </c>
      <c r="U54">
        <f>U57*EIA_electricity_aeo2014!U58</f>
        <v>0.8638430879931428</v>
      </c>
      <c r="V54">
        <f>V57*EIA_electricity_aeo2014!V58</f>
        <v>0.98088432826582639</v>
      </c>
      <c r="W54">
        <f>W57*EIA_electricity_aeo2014!W58</f>
        <v>1.0551686558376181</v>
      </c>
      <c r="X54">
        <f>X57*EIA_electricity_aeo2014!X58</f>
        <v>1.1186349188799634</v>
      </c>
      <c r="Y54">
        <f>Y57*EIA_electricity_aeo2014!Y58</f>
        <v>1.20126815108448</v>
      </c>
      <c r="Z54">
        <f>Z57*EIA_electricity_aeo2014!Z58</f>
        <v>1.2868888471347526</v>
      </c>
      <c r="AA54">
        <f>AA57*EIA_electricity_aeo2014!AA58</f>
        <v>1.3464798451673061</v>
      </c>
      <c r="AB54">
        <f>AB57*EIA_electricity_aeo2014!AB58</f>
        <v>1.4569110363161826</v>
      </c>
      <c r="AC54">
        <f>AC57*EIA_electricity_aeo2014!AC58</f>
        <v>1.5467726511692708</v>
      </c>
      <c r="AD54">
        <f>AD57*EIA_electricity_aeo2014!AD58</f>
        <v>1.6319902532156081</v>
      </c>
      <c r="AE54">
        <f>AE57*EIA_electricity_aeo2014!AE58</f>
        <v>1.7050033589987115</v>
      </c>
      <c r="AF54">
        <f>AF57*EIA_electricity_aeo2014!AF58</f>
        <v>1.7552280094077319</v>
      </c>
      <c r="AG54">
        <f>AG57*EIA_electricity_aeo2014!AG58</f>
        <v>1.8132306674152741</v>
      </c>
      <c r="AH54">
        <f>AH57*EIA_electricity_aeo2014!AH58</f>
        <v>1.8906907797891863</v>
      </c>
      <c r="AI54">
        <f>AI57*EIA_electricity_aeo2014!AI58</f>
        <v>1.9981597017998791</v>
      </c>
      <c r="AJ54">
        <f>AJ57*EIA_electricity_aeo2014!AJ58</f>
        <v>2.0942752752926874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757</v>
      </c>
      <c r="B57" s="526">
        <v>3.0000000000000001E-3</v>
      </c>
      <c r="C57" s="526">
        <v>4.4999999999999997E-3</v>
      </c>
      <c r="D57" s="526">
        <v>4.4999999999999997E-3</v>
      </c>
      <c r="E57" s="526">
        <v>6.0000000000000001E-3</v>
      </c>
      <c r="F57" s="526">
        <v>6.0000000000000001E-3</v>
      </c>
      <c r="G57" s="526">
        <v>7.4999999999999997E-3</v>
      </c>
      <c r="H57" s="526">
        <v>7.4999999999999997E-3</v>
      </c>
      <c r="I57" s="526">
        <v>8.9999999999999993E-3</v>
      </c>
      <c r="J57" s="526">
        <v>8.9999999999999993E-3</v>
      </c>
      <c r="K57" s="526">
        <v>0.01</v>
      </c>
      <c r="L57" s="526">
        <v>1.2E-2</v>
      </c>
      <c r="M57" s="526">
        <v>1.2E-2</v>
      </c>
      <c r="N57" s="526">
        <v>1.2E-2</v>
      </c>
      <c r="O57" s="526">
        <v>1.2E-2</v>
      </c>
      <c r="P57" s="526">
        <v>1.32E-2</v>
      </c>
      <c r="Q57" s="526">
        <v>1.32E-2</v>
      </c>
      <c r="R57" s="526">
        <v>1.32E-2</v>
      </c>
      <c r="S57" s="526">
        <v>1.32E-2</v>
      </c>
      <c r="T57" s="526">
        <v>1.32E-2</v>
      </c>
      <c r="U57" s="526">
        <v>1.4999999999999999E-2</v>
      </c>
      <c r="V57" s="527">
        <v>1.6076190476190355E-2</v>
      </c>
      <c r="W57" s="527">
        <v>1.6676190476190511E-2</v>
      </c>
      <c r="X57" s="527">
        <v>1.7276190476190445E-2</v>
      </c>
      <c r="Y57" s="527">
        <v>1.7876190476190379E-2</v>
      </c>
      <c r="Z57" s="527">
        <v>1.8476190476190535E-2</v>
      </c>
      <c r="AA57" s="527">
        <v>1.9076190476190469E-2</v>
      </c>
      <c r="AB57" s="527">
        <v>1.9676190476190403E-2</v>
      </c>
      <c r="AC57" s="527">
        <v>2.0276190476190559E-2</v>
      </c>
      <c r="AD57" s="527">
        <v>2.0876190476190493E-2</v>
      </c>
      <c r="AE57" s="527">
        <v>2.1476190476190427E-2</v>
      </c>
      <c r="AF57" s="527">
        <v>2.207619047619036E-2</v>
      </c>
      <c r="AG57" s="527">
        <v>2.2676190476190516E-2</v>
      </c>
      <c r="AH57" s="527">
        <v>2.327619047619045E-2</v>
      </c>
      <c r="AI57" s="527">
        <v>2.3876190476190384E-2</v>
      </c>
      <c r="AJ57" s="527">
        <v>2.447619047619054E-2</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744</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756</v>
      </c>
    </row>
    <row r="60" spans="1:39">
      <c r="A60" s="501" t="s">
        <v>733</v>
      </c>
      <c r="G60" s="499">
        <v>162.222207</v>
      </c>
      <c r="H60" s="499">
        <v>152.48548299999999</v>
      </c>
      <c r="I60" s="499">
        <v>125.40522900000001</v>
      </c>
      <c r="J60" s="499">
        <v>128.07257099999998</v>
      </c>
      <c r="K60" s="499">
        <v>130.18250600000002</v>
      </c>
      <c r="L60" s="499">
        <v>132.48146199999999</v>
      </c>
      <c r="M60" s="499">
        <v>134.09786099999999</v>
      </c>
      <c r="N60" s="499">
        <v>133.52292499999999</v>
      </c>
      <c r="O60" s="499">
        <v>133.52296899999999</v>
      </c>
      <c r="P60" s="499">
        <v>133.52292499999999</v>
      </c>
      <c r="Q60" s="499">
        <v>134.21344500000001</v>
      </c>
      <c r="R60" s="499">
        <v>134.213401</v>
      </c>
      <c r="S60" s="499">
        <v>134.21338599999999</v>
      </c>
      <c r="T60" s="499">
        <v>134.21338599999999</v>
      </c>
      <c r="U60" s="499">
        <v>134.21338599999999</v>
      </c>
      <c r="V60" s="499">
        <v>134.21337</v>
      </c>
      <c r="W60" s="499">
        <v>134.21337</v>
      </c>
      <c r="X60" s="499">
        <v>134.21337</v>
      </c>
      <c r="Y60" s="499">
        <v>135.02405400000001</v>
      </c>
      <c r="Z60" s="499">
        <v>135.02405400000001</v>
      </c>
      <c r="AA60" s="499">
        <v>135.19994199999999</v>
      </c>
      <c r="AB60" s="499">
        <v>135.19994299999999</v>
      </c>
      <c r="AC60" s="499">
        <v>135.19994299999999</v>
      </c>
      <c r="AD60" s="499">
        <v>135.19994299999999</v>
      </c>
      <c r="AE60" s="499">
        <v>135.45874699999999</v>
      </c>
      <c r="AF60" s="499">
        <v>135.45879199999999</v>
      </c>
      <c r="AG60" s="499">
        <v>135.45876100000001</v>
      </c>
      <c r="AH60" s="499">
        <v>135.45871500000001</v>
      </c>
      <c r="AI60" s="499">
        <v>136.08383599999999</v>
      </c>
      <c r="AJ60" s="499">
        <v>136.083822</v>
      </c>
      <c r="AK60" s="503">
        <v>4.0000000000000001E-3</v>
      </c>
      <c r="AL60" s="508" t="s">
        <v>727</v>
      </c>
      <c r="AM60" s="29">
        <v>0.84793127978335536</v>
      </c>
    </row>
    <row r="61" spans="1:39">
      <c r="A61" s="501" t="s">
        <v>734</v>
      </c>
      <c r="G61" s="499">
        <v>1.954</v>
      </c>
      <c r="H61" s="499">
        <v>2.032</v>
      </c>
      <c r="I61" s="499">
        <v>2.413675</v>
      </c>
      <c r="J61" s="499">
        <v>2.6329220000000002</v>
      </c>
      <c r="K61" s="499">
        <v>2.6329220000000002</v>
      </c>
      <c r="L61" s="499">
        <v>3.4325480000000002</v>
      </c>
      <c r="M61" s="499">
        <v>4.5954889999999997</v>
      </c>
      <c r="N61" s="499">
        <v>5.3565990000000001</v>
      </c>
      <c r="O61" s="499">
        <v>5.5484929999999997</v>
      </c>
      <c r="P61" s="499">
        <v>5.560594</v>
      </c>
      <c r="Q61" s="499">
        <v>5.9600369999999998</v>
      </c>
      <c r="R61" s="499">
        <v>6.6367599999999998</v>
      </c>
      <c r="S61" s="499">
        <v>7.4563009999999998</v>
      </c>
      <c r="T61" s="499">
        <v>8.3197150000000004</v>
      </c>
      <c r="U61" s="499">
        <v>9.0521349999999998</v>
      </c>
      <c r="V61" s="499">
        <v>9.9619129999999991</v>
      </c>
      <c r="W61" s="499">
        <v>10.783601000000001</v>
      </c>
      <c r="X61" s="499">
        <v>11.229082</v>
      </c>
      <c r="Y61" s="499">
        <v>11.334820000000001</v>
      </c>
      <c r="Z61" s="499">
        <v>11.75822</v>
      </c>
      <c r="AA61" s="499">
        <v>12.825797</v>
      </c>
      <c r="AB61" s="499">
        <v>14.55463</v>
      </c>
      <c r="AC61" s="499">
        <v>16.048373999999999</v>
      </c>
      <c r="AD61" s="499">
        <v>17.544751999999999</v>
      </c>
      <c r="AE61" s="499">
        <v>17.955031999999999</v>
      </c>
      <c r="AF61" s="499">
        <v>18.306678999999999</v>
      </c>
      <c r="AG61" s="499">
        <v>18.575586000000001</v>
      </c>
      <c r="AH61" s="499">
        <v>18.999571</v>
      </c>
      <c r="AI61" s="499">
        <v>19.477578999999999</v>
      </c>
      <c r="AJ61" s="499">
        <v>19.535769999999999</v>
      </c>
      <c r="AK61" s="499" t="s">
        <v>41</v>
      </c>
      <c r="AL61" s="508" t="s">
        <v>728</v>
      </c>
      <c r="AM61" s="29">
        <v>1.5568017824905484E-2</v>
      </c>
    </row>
    <row r="62" spans="1:39">
      <c r="A62" s="501" t="s">
        <v>735</v>
      </c>
      <c r="G62" s="499">
        <v>0.62751400000000002</v>
      </c>
      <c r="H62" s="499">
        <v>0.73646300000000009</v>
      </c>
      <c r="I62" s="499">
        <v>0.87872300000000003</v>
      </c>
      <c r="J62" s="499">
        <v>0.78539499999999995</v>
      </c>
      <c r="K62" s="499">
        <v>0.87771600000000005</v>
      </c>
      <c r="L62" s="499">
        <v>0.78533600000000003</v>
      </c>
      <c r="M62" s="499">
        <v>0.87237699999999996</v>
      </c>
      <c r="N62" s="499">
        <v>0.68582600000000005</v>
      </c>
      <c r="O62" s="499">
        <v>0.88579399999999997</v>
      </c>
      <c r="P62" s="499">
        <v>0.97640300000000002</v>
      </c>
      <c r="Q62" s="499">
        <v>0.88587199999999999</v>
      </c>
      <c r="R62" s="499">
        <v>0.78643700000000005</v>
      </c>
      <c r="S62" s="499">
        <v>0.87707999999999997</v>
      </c>
      <c r="T62" s="499">
        <v>0.97947099999999998</v>
      </c>
      <c r="U62" s="499">
        <v>0.78452100000000002</v>
      </c>
      <c r="V62" s="499">
        <v>0.87380000000000002</v>
      </c>
      <c r="W62" s="499">
        <v>0.87334900000000004</v>
      </c>
      <c r="X62" s="499">
        <v>0.88547699999999996</v>
      </c>
      <c r="Y62" s="499">
        <v>0.77254599999999995</v>
      </c>
      <c r="Z62" s="499">
        <v>0.77651499999999996</v>
      </c>
      <c r="AA62" s="499">
        <v>0.87795400000000001</v>
      </c>
      <c r="AB62" s="499">
        <v>0.77105699999999999</v>
      </c>
      <c r="AC62" s="499">
        <v>0.87198399999999998</v>
      </c>
      <c r="AD62" s="499">
        <v>0.87318600000000002</v>
      </c>
      <c r="AE62" s="499">
        <v>0.769343</v>
      </c>
      <c r="AF62" s="499">
        <v>0.87090699999999999</v>
      </c>
      <c r="AG62" s="499">
        <v>0.76851599999999998</v>
      </c>
      <c r="AH62" s="499">
        <v>0.76966100000000004</v>
      </c>
      <c r="AI62" s="499">
        <v>0.76929400000000003</v>
      </c>
      <c r="AJ62" s="499">
        <v>0.78509700000000004</v>
      </c>
      <c r="AK62" s="503">
        <v>4.0000000000000001E-3</v>
      </c>
      <c r="AL62" s="508" t="s">
        <v>729</v>
      </c>
      <c r="AM62" s="29">
        <v>0.89022782527655087</v>
      </c>
    </row>
    <row r="63" spans="1:39">
      <c r="A63" s="501" t="s">
        <v>736</v>
      </c>
      <c r="G63" s="499">
        <v>2.6048960000000001</v>
      </c>
      <c r="H63" s="499">
        <v>2.52163</v>
      </c>
      <c r="I63" s="499">
        <v>2.4783379999999999</v>
      </c>
      <c r="J63" s="499">
        <v>2.6484580000000002</v>
      </c>
      <c r="K63" s="499">
        <v>2.6254789999999999</v>
      </c>
      <c r="L63" s="499">
        <v>2.8440859999999999</v>
      </c>
      <c r="M63" s="499">
        <v>3.1130679999999997</v>
      </c>
      <c r="N63" s="499">
        <v>3.8038400000000001</v>
      </c>
      <c r="O63" s="499">
        <v>4.2440170000000004</v>
      </c>
      <c r="P63" s="499">
        <v>4.3191180000000005</v>
      </c>
      <c r="Q63" s="499">
        <v>4.5315149999999997</v>
      </c>
      <c r="R63" s="499">
        <v>4.6377730000000001</v>
      </c>
      <c r="S63" s="499">
        <v>4.7140420000000001</v>
      </c>
      <c r="T63" s="499">
        <v>4.871772</v>
      </c>
      <c r="U63" s="499">
        <v>4.9320510000000004</v>
      </c>
      <c r="V63" s="499">
        <v>5.2148560000000002</v>
      </c>
      <c r="W63" s="499">
        <v>5.3218880000000004</v>
      </c>
      <c r="X63" s="499">
        <v>5.3656499999999996</v>
      </c>
      <c r="Y63" s="499">
        <v>5.4569849999999995</v>
      </c>
      <c r="Z63" s="499">
        <v>5.5342459999999996</v>
      </c>
      <c r="AA63" s="499">
        <v>5.6304229999999995</v>
      </c>
      <c r="AB63" s="499">
        <v>5.9599130000000002</v>
      </c>
      <c r="AC63" s="499">
        <v>6.0681560000000001</v>
      </c>
      <c r="AD63" s="499">
        <v>6.2059850000000001</v>
      </c>
      <c r="AE63" s="499">
        <v>6.3535629999999994</v>
      </c>
      <c r="AF63" s="499">
        <v>6.488855</v>
      </c>
      <c r="AG63" s="499">
        <v>6.7667320000000002</v>
      </c>
      <c r="AH63" s="499">
        <v>6.910914</v>
      </c>
      <c r="AI63" s="499">
        <v>7.0930579999999992</v>
      </c>
      <c r="AJ63" s="499">
        <v>7.2849589999999997</v>
      </c>
      <c r="AK63" s="503">
        <v>1.7999999999999999E-2</v>
      </c>
      <c r="AL63" s="508" t="s">
        <v>143</v>
      </c>
      <c r="AM63" s="29">
        <v>9.9999999999999995E-7</v>
      </c>
    </row>
    <row r="64" spans="1:39">
      <c r="A64" s="501" t="s">
        <v>737</v>
      </c>
      <c r="G64" s="499">
        <v>0.51155100000000009</v>
      </c>
      <c r="H64" s="499">
        <v>0.82118500000000005</v>
      </c>
      <c r="I64" s="499">
        <v>1.023638</v>
      </c>
      <c r="J64" s="499">
        <v>1.1740429999999999</v>
      </c>
      <c r="K64" s="499">
        <v>1.3337669999999999</v>
      </c>
      <c r="L64" s="499">
        <v>1.4866929999999998</v>
      </c>
      <c r="M64" s="499">
        <v>1.5023340000000001</v>
      </c>
      <c r="N64" s="499">
        <v>1.520192</v>
      </c>
      <c r="O64" s="499">
        <v>1.5423739999999999</v>
      </c>
      <c r="P64" s="499">
        <v>1.570133</v>
      </c>
      <c r="Q64" s="499">
        <v>1.600212</v>
      </c>
      <c r="R64" s="499">
        <v>1.6359220000000001</v>
      </c>
      <c r="S64" s="499">
        <v>1.6757070000000001</v>
      </c>
      <c r="T64" s="499">
        <v>1.7184810000000001</v>
      </c>
      <c r="U64" s="499">
        <v>1.7902469999999999</v>
      </c>
      <c r="V64" s="499">
        <v>1.88171</v>
      </c>
      <c r="W64" s="499">
        <v>1.9504509999999999</v>
      </c>
      <c r="X64" s="499">
        <v>2.0058949999999998</v>
      </c>
      <c r="Y64" s="499">
        <v>2.0631339999999998</v>
      </c>
      <c r="Z64" s="499">
        <v>2.1304449999999999</v>
      </c>
      <c r="AA64" s="499">
        <v>2.201117</v>
      </c>
      <c r="AB64" s="499">
        <v>2.2741250000000002</v>
      </c>
      <c r="AC64" s="499">
        <v>2.3493219999999999</v>
      </c>
      <c r="AD64" s="499">
        <v>2.531155</v>
      </c>
      <c r="AE64" s="499">
        <v>2.8220130000000001</v>
      </c>
      <c r="AF64" s="499">
        <v>2.9991880000000002</v>
      </c>
      <c r="AG64" s="499">
        <v>3.0883640000000003</v>
      </c>
      <c r="AH64" s="499">
        <v>3.1784090000000003</v>
      </c>
      <c r="AI64" s="499">
        <v>3.26749</v>
      </c>
      <c r="AJ64" s="499">
        <v>3.358225</v>
      </c>
      <c r="AK64" s="503">
        <v>7.0000000000000007E-2</v>
      </c>
      <c r="AL64" s="508" t="s">
        <v>730</v>
      </c>
      <c r="AM64" s="29">
        <v>7.8339208773991377E-5</v>
      </c>
    </row>
    <row r="65" spans="1:44">
      <c r="A65" s="501" t="s">
        <v>738</v>
      </c>
      <c r="G65" s="499">
        <v>24.002312999999997</v>
      </c>
      <c r="H65" s="499">
        <v>27.39631</v>
      </c>
      <c r="I65" s="499">
        <v>32.237394999999999</v>
      </c>
      <c r="J65" s="499">
        <v>32.337364999999998</v>
      </c>
      <c r="K65" s="499">
        <v>34.599170000000001</v>
      </c>
      <c r="L65" s="499">
        <v>35.894435999999999</v>
      </c>
      <c r="M65" s="499">
        <v>35.896509999999999</v>
      </c>
      <c r="N65" s="499">
        <v>35.895630000000004</v>
      </c>
      <c r="O65" s="499">
        <v>35.893549</v>
      </c>
      <c r="P65" s="499">
        <v>35.892992</v>
      </c>
      <c r="Q65" s="499">
        <v>35.892755999999999</v>
      </c>
      <c r="R65" s="499">
        <v>35.904451000000002</v>
      </c>
      <c r="S65" s="499">
        <v>35.896577000000001</v>
      </c>
      <c r="T65" s="499">
        <v>35.895961</v>
      </c>
      <c r="U65" s="499">
        <v>35.930641000000001</v>
      </c>
      <c r="V65" s="499">
        <v>35.984830000000002</v>
      </c>
      <c r="W65" s="499">
        <v>36.036448</v>
      </c>
      <c r="X65" s="499">
        <v>36.060358000000001</v>
      </c>
      <c r="Y65" s="499">
        <v>36.069782000000004</v>
      </c>
      <c r="Z65" s="499">
        <v>36.112904</v>
      </c>
      <c r="AA65" s="499">
        <v>36.165244000000001</v>
      </c>
      <c r="AB65" s="499">
        <v>36.21696</v>
      </c>
      <c r="AC65" s="499">
        <v>36.271877000000003</v>
      </c>
      <c r="AD65" s="499">
        <v>36.501784999999998</v>
      </c>
      <c r="AE65" s="499">
        <v>36.661152000000001</v>
      </c>
      <c r="AF65" s="499">
        <v>39.680852000000002</v>
      </c>
      <c r="AG65" s="499">
        <v>43.158693999999997</v>
      </c>
      <c r="AH65" s="499">
        <v>44.111682000000002</v>
      </c>
      <c r="AI65" s="499">
        <v>44.450904999999999</v>
      </c>
      <c r="AJ65" s="499">
        <v>45.045570999999995</v>
      </c>
      <c r="AK65" s="503">
        <v>7.2999999999999995E-2</v>
      </c>
      <c r="AL65" s="508" t="s">
        <v>731</v>
      </c>
      <c r="AM65" s="29">
        <v>1.0000000000000001E-5</v>
      </c>
    </row>
    <row r="66" spans="1:44">
      <c r="A66" s="502" t="s">
        <v>739</v>
      </c>
      <c r="G66" s="500">
        <v>191.92247999999998</v>
      </c>
      <c r="H66" s="500">
        <v>185.99306099999998</v>
      </c>
      <c r="I66" s="500">
        <v>164.43701299999998</v>
      </c>
      <c r="J66" s="500">
        <v>167.650746</v>
      </c>
      <c r="K66" s="500">
        <v>172.25156000000001</v>
      </c>
      <c r="L66" s="500">
        <v>176.92456099999998</v>
      </c>
      <c r="M66" s="500">
        <v>180.07764299999999</v>
      </c>
      <c r="N66" s="500">
        <v>180.78501900000001</v>
      </c>
      <c r="O66" s="500">
        <v>181.63718800000001</v>
      </c>
      <c r="P66" s="500">
        <v>181.842163</v>
      </c>
      <c r="Q66" s="500">
        <v>183.08384800000002</v>
      </c>
      <c r="R66" s="500">
        <v>183.81473399999999</v>
      </c>
      <c r="S66" s="500">
        <v>184.83309299999999</v>
      </c>
      <c r="T66" s="500">
        <v>185.998785</v>
      </c>
      <c r="U66" s="500">
        <v>186.70298000000003</v>
      </c>
      <c r="V66" s="500">
        <v>188.13050100000001</v>
      </c>
      <c r="W66" s="500">
        <v>189.17910799999999</v>
      </c>
      <c r="X66" s="500">
        <v>189.75981899999999</v>
      </c>
      <c r="Y66" s="500">
        <v>190.72131400000001</v>
      </c>
      <c r="Z66" s="500">
        <v>191.33638099999999</v>
      </c>
      <c r="AA66" s="500">
        <v>192.900475</v>
      </c>
      <c r="AB66" s="500">
        <v>194.97661799999997</v>
      </c>
      <c r="AC66" s="500">
        <v>196.80967899999999</v>
      </c>
      <c r="AD66" s="500">
        <v>198.85680199999999</v>
      </c>
      <c r="AE66" s="500">
        <v>200.019869</v>
      </c>
      <c r="AF66" s="500">
        <v>203.805263</v>
      </c>
      <c r="AG66" s="500">
        <v>207.81667400000001</v>
      </c>
      <c r="AH66" s="500">
        <v>209.428957</v>
      </c>
      <c r="AI66" s="500">
        <v>211.14216999999999</v>
      </c>
      <c r="AJ66" s="500">
        <v>212.093433</v>
      </c>
      <c r="AK66" s="504">
        <v>2.1999999999999999E-2</v>
      </c>
      <c r="AL66" s="508" t="s">
        <v>732</v>
      </c>
      <c r="AM66" s="29">
        <v>0</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2.4945418177906752E-2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750</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1.3440000000000001</v>
      </c>
      <c r="AO72" s="18">
        <v>1.2529999999999999</v>
      </c>
      <c r="AP72" s="18">
        <v>1.383</v>
      </c>
      <c r="AQ72" s="18">
        <v>1.633</v>
      </c>
      <c r="AR72" s="18">
        <v>2.0699999999999998</v>
      </c>
    </row>
    <row r="73" spans="1:44" s="18" customFormat="1">
      <c r="A73" s="17" t="s">
        <v>49</v>
      </c>
      <c r="B73" s="491">
        <f>AN73</f>
        <v>2.0579999999999998</v>
      </c>
      <c r="C73" s="491">
        <f t="shared" ref="C73:F73" si="0">AO73</f>
        <v>2.0030000000000001</v>
      </c>
      <c r="D73" s="491">
        <f t="shared" si="0"/>
        <v>1.7509999999999999</v>
      </c>
      <c r="E73" s="491">
        <f t="shared" si="0"/>
        <v>2.4609999999999999</v>
      </c>
      <c r="F73" s="491">
        <f t="shared" si="0"/>
        <v>2.157</v>
      </c>
      <c r="G73" s="484">
        <f t="shared" ref="G73:AJ73" si="1">G60*$AM61</f>
        <v>2.525478210171507</v>
      </c>
      <c r="H73" s="484">
        <f t="shared" si="1"/>
        <v>2.3738967173833219</v>
      </c>
      <c r="I73" s="484">
        <f t="shared" si="1"/>
        <v>1.9523108404083542</v>
      </c>
      <c r="J73" s="484">
        <f t="shared" si="1"/>
        <v>1.9938360682094729</v>
      </c>
      <c r="K73" s="484">
        <f t="shared" si="1"/>
        <v>2.0266835738988656</v>
      </c>
      <c r="L73" s="484">
        <f t="shared" si="1"/>
        <v>2.0624737618855384</v>
      </c>
      <c r="M73" s="484">
        <f t="shared" si="1"/>
        <v>2.0876378903296979</v>
      </c>
      <c r="N73" s="484">
        <f t="shared" si="1"/>
        <v>2.0786872764335178</v>
      </c>
      <c r="O73" s="484">
        <f t="shared" si="1"/>
        <v>2.0786879614263021</v>
      </c>
      <c r="P73" s="484">
        <f t="shared" si="1"/>
        <v>2.0786872764335178</v>
      </c>
      <c r="Q73" s="484">
        <f t="shared" si="1"/>
        <v>2.0894373041019718</v>
      </c>
      <c r="R73" s="484">
        <f t="shared" si="1"/>
        <v>2.0894366191091875</v>
      </c>
      <c r="S73" s="484">
        <f t="shared" si="1"/>
        <v>2.08943638558892</v>
      </c>
      <c r="T73" s="484">
        <f t="shared" si="1"/>
        <v>2.08943638558892</v>
      </c>
      <c r="U73" s="484">
        <f t="shared" si="1"/>
        <v>2.08943638558892</v>
      </c>
      <c r="V73" s="484">
        <f t="shared" si="1"/>
        <v>2.0894361365006349</v>
      </c>
      <c r="W73" s="484">
        <f t="shared" si="1"/>
        <v>2.0894361365006349</v>
      </c>
      <c r="X73" s="484">
        <f t="shared" si="1"/>
        <v>2.0894361365006349</v>
      </c>
      <c r="Y73" s="484">
        <f t="shared" si="1"/>
        <v>2.1020568794630008</v>
      </c>
      <c r="Z73" s="484">
        <f t="shared" si="1"/>
        <v>2.1020568794630008</v>
      </c>
      <c r="AA73" s="484">
        <f t="shared" si="1"/>
        <v>2.1047951069821873</v>
      </c>
      <c r="AB73" s="484">
        <f t="shared" si="1"/>
        <v>2.1047951225502053</v>
      </c>
      <c r="AC73" s="484">
        <f t="shared" si="1"/>
        <v>2.1047951225502053</v>
      </c>
      <c r="AD73" s="484">
        <f t="shared" si="1"/>
        <v>2.1047951225502053</v>
      </c>
      <c r="AE73" s="484">
        <f t="shared" si="1"/>
        <v>2.1088241878353622</v>
      </c>
      <c r="AF73" s="484">
        <f t="shared" si="1"/>
        <v>2.108824888396164</v>
      </c>
      <c r="AG73" s="484">
        <f t="shared" si="1"/>
        <v>2.1088244057876118</v>
      </c>
      <c r="AH73" s="484">
        <f t="shared" si="1"/>
        <v>2.108823689658792</v>
      </c>
      <c r="AI73" s="484">
        <f t="shared" si="1"/>
        <v>2.1185555845295143</v>
      </c>
      <c r="AJ73" s="484">
        <f t="shared" si="1"/>
        <v>2.1185553665772652</v>
      </c>
      <c r="AK73" s="485"/>
      <c r="AM73" s="18" t="s">
        <v>728</v>
      </c>
      <c r="AN73" s="18">
        <v>2.0579999999999998</v>
      </c>
      <c r="AO73" s="18">
        <v>2.0030000000000001</v>
      </c>
      <c r="AP73" s="18">
        <v>1.7509999999999999</v>
      </c>
      <c r="AQ73" s="18">
        <v>2.4609999999999999</v>
      </c>
      <c r="AR73" s="18">
        <v>2.157</v>
      </c>
    </row>
    <row r="74" spans="1:44" s="18" customFormat="1">
      <c r="A74" s="17" t="s">
        <v>50</v>
      </c>
      <c r="B74" s="491">
        <f>AN72</f>
        <v>1.3440000000000001</v>
      </c>
      <c r="C74" s="491">
        <f t="shared" ref="C74:F74" si="2">AO72</f>
        <v>1.2529999999999999</v>
      </c>
      <c r="D74" s="491">
        <f t="shared" si="2"/>
        <v>1.383</v>
      </c>
      <c r="E74" s="491">
        <f t="shared" si="2"/>
        <v>1.633</v>
      </c>
      <c r="F74" s="491">
        <f t="shared" si="2"/>
        <v>2.0699999999999998</v>
      </c>
      <c r="G74" s="484">
        <f t="shared" ref="G74:AJ74" si="3">G61*$AM60</f>
        <v>1.6568577206966764</v>
      </c>
      <c r="H74" s="484">
        <f t="shared" si="3"/>
        <v>1.7229963605197782</v>
      </c>
      <c r="I74" s="484">
        <f t="shared" si="3"/>
        <v>2.0466305317310902</v>
      </c>
      <c r="J74" s="484">
        <f t="shared" si="3"/>
        <v>2.2325369210297517</v>
      </c>
      <c r="K74" s="484">
        <f t="shared" si="3"/>
        <v>2.2325369210297517</v>
      </c>
      <c r="L74" s="484">
        <f t="shared" si="3"/>
        <v>2.910564818557797</v>
      </c>
      <c r="M74" s="484">
        <f t="shared" si="3"/>
        <v>3.8966588690003316</v>
      </c>
      <c r="N74" s="484">
        <f t="shared" si="3"/>
        <v>4.5420278453562419</v>
      </c>
      <c r="O74" s="484">
        <f t="shared" si="3"/>
        <v>4.7047407703589883</v>
      </c>
      <c r="P74" s="484">
        <f t="shared" si="3"/>
        <v>4.7150015867756467</v>
      </c>
      <c r="Q74" s="484">
        <f t="shared" si="3"/>
        <v>5.0537018009661496</v>
      </c>
      <c r="R74" s="484">
        <f t="shared" si="3"/>
        <v>5.6275164004149811</v>
      </c>
      <c r="S74" s="484">
        <f t="shared" si="3"/>
        <v>6.322430849379912</v>
      </c>
      <c r="T74" s="484">
        <f t="shared" si="3"/>
        <v>7.0545465873827791</v>
      </c>
      <c r="U74" s="484">
        <f t="shared" si="3"/>
        <v>7.6755884153217036</v>
      </c>
      <c r="V74" s="484">
        <f t="shared" si="3"/>
        <v>8.4470176391804443</v>
      </c>
      <c r="W74" s="484">
        <f t="shared" si="3"/>
        <v>9.1437525966030719</v>
      </c>
      <c r="X74" s="484">
        <f t="shared" si="3"/>
        <v>9.5214898710522391</v>
      </c>
      <c r="Y74" s="484">
        <f t="shared" si="3"/>
        <v>9.6111484287139728</v>
      </c>
      <c r="Z74" s="484">
        <f t="shared" si="3"/>
        <v>9.9701625325742445</v>
      </c>
      <c r="AA74" s="484">
        <f t="shared" si="3"/>
        <v>10.875394464451519</v>
      </c>
      <c r="AB74" s="484">
        <f t="shared" si="3"/>
        <v>12.341326042673217</v>
      </c>
      <c r="AC74" s="484">
        <f t="shared" si="3"/>
        <v>13.607918304261926</v>
      </c>
      <c r="AD74" s="484">
        <f t="shared" si="3"/>
        <v>14.876744016841583</v>
      </c>
      <c r="AE74" s="484">
        <f t="shared" si="3"/>
        <v>15.224633262311098</v>
      </c>
      <c r="AF74" s="484">
        <f t="shared" si="3"/>
        <v>15.522805753053076</v>
      </c>
      <c r="AG74" s="484">
        <f t="shared" si="3"/>
        <v>15.75082040970578</v>
      </c>
      <c r="AH74" s="484">
        <f t="shared" si="3"/>
        <v>16.110330553364726</v>
      </c>
      <c r="AI74" s="484">
        <f t="shared" si="3"/>
        <v>16.515648488551406</v>
      </c>
      <c r="AJ74" s="484">
        <f t="shared" si="3"/>
        <v>16.56499045765328</v>
      </c>
      <c r="AK74" s="485"/>
      <c r="AM74" s="18" t="s">
        <v>729</v>
      </c>
      <c r="AN74" s="18">
        <v>0</v>
      </c>
      <c r="AO74" s="18">
        <v>4.3999999999999997E-2</v>
      </c>
      <c r="AP74" s="18">
        <v>0.156</v>
      </c>
      <c r="AQ74" s="18">
        <v>0.17399999999999999</v>
      </c>
      <c r="AR74" s="18">
        <v>0.217</v>
      </c>
    </row>
    <row r="75" spans="1:44" s="18" customFormat="1">
      <c r="A75" s="17" t="s">
        <v>51</v>
      </c>
      <c r="B75" s="491">
        <f>AN77</f>
        <v>0</v>
      </c>
      <c r="C75" s="491">
        <f t="shared" ref="C75:F75" si="4">AO77</f>
        <v>0</v>
      </c>
      <c r="D75" s="491">
        <f t="shared" si="4"/>
        <v>0</v>
      </c>
      <c r="E75" s="491">
        <f t="shared" si="4"/>
        <v>0</v>
      </c>
      <c r="F75" s="491">
        <f t="shared" si="4"/>
        <v>0</v>
      </c>
      <c r="G75" s="484">
        <f t="shared" ref="G75:AJ75" si="5">G62*$AM65</f>
        <v>6.2751400000000005E-6</v>
      </c>
      <c r="H75" s="484">
        <f t="shared" si="5"/>
        <v>7.3646300000000019E-6</v>
      </c>
      <c r="I75" s="484">
        <f t="shared" si="5"/>
        <v>8.7872300000000016E-6</v>
      </c>
      <c r="J75" s="484">
        <f t="shared" si="5"/>
        <v>7.8539499999999996E-6</v>
      </c>
      <c r="K75" s="484">
        <f t="shared" si="5"/>
        <v>8.7771600000000019E-6</v>
      </c>
      <c r="L75" s="484">
        <f t="shared" si="5"/>
        <v>7.8533600000000006E-6</v>
      </c>
      <c r="M75" s="484">
        <f t="shared" si="5"/>
        <v>8.7237700000000007E-6</v>
      </c>
      <c r="N75" s="484">
        <f t="shared" si="5"/>
        <v>6.8582600000000006E-6</v>
      </c>
      <c r="O75" s="484">
        <f t="shared" si="5"/>
        <v>8.8579399999999998E-6</v>
      </c>
      <c r="P75" s="484">
        <f t="shared" si="5"/>
        <v>9.7640300000000004E-6</v>
      </c>
      <c r="Q75" s="484">
        <f t="shared" si="5"/>
        <v>8.8587200000000001E-6</v>
      </c>
      <c r="R75" s="484">
        <f t="shared" si="5"/>
        <v>7.8643700000000018E-6</v>
      </c>
      <c r="S75" s="484">
        <f t="shared" si="5"/>
        <v>8.7708000000000008E-6</v>
      </c>
      <c r="T75" s="484">
        <f t="shared" si="5"/>
        <v>9.7947100000000003E-6</v>
      </c>
      <c r="U75" s="484">
        <f t="shared" si="5"/>
        <v>7.8452100000000014E-6</v>
      </c>
      <c r="V75" s="484">
        <f t="shared" si="5"/>
        <v>8.7380000000000017E-6</v>
      </c>
      <c r="W75" s="484">
        <f t="shared" si="5"/>
        <v>8.7334900000000013E-6</v>
      </c>
      <c r="X75" s="484">
        <f t="shared" si="5"/>
        <v>8.8547699999999999E-6</v>
      </c>
      <c r="Y75" s="484">
        <f t="shared" si="5"/>
        <v>7.7254599999999997E-6</v>
      </c>
      <c r="Z75" s="484">
        <f t="shared" si="5"/>
        <v>7.7651499999999997E-6</v>
      </c>
      <c r="AA75" s="484">
        <f t="shared" si="5"/>
        <v>8.7795400000000006E-6</v>
      </c>
      <c r="AB75" s="484">
        <f t="shared" si="5"/>
        <v>7.7105699999999999E-6</v>
      </c>
      <c r="AC75" s="484">
        <f t="shared" si="5"/>
        <v>8.7198400000000002E-6</v>
      </c>
      <c r="AD75" s="484">
        <f t="shared" si="5"/>
        <v>8.7318600000000008E-6</v>
      </c>
      <c r="AE75" s="484">
        <f t="shared" si="5"/>
        <v>7.6934300000000003E-6</v>
      </c>
      <c r="AF75" s="484">
        <f t="shared" si="5"/>
        <v>8.7090700000000006E-6</v>
      </c>
      <c r="AG75" s="484">
        <f t="shared" si="5"/>
        <v>7.6851600000000011E-6</v>
      </c>
      <c r="AH75" s="484">
        <f t="shared" si="5"/>
        <v>7.6966100000000008E-6</v>
      </c>
      <c r="AI75" s="484">
        <f t="shared" si="5"/>
        <v>7.6929400000000016E-6</v>
      </c>
      <c r="AJ75" s="484">
        <f t="shared" si="5"/>
        <v>7.8509700000000012E-6</v>
      </c>
      <c r="AK75" s="485"/>
      <c r="AM75" s="18" t="s">
        <v>143</v>
      </c>
      <c r="AN75" s="18">
        <v>0</v>
      </c>
      <c r="AO75" s="18">
        <v>0</v>
      </c>
      <c r="AP75" s="18">
        <v>0</v>
      </c>
      <c r="AQ75" s="18">
        <v>0</v>
      </c>
      <c r="AR75" s="18">
        <v>0</v>
      </c>
    </row>
    <row r="76" spans="1:44" s="18" customFormat="1">
      <c r="A76" s="17" t="s">
        <v>56</v>
      </c>
      <c r="B76" s="492">
        <f>AN76</f>
        <v>0</v>
      </c>
      <c r="C76" s="492">
        <f t="shared" ref="C76:F76" si="6">AO76</f>
        <v>0</v>
      </c>
      <c r="D76" s="492">
        <f t="shared" si="6"/>
        <v>0</v>
      </c>
      <c r="E76" s="492">
        <f t="shared" si="6"/>
        <v>1E-3</v>
      </c>
      <c r="F76" s="492">
        <f t="shared" si="6"/>
        <v>0</v>
      </c>
      <c r="G76" s="492">
        <f>G63*$AM$64</f>
        <v>2.0406549157853506E-4</v>
      </c>
      <c r="H76" s="492">
        <f>H63*$AM$64</f>
        <v>1.9754249902075987E-4</v>
      </c>
      <c r="I76" s="492">
        <f t="shared" ref="I76:AJ76" si="7">I63*$AM$64</f>
        <v>1.9415103799451624E-4</v>
      </c>
      <c r="J76" s="492">
        <f t="shared" si="7"/>
        <v>2.0747810419114766E-4</v>
      </c>
      <c r="K76" s="492">
        <f t="shared" si="7"/>
        <v>2.0567794751273009E-4</v>
      </c>
      <c r="L76" s="492">
        <f t="shared" si="7"/>
        <v>2.2280344692518603E-4</v>
      </c>
      <c r="M76" s="492">
        <f t="shared" si="7"/>
        <v>2.4387528397963178E-4</v>
      </c>
      <c r="N76" s="492">
        <f t="shared" si="7"/>
        <v>2.9798981590285935E-4</v>
      </c>
      <c r="O76" s="492">
        <f t="shared" si="7"/>
        <v>3.3247293380336861E-4</v>
      </c>
      <c r="P76" s="492">
        <f t="shared" si="7"/>
        <v>3.3835628672150412E-4</v>
      </c>
      <c r="Q76" s="492">
        <f t="shared" si="7"/>
        <v>3.5499529964747354E-4</v>
      </c>
      <c r="R76" s="492">
        <f t="shared" si="7"/>
        <v>3.6331946729338034E-4</v>
      </c>
      <c r="S76" s="492">
        <f t="shared" si="7"/>
        <v>3.6929432040736388E-4</v>
      </c>
      <c r="T76" s="492">
        <f t="shared" si="7"/>
        <v>3.8165076380728552E-4</v>
      </c>
      <c r="U76" s="492">
        <f t="shared" si="7"/>
        <v>3.8637297297297298E-4</v>
      </c>
      <c r="V76" s="492">
        <f t="shared" si="7"/>
        <v>4.0852769291030157E-4</v>
      </c>
      <c r="W76" s="492">
        <f t="shared" si="7"/>
        <v>4.1691249510379945E-4</v>
      </c>
      <c r="X76" s="492">
        <f t="shared" si="7"/>
        <v>4.2034077555816679E-4</v>
      </c>
      <c r="Y76" s="492">
        <f t="shared" si="7"/>
        <v>4.2749588719153932E-4</v>
      </c>
      <c r="Z76" s="492">
        <f t="shared" si="7"/>
        <v>4.3354845280062665E-4</v>
      </c>
      <c r="AA76" s="492">
        <f t="shared" si="7"/>
        <v>4.4108288288288283E-4</v>
      </c>
      <c r="AB76" s="492">
        <f t="shared" si="7"/>
        <v>4.6689486878182527E-4</v>
      </c>
      <c r="AC76" s="492">
        <f t="shared" si="7"/>
        <v>4.7537453975714841E-4</v>
      </c>
      <c r="AD76" s="492">
        <f t="shared" si="7"/>
        <v>4.8617195456325887E-4</v>
      </c>
      <c r="AE76" s="492">
        <f t="shared" si="7"/>
        <v>4.9773309831570691E-4</v>
      </c>
      <c r="AF76" s="492">
        <f t="shared" si="7"/>
        <v>5.083317665491578E-4</v>
      </c>
      <c r="AG76" s="492">
        <f t="shared" si="7"/>
        <v>5.3010043086564821E-4</v>
      </c>
      <c r="AH76" s="492">
        <f t="shared" si="7"/>
        <v>5.4139553466509981E-4</v>
      </c>
      <c r="AI76" s="492">
        <f t="shared" si="7"/>
        <v>5.5566455150802966E-4</v>
      </c>
      <c r="AJ76" s="492">
        <f t="shared" si="7"/>
        <v>5.7069792401096746E-4</v>
      </c>
      <c r="AK76" s="485"/>
      <c r="AM76" s="18" t="s">
        <v>746</v>
      </c>
      <c r="AN76" s="18">
        <v>0</v>
      </c>
      <c r="AO76" s="18">
        <v>0</v>
      </c>
      <c r="AP76" s="18">
        <v>0</v>
      </c>
      <c r="AQ76" s="18">
        <v>1E-3</v>
      </c>
      <c r="AR76" s="18">
        <v>0</v>
      </c>
    </row>
    <row r="77" spans="1:44" s="18" customFormat="1">
      <c r="A77" s="17" t="s">
        <v>52</v>
      </c>
      <c r="B77" s="491">
        <f>AN74</f>
        <v>0</v>
      </c>
      <c r="C77" s="491">
        <f t="shared" ref="C77:F77" si="8">AO74</f>
        <v>4.3999999999999997E-2</v>
      </c>
      <c r="D77" s="491">
        <f t="shared" si="8"/>
        <v>0.156</v>
      </c>
      <c r="E77" s="491">
        <f t="shared" si="8"/>
        <v>0.17399999999999999</v>
      </c>
      <c r="F77" s="491">
        <f t="shared" si="8"/>
        <v>0.217</v>
      </c>
      <c r="G77" s="484">
        <f t="shared" ref="G77:AJ77" si="9">G64*$AM62</f>
        <v>0.45539693424804495</v>
      </c>
      <c r="H77" s="484">
        <f t="shared" si="9"/>
        <v>0.7310417366997245</v>
      </c>
      <c r="I77" s="484">
        <f t="shared" si="9"/>
        <v>0.91127103061043802</v>
      </c>
      <c r="J77" s="484">
        <f t="shared" si="9"/>
        <v>1.0451657466711575</v>
      </c>
      <c r="K77" s="484">
        <f t="shared" si="9"/>
        <v>1.1873564958356293</v>
      </c>
      <c r="L77" s="484">
        <f t="shared" si="9"/>
        <v>1.3234954762438711</v>
      </c>
      <c r="M77" s="484">
        <f t="shared" si="9"/>
        <v>1.3374195296590219</v>
      </c>
      <c r="N77" s="484">
        <f t="shared" si="9"/>
        <v>1.3533172181628104</v>
      </c>
      <c r="O77" s="484">
        <f t="shared" si="9"/>
        <v>1.3730642517830949</v>
      </c>
      <c r="P77" s="484">
        <f t="shared" si="9"/>
        <v>1.3977760859849466</v>
      </c>
      <c r="Q77" s="484">
        <f t="shared" si="9"/>
        <v>1.4245532487414401</v>
      </c>
      <c r="R77" s="484">
        <f t="shared" si="9"/>
        <v>1.4563432843820658</v>
      </c>
      <c r="S77" s="484">
        <f t="shared" si="9"/>
        <v>1.4917609984106932</v>
      </c>
      <c r="T77" s="484">
        <f t="shared" si="9"/>
        <v>1.5298396034090724</v>
      </c>
      <c r="U77" s="484">
        <f t="shared" si="9"/>
        <v>1.5937276935178692</v>
      </c>
      <c r="V77" s="484">
        <f t="shared" si="9"/>
        <v>1.6751506011011386</v>
      </c>
      <c r="W77" s="484">
        <f t="shared" si="9"/>
        <v>1.7363457520384737</v>
      </c>
      <c r="X77" s="484">
        <f t="shared" si="9"/>
        <v>1.7857035435831068</v>
      </c>
      <c r="Y77" s="484">
        <f t="shared" si="9"/>
        <v>1.8366592940741113</v>
      </c>
      <c r="Z77" s="484">
        <f t="shared" si="9"/>
        <v>1.8965814192213013</v>
      </c>
      <c r="AA77" s="484">
        <f t="shared" si="9"/>
        <v>1.9594956000892458</v>
      </c>
      <c r="AB77" s="484">
        <f t="shared" si="9"/>
        <v>2.0244893531570365</v>
      </c>
      <c r="AC77" s="484">
        <f t="shared" si="9"/>
        <v>2.0914318149343569</v>
      </c>
      <c r="AD77" s="484">
        <f t="shared" si="9"/>
        <v>2.2533046110878683</v>
      </c>
      <c r="AE77" s="484">
        <f t="shared" si="9"/>
        <v>2.5122344958921552</v>
      </c>
      <c r="AF77" s="484">
        <f t="shared" si="9"/>
        <v>2.669960610835528</v>
      </c>
      <c r="AG77" s="484">
        <f t="shared" si="9"/>
        <v>2.7493475673823902</v>
      </c>
      <c r="AH77" s="484">
        <f t="shared" si="9"/>
        <v>2.8295081319094169</v>
      </c>
      <c r="AI77" s="484">
        <f t="shared" si="9"/>
        <v>2.9088105168128773</v>
      </c>
      <c r="AJ77" s="484">
        <f t="shared" si="9"/>
        <v>2.9895853385393449</v>
      </c>
      <c r="AK77" s="485"/>
      <c r="AM77" s="18" t="s">
        <v>751</v>
      </c>
      <c r="AN77" s="18">
        <v>0</v>
      </c>
      <c r="AO77" s="18">
        <v>0</v>
      </c>
      <c r="AP77" s="18">
        <v>0</v>
      </c>
      <c r="AQ77" s="18">
        <v>0</v>
      </c>
      <c r="AR77" s="18">
        <v>0</v>
      </c>
    </row>
    <row r="78" spans="1:44" s="18" customFormat="1">
      <c r="A78" s="17" t="s">
        <v>53</v>
      </c>
      <c r="B78" s="491">
        <f>AN75</f>
        <v>0</v>
      </c>
      <c r="C78" s="491">
        <f t="shared" ref="C78:F78" si="10">AO75</f>
        <v>0</v>
      </c>
      <c r="D78" s="491">
        <f t="shared" si="10"/>
        <v>0</v>
      </c>
      <c r="E78" s="491">
        <f t="shared" si="10"/>
        <v>0</v>
      </c>
      <c r="F78" s="491">
        <f t="shared" si="10"/>
        <v>0</v>
      </c>
      <c r="G78" s="484">
        <f t="shared" ref="G78:AJ78" si="11">G65*$AM63</f>
        <v>2.4002312999999998E-5</v>
      </c>
      <c r="H78" s="484">
        <f t="shared" si="11"/>
        <v>2.7396309999999998E-5</v>
      </c>
      <c r="I78" s="484">
        <f t="shared" si="11"/>
        <v>3.2237394999999997E-5</v>
      </c>
      <c r="J78" s="484">
        <f t="shared" si="11"/>
        <v>3.2337364999999997E-5</v>
      </c>
      <c r="K78" s="484">
        <f t="shared" si="11"/>
        <v>3.4599169999999997E-5</v>
      </c>
      <c r="L78" s="484">
        <f t="shared" si="11"/>
        <v>3.5894435999999998E-5</v>
      </c>
      <c r="M78" s="484">
        <f t="shared" si="11"/>
        <v>3.5896509999999998E-5</v>
      </c>
      <c r="N78" s="484">
        <f t="shared" si="11"/>
        <v>3.5895630000000004E-5</v>
      </c>
      <c r="O78" s="484">
        <f t="shared" si="11"/>
        <v>3.5893548999999998E-5</v>
      </c>
      <c r="P78" s="484">
        <f t="shared" si="11"/>
        <v>3.5892991999999995E-5</v>
      </c>
      <c r="Q78" s="484">
        <f t="shared" si="11"/>
        <v>3.5892755999999996E-5</v>
      </c>
      <c r="R78" s="484">
        <f t="shared" si="11"/>
        <v>3.5904451000000001E-5</v>
      </c>
      <c r="S78" s="484">
        <f t="shared" si="11"/>
        <v>3.5896577000000002E-5</v>
      </c>
      <c r="T78" s="484">
        <f t="shared" si="11"/>
        <v>3.5895960999999996E-5</v>
      </c>
      <c r="U78" s="484">
        <f t="shared" si="11"/>
        <v>3.5930640999999997E-5</v>
      </c>
      <c r="V78" s="484">
        <f t="shared" si="11"/>
        <v>3.5984830000000004E-5</v>
      </c>
      <c r="W78" s="484">
        <f t="shared" si="11"/>
        <v>3.6036447999999997E-5</v>
      </c>
      <c r="X78" s="484">
        <f t="shared" si="11"/>
        <v>3.6060357999999996E-5</v>
      </c>
      <c r="Y78" s="484">
        <f t="shared" si="11"/>
        <v>3.6069782000000002E-5</v>
      </c>
      <c r="Z78" s="484">
        <f t="shared" si="11"/>
        <v>3.6112903999999995E-5</v>
      </c>
      <c r="AA78" s="484">
        <f t="shared" si="11"/>
        <v>3.6165243999999998E-5</v>
      </c>
      <c r="AB78" s="484">
        <f t="shared" si="11"/>
        <v>3.621696E-5</v>
      </c>
      <c r="AC78" s="484">
        <f t="shared" si="11"/>
        <v>3.6271877000000005E-5</v>
      </c>
      <c r="AD78" s="484">
        <f t="shared" si="11"/>
        <v>3.6501784999999996E-5</v>
      </c>
      <c r="AE78" s="484">
        <f t="shared" si="11"/>
        <v>3.6661152000000003E-5</v>
      </c>
      <c r="AF78" s="484">
        <f t="shared" si="11"/>
        <v>3.9680851999999997E-5</v>
      </c>
      <c r="AG78" s="484">
        <f t="shared" si="11"/>
        <v>4.3158693999999994E-5</v>
      </c>
      <c r="AH78" s="484">
        <f t="shared" si="11"/>
        <v>4.4111681999999997E-5</v>
      </c>
      <c r="AI78" s="484">
        <f t="shared" si="11"/>
        <v>4.4450904999999999E-5</v>
      </c>
      <c r="AJ78" s="484">
        <f t="shared" si="11"/>
        <v>4.5045570999999995E-5</v>
      </c>
      <c r="AK78" s="485"/>
      <c r="AM78" s="18" t="s">
        <v>752</v>
      </c>
      <c r="AN78" s="18">
        <v>0</v>
      </c>
      <c r="AO78" s="18">
        <v>0</v>
      </c>
      <c r="AP78" s="18">
        <v>0</v>
      </c>
      <c r="AQ78" s="18">
        <v>0</v>
      </c>
      <c r="AR78" s="18">
        <v>0</v>
      </c>
    </row>
    <row r="79" spans="1:44" s="18" customFormat="1">
      <c r="A79" s="17" t="s">
        <v>54</v>
      </c>
      <c r="B79" s="493">
        <f>AN79</f>
        <v>3.4009999999999998</v>
      </c>
      <c r="C79" s="493">
        <f t="shared" ref="C79:F79" si="12">AO79</f>
        <v>3.3</v>
      </c>
      <c r="D79" s="493">
        <f t="shared" si="12"/>
        <v>3.2890000000000001</v>
      </c>
      <c r="E79" s="493">
        <f t="shared" si="12"/>
        <v>4.2690000000000001</v>
      </c>
      <c r="F79" s="493">
        <f t="shared" si="12"/>
        <v>4.444</v>
      </c>
      <c r="G79" s="486">
        <f>SUM(G73:G78)</f>
        <v>4.6379672080608065</v>
      </c>
      <c r="H79" s="486">
        <f t="shared" ref="H79:AJ79" si="13">SUM(H73:H78)</f>
        <v>4.8281671180418462</v>
      </c>
      <c r="I79" s="486">
        <f t="shared" si="13"/>
        <v>4.9104475784128772</v>
      </c>
      <c r="J79" s="486">
        <f t="shared" si="13"/>
        <v>5.2717864053295731</v>
      </c>
      <c r="K79" s="486">
        <f t="shared" si="13"/>
        <v>5.4468260450417585</v>
      </c>
      <c r="L79" s="486">
        <f t="shared" si="13"/>
        <v>6.2968006079301313</v>
      </c>
      <c r="M79" s="486">
        <f t="shared" si="13"/>
        <v>7.3220047845530312</v>
      </c>
      <c r="N79" s="486">
        <f t="shared" si="13"/>
        <v>7.9743730836584721</v>
      </c>
      <c r="O79" s="486">
        <f t="shared" si="13"/>
        <v>8.1568702079911901</v>
      </c>
      <c r="P79" s="486">
        <f t="shared" si="13"/>
        <v>8.1918489625028332</v>
      </c>
      <c r="Q79" s="486">
        <f t="shared" si="13"/>
        <v>8.5680921005852078</v>
      </c>
      <c r="R79" s="486">
        <f t="shared" si="13"/>
        <v>9.173703392194529</v>
      </c>
      <c r="S79" s="486">
        <f t="shared" si="13"/>
        <v>9.9040421950769311</v>
      </c>
      <c r="T79" s="486">
        <f t="shared" si="13"/>
        <v>10.67424991781558</v>
      </c>
      <c r="U79" s="486">
        <f t="shared" si="13"/>
        <v>11.359182643252465</v>
      </c>
      <c r="V79" s="486">
        <f t="shared" si="13"/>
        <v>12.212057627305127</v>
      </c>
      <c r="W79" s="486">
        <f t="shared" si="13"/>
        <v>12.969996167575284</v>
      </c>
      <c r="X79" s="486">
        <f t="shared" si="13"/>
        <v>13.397094807039538</v>
      </c>
      <c r="Y79" s="486">
        <f t="shared" si="13"/>
        <v>13.550335893380277</v>
      </c>
      <c r="Z79" s="486">
        <f t="shared" si="13"/>
        <v>13.969278257765348</v>
      </c>
      <c r="AA79" s="486">
        <f t="shared" si="13"/>
        <v>14.940171199189836</v>
      </c>
      <c r="AB79" s="486">
        <f t="shared" si="13"/>
        <v>16.471121340779241</v>
      </c>
      <c r="AC79" s="486">
        <f t="shared" si="13"/>
        <v>17.804665608003248</v>
      </c>
      <c r="AD79" s="486">
        <f t="shared" si="13"/>
        <v>19.235375156079218</v>
      </c>
      <c r="AE79" s="486">
        <f t="shared" si="13"/>
        <v>19.846234033718932</v>
      </c>
      <c r="AF79" s="486">
        <f t="shared" si="13"/>
        <v>20.302147973973319</v>
      </c>
      <c r="AG79" s="486">
        <f t="shared" si="13"/>
        <v>20.609573327160646</v>
      </c>
      <c r="AH79" s="486">
        <f t="shared" si="13"/>
        <v>21.049255578759603</v>
      </c>
      <c r="AI79" s="486">
        <f t="shared" si="13"/>
        <v>21.543622398290307</v>
      </c>
      <c r="AJ79" s="486">
        <f t="shared" si="13"/>
        <v>21.673754757234903</v>
      </c>
      <c r="AK79" s="487"/>
      <c r="AM79" s="18" t="s">
        <v>58</v>
      </c>
      <c r="AN79" s="18">
        <v>3.4009999999999998</v>
      </c>
      <c r="AO79" s="18">
        <v>3.3</v>
      </c>
      <c r="AP79" s="18">
        <v>3.2890000000000001</v>
      </c>
      <c r="AQ79" s="18">
        <v>4.2690000000000001</v>
      </c>
      <c r="AR79" s="18">
        <v>4.444</v>
      </c>
    </row>
    <row r="80" spans="1:44" s="255" customFormat="1">
      <c r="A80" s="254" t="s">
        <v>57</v>
      </c>
      <c r="B80" s="474">
        <f>B79*1000</f>
        <v>3401</v>
      </c>
      <c r="C80" s="474">
        <f t="shared" ref="C80:AJ80" si="14">C79*1000</f>
        <v>3300</v>
      </c>
      <c r="D80" s="474">
        <f t="shared" si="14"/>
        <v>3289</v>
      </c>
      <c r="E80" s="474">
        <f t="shared" si="14"/>
        <v>4269</v>
      </c>
      <c r="F80" s="474">
        <f t="shared" si="14"/>
        <v>4444</v>
      </c>
      <c r="G80" s="276">
        <f t="shared" si="14"/>
        <v>4637.9672080608061</v>
      </c>
      <c r="H80" s="276">
        <f t="shared" si="14"/>
        <v>4828.1671180418462</v>
      </c>
      <c r="I80" s="276">
        <f t="shared" si="14"/>
        <v>4910.4475784128772</v>
      </c>
      <c r="J80" s="276">
        <f t="shared" si="14"/>
        <v>5271.7864053295734</v>
      </c>
      <c r="K80" s="276">
        <f t="shared" si="14"/>
        <v>5446.8260450417583</v>
      </c>
      <c r="L80" s="276">
        <f t="shared" si="14"/>
        <v>6296.8006079301313</v>
      </c>
      <c r="M80" s="276">
        <f t="shared" si="14"/>
        <v>7322.0047845530307</v>
      </c>
      <c r="N80" s="276">
        <f t="shared" si="14"/>
        <v>7974.3730836584718</v>
      </c>
      <c r="O80" s="276">
        <f t="shared" si="14"/>
        <v>8156.87020799119</v>
      </c>
      <c r="P80" s="276">
        <f t="shared" si="14"/>
        <v>8191.8489625028333</v>
      </c>
      <c r="Q80" s="276">
        <f t="shared" si="14"/>
        <v>8568.0921005852069</v>
      </c>
      <c r="R80" s="276">
        <f t="shared" si="14"/>
        <v>9173.7033921945294</v>
      </c>
      <c r="S80" s="276">
        <f t="shared" si="14"/>
        <v>9904.0421950769305</v>
      </c>
      <c r="T80" s="276">
        <f t="shared" si="14"/>
        <v>10674.249917815579</v>
      </c>
      <c r="U80" s="276">
        <f t="shared" si="14"/>
        <v>11359.182643252465</v>
      </c>
      <c r="V80" s="276">
        <f t="shared" si="14"/>
        <v>12212.057627305127</v>
      </c>
      <c r="W80" s="276">
        <f t="shared" si="14"/>
        <v>12969.996167575284</v>
      </c>
      <c r="X80" s="276">
        <f t="shared" si="14"/>
        <v>13397.094807039539</v>
      </c>
      <c r="Y80" s="276">
        <f t="shared" si="14"/>
        <v>13550.335893380277</v>
      </c>
      <c r="Z80" s="276">
        <f t="shared" si="14"/>
        <v>13969.278257765347</v>
      </c>
      <c r="AA80" s="276">
        <f t="shared" si="14"/>
        <v>14940.171199189836</v>
      </c>
      <c r="AB80" s="276">
        <f t="shared" si="14"/>
        <v>16471.121340779242</v>
      </c>
      <c r="AC80" s="276">
        <f t="shared" si="14"/>
        <v>17804.665608003248</v>
      </c>
      <c r="AD80" s="276">
        <f t="shared" si="14"/>
        <v>19235.375156079219</v>
      </c>
      <c r="AE80" s="276">
        <f t="shared" si="14"/>
        <v>19846.234033718931</v>
      </c>
      <c r="AF80" s="276">
        <f t="shared" si="14"/>
        <v>20302.147973973319</v>
      </c>
      <c r="AG80" s="276">
        <f t="shared" si="14"/>
        <v>20609.573327160648</v>
      </c>
      <c r="AH80" s="276">
        <f t="shared" si="14"/>
        <v>21049.255578759603</v>
      </c>
      <c r="AI80" s="276">
        <f t="shared" si="14"/>
        <v>21543.622398290307</v>
      </c>
      <c r="AJ80" s="276">
        <f t="shared" si="14"/>
        <v>21673.754757234903</v>
      </c>
      <c r="AK80" s="321"/>
    </row>
    <row r="81" spans="1:37" s="256" customFormat="1">
      <c r="A81" s="257" t="s">
        <v>339</v>
      </c>
      <c r="B81" s="260">
        <f t="shared" ref="B81:Q82" si="15">B74/SUM(B$74:B$78)</f>
        <v>1</v>
      </c>
      <c r="C81" s="260">
        <f>C74/SUM(C$74:C$78)</f>
        <v>0.96607555898226671</v>
      </c>
      <c r="D81" s="260">
        <f t="shared" si="15"/>
        <v>0.89863547758284601</v>
      </c>
      <c r="E81" s="260">
        <f t="shared" si="15"/>
        <v>0.90320796460177</v>
      </c>
      <c r="F81" s="260">
        <f t="shared" si="15"/>
        <v>0.90511587232181889</v>
      </c>
      <c r="G81" s="260">
        <f t="shared" si="15"/>
        <v>0.7843154318683464</v>
      </c>
      <c r="H81" s="260">
        <f t="shared" si="15"/>
        <v>0.7020401501226059</v>
      </c>
      <c r="I81" s="260">
        <f t="shared" si="15"/>
        <v>0.69186474899456152</v>
      </c>
      <c r="J81" s="260">
        <f t="shared" si="15"/>
        <v>0.68107710350217976</v>
      </c>
      <c r="K81" s="260">
        <f t="shared" si="15"/>
        <v>0.65276138051749488</v>
      </c>
      <c r="L81" s="260">
        <f t="shared" si="15"/>
        <v>0.68737367812705319</v>
      </c>
      <c r="M81" s="260">
        <f t="shared" si="15"/>
        <v>0.74443747405263072</v>
      </c>
      <c r="N81" s="260">
        <f t="shared" si="15"/>
        <v>0.77039855817793867</v>
      </c>
      <c r="O81" s="260">
        <f t="shared" si="15"/>
        <v>0.77403746375289995</v>
      </c>
      <c r="P81" s="260">
        <f t="shared" si="15"/>
        <v>0.77128690993405302</v>
      </c>
      <c r="Q81" s="260">
        <f t="shared" si="15"/>
        <v>0.78005418712992924</v>
      </c>
      <c r="R81" s="260">
        <f t="shared" ref="R81:AJ82" si="16">R74/SUM(R$74:R$78)</f>
        <v>0.79436822195842927</v>
      </c>
      <c r="S81" s="260">
        <f t="shared" si="16"/>
        <v>0.80905307363086787</v>
      </c>
      <c r="T81" s="260">
        <f t="shared" si="16"/>
        <v>0.82174721220217672</v>
      </c>
      <c r="U81" s="260">
        <f t="shared" si="16"/>
        <v>0.8280257303673324</v>
      </c>
      <c r="V81" s="260">
        <f t="shared" si="16"/>
        <v>0.83446937602614235</v>
      </c>
      <c r="W81" s="260">
        <f t="shared" si="16"/>
        <v>0.84037518018270274</v>
      </c>
      <c r="X81" s="260">
        <f t="shared" si="16"/>
        <v>0.8420390240341824</v>
      </c>
      <c r="Y81" s="260">
        <f t="shared" si="16"/>
        <v>0.83952779426759538</v>
      </c>
      <c r="Z81" s="260">
        <f t="shared" si="16"/>
        <v>0.84014296310367775</v>
      </c>
      <c r="AA81" s="260">
        <f t="shared" si="16"/>
        <v>0.84729846529810426</v>
      </c>
      <c r="AB81" s="260">
        <f t="shared" si="16"/>
        <v>0.85904537146133086</v>
      </c>
      <c r="AC81" s="260">
        <f t="shared" si="16"/>
        <v>0.86675353894610496</v>
      </c>
      <c r="AD81" s="260">
        <f t="shared" si="16"/>
        <v>0.86843200800696263</v>
      </c>
      <c r="AE81" s="260">
        <f t="shared" si="16"/>
        <v>0.85833463817967626</v>
      </c>
      <c r="AF81" s="260">
        <f t="shared" si="16"/>
        <v>0.85321442817441384</v>
      </c>
      <c r="AG81" s="260">
        <f t="shared" si="16"/>
        <v>0.85136123281526221</v>
      </c>
      <c r="AH81" s="260">
        <f t="shared" si="16"/>
        <v>0.85057883831230618</v>
      </c>
      <c r="AI81" s="260">
        <f t="shared" si="16"/>
        <v>0.8502235100088128</v>
      </c>
      <c r="AJ81" s="260">
        <f t="shared" si="16"/>
        <v>0.84708880368497241</v>
      </c>
      <c r="AK81" s="322"/>
    </row>
    <row r="82" spans="1:37" s="256" customFormat="1">
      <c r="A82" s="257" t="s">
        <v>340</v>
      </c>
      <c r="B82" s="260">
        <f t="shared" si="15"/>
        <v>0</v>
      </c>
      <c r="C82" s="260">
        <f t="shared" ref="C82:AA82" si="17">C75/SUM(C$74:C$78)</f>
        <v>0</v>
      </c>
      <c r="D82" s="260">
        <f t="shared" si="17"/>
        <v>0</v>
      </c>
      <c r="E82" s="260">
        <f t="shared" si="17"/>
        <v>0</v>
      </c>
      <c r="F82" s="260">
        <f t="shared" si="17"/>
        <v>0</v>
      </c>
      <c r="G82" s="260">
        <f t="shared" si="17"/>
        <v>2.9704959440119346E-6</v>
      </c>
      <c r="H82" s="260">
        <f t="shared" si="17"/>
        <v>3.0007410748318288E-6</v>
      </c>
      <c r="I82" s="260">
        <f t="shared" si="17"/>
        <v>2.9705286733728282E-6</v>
      </c>
      <c r="J82" s="260">
        <f t="shared" si="17"/>
        <v>2.3959942013338195E-6</v>
      </c>
      <c r="K82" s="260">
        <f t="shared" si="17"/>
        <v>2.5663141445294756E-6</v>
      </c>
      <c r="L82" s="260">
        <f t="shared" si="17"/>
        <v>1.8546891360868965E-6</v>
      </c>
      <c r="M82" s="260">
        <f t="shared" si="17"/>
        <v>1.6666332674592578E-6</v>
      </c>
      <c r="N82" s="260">
        <f t="shared" si="17"/>
        <v>1.163267552622198E-6</v>
      </c>
      <c r="O82" s="260">
        <f t="shared" si="17"/>
        <v>1.4573337291763678E-6</v>
      </c>
      <c r="P82" s="261">
        <f t="shared" si="17"/>
        <v>1.5972144205264999E-6</v>
      </c>
      <c r="Q82" s="260">
        <f t="shared" si="17"/>
        <v>1.3673702764358916E-6</v>
      </c>
      <c r="R82" s="260">
        <f t="shared" si="17"/>
        <v>1.1101177089883801E-6</v>
      </c>
      <c r="S82" s="260">
        <f t="shared" si="17"/>
        <v>1.1223598750625446E-6</v>
      </c>
      <c r="T82" s="260">
        <f t="shared" si="17"/>
        <v>1.1409345075733436E-6</v>
      </c>
      <c r="U82" s="260">
        <f t="shared" si="17"/>
        <v>8.4632413681379447E-7</v>
      </c>
      <c r="V82" s="260">
        <f t="shared" si="17"/>
        <v>8.6321512741908827E-7</v>
      </c>
      <c r="W82" s="260">
        <f t="shared" si="17"/>
        <v>8.026691617947365E-7</v>
      </c>
      <c r="X82" s="260">
        <f t="shared" si="17"/>
        <v>7.8307722739016809E-7</v>
      </c>
      <c r="Y82" s="260">
        <f t="shared" si="17"/>
        <v>6.7481409132398201E-7</v>
      </c>
      <c r="Z82" s="260">
        <f t="shared" si="17"/>
        <v>6.5433598586081451E-7</v>
      </c>
      <c r="AA82" s="260">
        <f t="shared" si="17"/>
        <v>6.8401112183460341E-7</v>
      </c>
      <c r="AB82" s="260">
        <f t="shared" si="16"/>
        <v>5.3671132639437567E-7</v>
      </c>
      <c r="AC82" s="260">
        <f t="shared" si="16"/>
        <v>5.5540840340558881E-7</v>
      </c>
      <c r="AD82" s="260">
        <f t="shared" si="16"/>
        <v>5.0972354601592426E-7</v>
      </c>
      <c r="AE82" s="260">
        <f t="shared" si="16"/>
        <v>4.3374033000570619E-7</v>
      </c>
      <c r="AF82" s="260">
        <f t="shared" si="16"/>
        <v>4.7869594570681583E-7</v>
      </c>
      <c r="AG82" s="260">
        <f t="shared" si="16"/>
        <v>4.1539723784487996E-7</v>
      </c>
      <c r="AH82" s="260">
        <f t="shared" si="16"/>
        <v>4.06358738019537E-7</v>
      </c>
      <c r="AI82" s="260">
        <f t="shared" si="16"/>
        <v>3.9603158505227343E-7</v>
      </c>
      <c r="AJ82" s="260">
        <f t="shared" si="16"/>
        <v>4.0147736891656281E-7</v>
      </c>
      <c r="AK82" s="322"/>
    </row>
    <row r="83" spans="1:37" s="256" customFormat="1">
      <c r="A83" s="257" t="s">
        <v>336</v>
      </c>
      <c r="B83" s="260">
        <f>B76/SUM(B$74:B$78)</f>
        <v>0</v>
      </c>
      <c r="C83" s="260">
        <f t="shared" ref="C83:AJ83" si="18">C76/SUM(C$74:C$78)</f>
        <v>0</v>
      </c>
      <c r="D83" s="260">
        <f t="shared" si="18"/>
        <v>0</v>
      </c>
      <c r="E83" s="260">
        <f t="shared" si="18"/>
        <v>5.5309734513274346E-4</v>
      </c>
      <c r="F83" s="260">
        <f t="shared" si="18"/>
        <v>0</v>
      </c>
      <c r="G83" s="260">
        <f t="shared" si="18"/>
        <v>9.6599552368049142E-5</v>
      </c>
      <c r="H83" s="260">
        <f t="shared" si="18"/>
        <v>8.0489296928225898E-5</v>
      </c>
      <c r="I83" s="260">
        <f t="shared" si="18"/>
        <v>6.5632881502795289E-5</v>
      </c>
      <c r="J83" s="260">
        <f t="shared" si="18"/>
        <v>6.3295072485274777E-5</v>
      </c>
      <c r="K83" s="260">
        <f t="shared" si="18"/>
        <v>6.0137245523575982E-5</v>
      </c>
      <c r="L83" s="260">
        <f t="shared" si="18"/>
        <v>5.2618386588015313E-5</v>
      </c>
      <c r="M83" s="260">
        <f t="shared" si="18"/>
        <v>4.6591171178461612E-5</v>
      </c>
      <c r="N83" s="260">
        <f t="shared" si="18"/>
        <v>5.0543706982770917E-5</v>
      </c>
      <c r="O83" s="260">
        <f t="shared" si="18"/>
        <v>5.4699401945584515E-5</v>
      </c>
      <c r="P83" s="261">
        <f t="shared" si="18"/>
        <v>5.5348820151862032E-5</v>
      </c>
      <c r="Q83" s="260">
        <f t="shared" si="18"/>
        <v>5.4794600237100621E-5</v>
      </c>
      <c r="R83" s="260">
        <f t="shared" si="18"/>
        <v>5.1285401712102298E-5</v>
      </c>
      <c r="S83" s="260">
        <f t="shared" si="18"/>
        <v>4.7256935207018316E-5</v>
      </c>
      <c r="T83" s="260">
        <f t="shared" si="18"/>
        <v>4.4456500117865228E-5</v>
      </c>
      <c r="U83" s="260">
        <f t="shared" si="18"/>
        <v>4.168107327140138E-5</v>
      </c>
      <c r="V83" s="260">
        <f t="shared" si="18"/>
        <v>4.035789476880202E-5</v>
      </c>
      <c r="W83" s="260">
        <f t="shared" si="18"/>
        <v>3.8317190835132215E-5</v>
      </c>
      <c r="X83" s="260">
        <f t="shared" si="18"/>
        <v>3.7173104336207742E-5</v>
      </c>
      <c r="Y83" s="260">
        <f t="shared" si="18"/>
        <v>3.7341497937973684E-5</v>
      </c>
      <c r="Z83" s="260">
        <f t="shared" si="18"/>
        <v>3.6533274216432246E-5</v>
      </c>
      <c r="AA83" s="260">
        <f t="shared" si="18"/>
        <v>3.4364624746030162E-5</v>
      </c>
      <c r="AB83" s="260">
        <f t="shared" si="18"/>
        <v>3.2499252884108621E-5</v>
      </c>
      <c r="AC83" s="260">
        <f t="shared" si="18"/>
        <v>3.0278882886175024E-5</v>
      </c>
      <c r="AD83" s="260">
        <f t="shared" si="18"/>
        <v>2.8380355692083601E-5</v>
      </c>
      <c r="AE83" s="260">
        <f t="shared" si="18"/>
        <v>2.8061205251522055E-5</v>
      </c>
      <c r="AF83" s="260">
        <f t="shared" si="18"/>
        <v>2.7940567215680363E-5</v>
      </c>
      <c r="AG83" s="260">
        <f t="shared" si="18"/>
        <v>2.8652917409913522E-5</v>
      </c>
      <c r="AH83" s="260">
        <f t="shared" si="18"/>
        <v>2.8584117713632681E-5</v>
      </c>
      <c r="AI83" s="260">
        <f t="shared" si="18"/>
        <v>2.86055413263441E-5</v>
      </c>
      <c r="AJ83" s="260">
        <f t="shared" si="18"/>
        <v>2.9183948095339516E-5</v>
      </c>
      <c r="AK83" s="322"/>
    </row>
    <row r="84" spans="1:37" s="256" customFormat="1">
      <c r="A84" s="257" t="s">
        <v>338</v>
      </c>
      <c r="B84" s="260">
        <f>B77/SUM(B$74:B$78)</f>
        <v>0</v>
      </c>
      <c r="C84" s="260">
        <f t="shared" ref="C84:AJ84" si="19">C77/SUM(C$74:C$78)</f>
        <v>3.3924441017733231E-2</v>
      </c>
      <c r="D84" s="260">
        <f t="shared" si="19"/>
        <v>0.101364522417154</v>
      </c>
      <c r="E84" s="260">
        <f t="shared" si="19"/>
        <v>9.6238938053097342E-2</v>
      </c>
      <c r="F84" s="260">
        <f t="shared" si="19"/>
        <v>9.4884127678181024E-2</v>
      </c>
      <c r="G84" s="260">
        <f t="shared" si="19"/>
        <v>0.21557363598250989</v>
      </c>
      <c r="H84" s="260">
        <f t="shared" si="19"/>
        <v>0.29786519712887916</v>
      </c>
      <c r="I84" s="260">
        <f t="shared" si="19"/>
        <v>0.30805574972344119</v>
      </c>
      <c r="J84" s="260">
        <f t="shared" si="19"/>
        <v>0.31884734031370526</v>
      </c>
      <c r="K84" s="260">
        <f t="shared" si="19"/>
        <v>0.34716579962788968</v>
      </c>
      <c r="L84" s="260">
        <f t="shared" si="19"/>
        <v>0.31256337178604582</v>
      </c>
      <c r="M84" s="260">
        <f t="shared" si="19"/>
        <v>0.25550741029158713</v>
      </c>
      <c r="N84" s="260">
        <f t="shared" si="19"/>
        <v>0.229543646390445</v>
      </c>
      <c r="O84" s="260">
        <f t="shared" si="19"/>
        <v>0.22590047420165604</v>
      </c>
      <c r="P84" s="261">
        <f t="shared" si="19"/>
        <v>0.2286502726028336</v>
      </c>
      <c r="Q84" s="260">
        <f t="shared" si="19"/>
        <v>0.21988411074390321</v>
      </c>
      <c r="R84" s="260">
        <f t="shared" si="19"/>
        <v>0.20557431432636453</v>
      </c>
      <c r="S84" s="260">
        <f t="shared" si="19"/>
        <v>0.19089395355034916</v>
      </c>
      <c r="T84" s="260">
        <f t="shared" si="19"/>
        <v>0.17820300903056133</v>
      </c>
      <c r="U84" s="260">
        <f t="shared" si="19"/>
        <v>0.1719278661161078</v>
      </c>
      <c r="V84" s="260">
        <f t="shared" si="19"/>
        <v>0.16548584797158175</v>
      </c>
      <c r="W84" s="260">
        <f t="shared" si="19"/>
        <v>0.15958238795425117</v>
      </c>
      <c r="X84" s="260">
        <f t="shared" si="19"/>
        <v>0.15791983076351587</v>
      </c>
      <c r="Y84" s="260">
        <f t="shared" si="19"/>
        <v>0.16043103874751377</v>
      </c>
      <c r="Z84" s="260">
        <f t="shared" si="19"/>
        <v>0.1598168062061226</v>
      </c>
      <c r="AA84" s="260">
        <f t="shared" si="19"/>
        <v>0.15266366844356472</v>
      </c>
      <c r="AB84" s="260">
        <f t="shared" si="19"/>
        <v>0.14091907161263106</v>
      </c>
      <c r="AC84" s="260">
        <f t="shared" si="19"/>
        <v>0.13321331643290979</v>
      </c>
      <c r="AD84" s="260">
        <f t="shared" si="19"/>
        <v>0.13153697111700616</v>
      </c>
      <c r="AE84" s="260">
        <f t="shared" si="19"/>
        <v>0.14163479999167891</v>
      </c>
      <c r="AF84" s="260">
        <f t="shared" si="19"/>
        <v>0.14675497149567757</v>
      </c>
      <c r="AG84" s="260">
        <f t="shared" si="19"/>
        <v>0.14860736606214897</v>
      </c>
      <c r="AH84" s="260">
        <f t="shared" si="19"/>
        <v>0.14938984224206867</v>
      </c>
      <c r="AI84" s="260">
        <f t="shared" si="19"/>
        <v>0.1497452000912689</v>
      </c>
      <c r="AJ84" s="260">
        <f t="shared" si="19"/>
        <v>0.1528793073809106</v>
      </c>
      <c r="AK84" s="322"/>
    </row>
    <row r="85" spans="1:37" s="256" customFormat="1">
      <c r="A85" s="257" t="s">
        <v>337</v>
      </c>
      <c r="B85" s="260">
        <f>B78/SUM(B$74:B$78)</f>
        <v>0</v>
      </c>
      <c r="C85" s="260">
        <f t="shared" ref="C85:AJ85" si="20">C78/SUM(C$74:C$78)</f>
        <v>0</v>
      </c>
      <c r="D85" s="260">
        <f t="shared" si="20"/>
        <v>0</v>
      </c>
      <c r="E85" s="260">
        <f t="shared" si="20"/>
        <v>0</v>
      </c>
      <c r="F85" s="260">
        <f t="shared" si="20"/>
        <v>0</v>
      </c>
      <c r="G85" s="260">
        <f t="shared" si="20"/>
        <v>1.136210083175912E-5</v>
      </c>
      <c r="H85" s="260">
        <f t="shared" si="20"/>
        <v>1.1162710511706081E-5</v>
      </c>
      <c r="I85" s="260">
        <f t="shared" si="20"/>
        <v>1.0897871821079661E-5</v>
      </c>
      <c r="J85" s="260">
        <f t="shared" si="20"/>
        <v>9.8651174283532753E-6</v>
      </c>
      <c r="K85" s="260">
        <f t="shared" si="20"/>
        <v>1.0116294947338303E-5</v>
      </c>
      <c r="L85" s="260">
        <f t="shared" si="20"/>
        <v>8.477011176765917E-6</v>
      </c>
      <c r="M85" s="260">
        <f t="shared" si="20"/>
        <v>6.8578513362553013E-6</v>
      </c>
      <c r="N85" s="260">
        <f t="shared" si="20"/>
        <v>6.088457080940639E-6</v>
      </c>
      <c r="O85" s="260">
        <f t="shared" si="20"/>
        <v>5.9053097692629082E-6</v>
      </c>
      <c r="P85" s="261">
        <f t="shared" si="20"/>
        <v>5.8714285411087721E-6</v>
      </c>
      <c r="Q85" s="260">
        <f t="shared" si="20"/>
        <v>5.5401556538378002E-6</v>
      </c>
      <c r="R85" s="260">
        <f t="shared" si="20"/>
        <v>5.0681957851176312E-6</v>
      </c>
      <c r="S85" s="260">
        <f t="shared" si="20"/>
        <v>4.5935237010184946E-6</v>
      </c>
      <c r="T85" s="260">
        <f t="shared" si="20"/>
        <v>4.1813326364340488E-6</v>
      </c>
      <c r="U85" s="260">
        <f t="shared" si="20"/>
        <v>3.8761191516213492E-6</v>
      </c>
      <c r="V85" s="260">
        <f t="shared" si="20"/>
        <v>3.5548923796754669E-6</v>
      </c>
      <c r="W85" s="260">
        <f t="shared" si="20"/>
        <v>3.312003049207087E-6</v>
      </c>
      <c r="X85" s="260">
        <f t="shared" si="20"/>
        <v>3.1890207381261024E-6</v>
      </c>
      <c r="Y85" s="260">
        <f t="shared" si="20"/>
        <v>3.1506728614974547E-6</v>
      </c>
      <c r="Z85" s="260">
        <f t="shared" si="20"/>
        <v>3.0430799973132454E-6</v>
      </c>
      <c r="AA85" s="260">
        <f t="shared" si="20"/>
        <v>2.817622463120181E-6</v>
      </c>
      <c r="AB85" s="260">
        <f t="shared" si="20"/>
        <v>2.5209618276692964E-6</v>
      </c>
      <c r="AC85" s="260">
        <f t="shared" si="20"/>
        <v>2.3103296956244496E-6</v>
      </c>
      <c r="AD85" s="260">
        <f t="shared" si="20"/>
        <v>2.1307967931358121E-6</v>
      </c>
      <c r="AE85" s="260">
        <f t="shared" si="20"/>
        <v>2.0668830634540585E-6</v>
      </c>
      <c r="AF85" s="260">
        <f t="shared" si="20"/>
        <v>2.1810667470340909E-6</v>
      </c>
      <c r="AG85" s="260">
        <f t="shared" si="20"/>
        <v>2.3328079410958768E-6</v>
      </c>
      <c r="AH85" s="260">
        <f t="shared" si="20"/>
        <v>2.3289691733684212E-6</v>
      </c>
      <c r="AI85" s="260">
        <f t="shared" si="20"/>
        <v>2.2883270068605788E-6</v>
      </c>
      <c r="AJ85" s="260">
        <f t="shared" si="20"/>
        <v>2.3035086526154373E-6</v>
      </c>
      <c r="AK85" s="322"/>
    </row>
    <row r="86" spans="1:37" s="256" customFormat="1">
      <c r="A86" s="256" t="s">
        <v>341</v>
      </c>
      <c r="B86" s="260">
        <f>SUM(B81:B85)</f>
        <v>1</v>
      </c>
      <c r="C86" s="260">
        <f t="shared" ref="C86:AJ86" si="21">SUM(C81:C85)</f>
        <v>1</v>
      </c>
      <c r="D86" s="260">
        <f t="shared" si="21"/>
        <v>1</v>
      </c>
      <c r="E86" s="260">
        <f t="shared" si="21"/>
        <v>1</v>
      </c>
      <c r="F86" s="260">
        <f t="shared" si="21"/>
        <v>0.99999999999999989</v>
      </c>
      <c r="G86" s="260">
        <f t="shared" si="21"/>
        <v>1.0000000000000002</v>
      </c>
      <c r="H86" s="260">
        <f t="shared" si="21"/>
        <v>0.99999999999999989</v>
      </c>
      <c r="I86" s="260">
        <f t="shared" si="21"/>
        <v>0.99999999999999989</v>
      </c>
      <c r="J86" s="260">
        <f t="shared" si="21"/>
        <v>1</v>
      </c>
      <c r="K86" s="260">
        <f t="shared" si="21"/>
        <v>1</v>
      </c>
      <c r="L86" s="260">
        <f t="shared" si="21"/>
        <v>0.99999999999999978</v>
      </c>
      <c r="M86" s="260">
        <f t="shared" si="21"/>
        <v>1.0000000000000002</v>
      </c>
      <c r="N86" s="260">
        <f t="shared" si="21"/>
        <v>1</v>
      </c>
      <c r="O86" s="260">
        <f t="shared" si="21"/>
        <v>1</v>
      </c>
      <c r="P86" s="260">
        <f t="shared" si="21"/>
        <v>1.0000000000000002</v>
      </c>
      <c r="Q86" s="260">
        <f t="shared" si="21"/>
        <v>0.99999999999999978</v>
      </c>
      <c r="R86" s="260">
        <f t="shared" si="21"/>
        <v>1</v>
      </c>
      <c r="S86" s="260">
        <f t="shared" si="21"/>
        <v>1</v>
      </c>
      <c r="T86" s="260">
        <f t="shared" si="21"/>
        <v>0.99999999999999989</v>
      </c>
      <c r="U86" s="260">
        <f t="shared" si="21"/>
        <v>1</v>
      </c>
      <c r="V86" s="260">
        <f t="shared" si="21"/>
        <v>0.99999999999999989</v>
      </c>
      <c r="W86" s="260">
        <f t="shared" si="21"/>
        <v>1</v>
      </c>
      <c r="X86" s="260">
        <f t="shared" si="21"/>
        <v>1</v>
      </c>
      <c r="Y86" s="260">
        <f t="shared" si="21"/>
        <v>0.99999999999999989</v>
      </c>
      <c r="Z86" s="260">
        <f t="shared" si="21"/>
        <v>0.99999999999999989</v>
      </c>
      <c r="AA86" s="260">
        <f t="shared" si="21"/>
        <v>1</v>
      </c>
      <c r="AB86" s="260">
        <f t="shared" si="21"/>
        <v>1</v>
      </c>
      <c r="AC86" s="260">
        <f t="shared" si="21"/>
        <v>1</v>
      </c>
      <c r="AD86" s="260">
        <f t="shared" si="21"/>
        <v>1</v>
      </c>
      <c r="AE86" s="260">
        <f t="shared" si="21"/>
        <v>1.0000000000000002</v>
      </c>
      <c r="AF86" s="260">
        <f t="shared" si="21"/>
        <v>0.99999999999999978</v>
      </c>
      <c r="AG86" s="260">
        <f t="shared" si="21"/>
        <v>1</v>
      </c>
      <c r="AH86" s="260">
        <f t="shared" si="21"/>
        <v>0.99999999999999989</v>
      </c>
      <c r="AI86" s="260">
        <f t="shared" si="21"/>
        <v>1</v>
      </c>
      <c r="AJ86" s="260">
        <f t="shared" si="21"/>
        <v>0.99999999999999989</v>
      </c>
      <c r="AK86" s="322"/>
    </row>
    <row r="87" spans="1:37">
      <c r="A87" s="566" t="s">
        <v>631</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row>
    <row r="88" spans="1:37">
      <c r="A88" s="565" t="s">
        <v>664</v>
      </c>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row>
    <row r="89" spans="1:37">
      <c r="A89" s="565" t="s">
        <v>665</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row>
    <row r="90" spans="1:37">
      <c r="A90" s="565" t="s">
        <v>666</v>
      </c>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row>
    <row r="91" spans="1:37">
      <c r="A91" s="565" t="s">
        <v>667</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row>
    <row r="92" spans="1:37">
      <c r="A92" s="565" t="s">
        <v>668</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row>
    <row r="93" spans="1:37">
      <c r="A93" s="565" t="s">
        <v>669</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row>
    <row r="94" spans="1:37">
      <c r="A94" s="565" t="s">
        <v>670</v>
      </c>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row>
    <row r="95" spans="1:37">
      <c r="A95" s="565" t="s">
        <v>671</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row>
    <row r="96" spans="1:37">
      <c r="A96" s="565" t="s">
        <v>672</v>
      </c>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row>
    <row r="97" spans="1:32">
      <c r="A97" s="565" t="s">
        <v>673</v>
      </c>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row>
    <row r="98" spans="1:32">
      <c r="A98" s="565" t="s">
        <v>674</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row>
    <row r="99" spans="1:32">
      <c r="A99" s="565" t="s">
        <v>675</v>
      </c>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row>
    <row r="100" spans="1:32">
      <c r="A100" s="565" t="s">
        <v>676</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row>
    <row r="101" spans="1:32">
      <c r="A101" s="565" t="s">
        <v>677</v>
      </c>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row>
    <row r="102" spans="1:32">
      <c r="A102" s="565" t="s">
        <v>678</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row>
    <row r="103" spans="1:32">
      <c r="A103" s="565" t="s">
        <v>679</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row>
    <row r="104" spans="1:32">
      <c r="A104" s="565" t="s">
        <v>680</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row>
    <row r="105" spans="1:32">
      <c r="A105" s="565" t="s">
        <v>681</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row>
    <row r="106" spans="1:32">
      <c r="A106" s="565" t="s">
        <v>682</v>
      </c>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row>
    <row r="107" spans="1:32">
      <c r="A107" s="565" t="s">
        <v>683</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row>
    <row r="108" spans="1:32">
      <c r="A108" s="565" t="s">
        <v>635</v>
      </c>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row>
    <row r="109" spans="1:32">
      <c r="A109" s="565" t="s">
        <v>684</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row>
    <row r="110" spans="1:32">
      <c r="A110" s="565" t="s">
        <v>685</v>
      </c>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row>
    <row r="111" spans="1:32">
      <c r="A111" s="565" t="s">
        <v>642</v>
      </c>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row>
    <row r="112" spans="1:32">
      <c r="A112" s="565" t="s">
        <v>643</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row>
    <row r="113" spans="1:32">
      <c r="A113" s="565" t="s">
        <v>644</v>
      </c>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row>
    <row r="114" spans="1:32">
      <c r="A114" s="565" t="s">
        <v>686</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row>
    <row r="115" spans="1:32">
      <c r="A115" s="565" t="s">
        <v>687</v>
      </c>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row>
    <row r="116" spans="1:32">
      <c r="A116" s="565" t="s">
        <v>619</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row>
    <row r="117" spans="1:32">
      <c r="A117" s="565" t="s">
        <v>620</v>
      </c>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row>
    <row r="118" spans="1:32">
      <c r="A118" s="565" t="s">
        <v>621</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row>
    <row r="119" spans="1:32">
      <c r="A119" s="565" t="s">
        <v>688</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row>
    <row r="120" spans="1:32">
      <c r="A120" s="565" t="s">
        <v>689</v>
      </c>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row>
    <row r="121" spans="1:32">
      <c r="A121" s="565" t="s">
        <v>623</v>
      </c>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row>
    <row r="122" spans="1:32">
      <c r="A122" s="565" t="s">
        <v>626</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2015-02-19T00:32:57Z</dcterms:modified>
</cp:coreProperties>
</file>