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G58" i="11"/>
  <c r="H58" i="11"/>
  <c r="H108" i="15"/>
  <c r="H113" i="15"/>
  <c r="H118" i="15"/>
  <c r="H135" i="15"/>
  <c r="H140" i="15"/>
  <c r="H145" i="15"/>
  <c r="H179" i="15"/>
  <c r="H47" i="9"/>
  <c r="H52" i="9"/>
  <c r="H55" i="9"/>
  <c r="H65" i="9"/>
  <c r="H70" i="9"/>
  <c r="H73" i="9"/>
  <c r="H176" i="15"/>
  <c r="H182" i="15"/>
  <c r="H185" i="15"/>
  <c r="AH13" i="9"/>
  <c r="G54" i="8"/>
  <c r="H54" i="8"/>
  <c r="I54" i="8"/>
  <c r="J54" i="8"/>
  <c r="K54" i="8"/>
  <c r="L54" i="8"/>
  <c r="M54" i="8"/>
  <c r="N54" i="8"/>
  <c r="O54" i="8"/>
  <c r="P54" i="8"/>
  <c r="Q54" i="8"/>
  <c r="R54" i="8"/>
  <c r="S54" i="8"/>
  <c r="T54" i="8"/>
  <c r="U54" i="8"/>
  <c r="V54" i="8"/>
  <c r="W54" i="8"/>
  <c r="X54" i="8"/>
  <c r="Y54" i="8"/>
  <c r="Z54" i="8"/>
  <c r="AA54" i="8"/>
  <c r="AB54" i="8"/>
  <c r="AC54" i="8"/>
  <c r="AD54" i="8"/>
  <c r="AE54" i="8"/>
  <c r="AF54" i="8"/>
  <c r="AG54" i="8"/>
  <c r="AH54" i="8"/>
  <c r="AI54" i="8"/>
  <c r="AJ54" i="8"/>
  <c r="F54" i="8"/>
  <c r="C30" i="5"/>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P74" i="8"/>
  <c r="N11" i="9"/>
  <c r="N13" i="9"/>
  <c r="N18" i="9"/>
  <c r="P58" i="11"/>
  <c r="N13" i="15"/>
  <c r="N14" i="15"/>
  <c r="D11" i="5"/>
  <c r="D17" i="5"/>
  <c r="C17" i="5"/>
  <c r="F17" i="5"/>
  <c r="I17" i="5"/>
  <c r="AJ58" i="11"/>
  <c r="AH13" i="15"/>
  <c r="AH14" i="1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58" i="11"/>
  <c r="X13" i="15"/>
  <c r="X14" i="15"/>
  <c r="D29" i="5"/>
  <c r="C29" i="5"/>
  <c r="D28" i="5"/>
  <c r="C28" i="5"/>
  <c r="F35" i="5"/>
  <c r="H35" i="5"/>
  <c r="AH26" i="15"/>
  <c r="AH31" i="15"/>
  <c r="D36" i="5"/>
  <c r="C36" i="5"/>
  <c r="F36" i="5"/>
  <c r="H36" i="5"/>
  <c r="AH18" i="15"/>
  <c r="AH32" i="15"/>
  <c r="AH43" i="15"/>
  <c r="F34" i="5"/>
  <c r="H34" i="5"/>
  <c r="AH24" i="15"/>
  <c r="AH30" i="15"/>
  <c r="AH47" i="15"/>
  <c r="AH48" i="15"/>
  <c r="AH49" i="15"/>
  <c r="AH93" i="15"/>
  <c r="X34" i="15"/>
  <c r="X35" i="15"/>
  <c r="X37" i="15"/>
  <c r="X38" i="15"/>
  <c r="X39" i="15"/>
  <c r="X40" i="15"/>
  <c r="X42" i="15"/>
  <c r="X26" i="15"/>
  <c r="X31" i="15"/>
  <c r="X18" i="15"/>
  <c r="X32" i="15"/>
  <c r="X43" i="15"/>
  <c r="X24" i="15"/>
  <c r="X30" i="15"/>
  <c r="X47" i="15"/>
  <c r="X48" i="15"/>
  <c r="X49" i="15"/>
  <c r="X93" i="15"/>
  <c r="AH78" i="15"/>
  <c r="AH94" i="15"/>
  <c r="X94" i="15"/>
  <c r="AH79" i="15"/>
  <c r="AH87" i="15"/>
  <c r="X87" i="15"/>
  <c r="AH72" i="15"/>
  <c r="C24" i="5"/>
  <c r="E17" i="5"/>
  <c r="N20" i="15"/>
  <c r="N16" i="15"/>
  <c r="N19" i="15"/>
  <c r="N21" i="15"/>
  <c r="N34" i="15"/>
  <c r="E19" i="5"/>
  <c r="N35" i="15"/>
  <c r="E20" i="5"/>
  <c r="N37" i="15"/>
  <c r="E21" i="5"/>
  <c r="N38" i="15"/>
  <c r="E22" i="5"/>
  <c r="N39" i="15"/>
  <c r="E18" i="5"/>
  <c r="N40" i="15"/>
  <c r="E23" i="5"/>
  <c r="N42" i="15"/>
  <c r="N26" i="15"/>
  <c r="N31" i="15"/>
  <c r="N18" i="15"/>
  <c r="N32" i="15"/>
  <c r="N43" i="15"/>
  <c r="N30" i="15"/>
  <c r="N47" i="15"/>
  <c r="N48" i="15"/>
  <c r="N49" i="15"/>
  <c r="N93" i="15"/>
  <c r="X78" i="15"/>
  <c r="N94" i="15"/>
  <c r="X79" i="15"/>
  <c r="N87" i="15"/>
  <c r="X72" i="15"/>
  <c r="J74" i="8"/>
  <c r="H11" i="9"/>
  <c r="H35" i="15"/>
  <c r="H13" i="9"/>
  <c r="H38" i="15"/>
  <c r="H43" i="15"/>
  <c r="J58" i="11"/>
  <c r="H14" i="15"/>
  <c r="H30" i="15"/>
  <c r="H47" i="15"/>
  <c r="H48" i="15"/>
  <c r="H49" i="15"/>
  <c r="H93" i="15"/>
  <c r="N78" i="15"/>
  <c r="H94" i="15"/>
  <c r="N79" i="15"/>
  <c r="H87" i="15"/>
  <c r="N72" i="15"/>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6" i="8"/>
  <c r="D76" i="8"/>
  <c r="E76" i="8"/>
  <c r="F76" i="8"/>
  <c r="B76" i="8"/>
  <c r="C75" i="8"/>
  <c r="D75" i="8"/>
  <c r="E75" i="8"/>
  <c r="F75" i="8"/>
  <c r="B75" i="8"/>
  <c r="C74" i="8"/>
  <c r="D74" i="8"/>
  <c r="E74" i="8"/>
  <c r="F74" i="8"/>
  <c r="B74" i="8"/>
  <c r="C73" i="8"/>
  <c r="D73" i="8"/>
  <c r="E73" i="8"/>
  <c r="F73" i="8"/>
  <c r="B73" i="8"/>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I58" i="11"/>
  <c r="J49" i="11"/>
  <c r="J50" i="11"/>
  <c r="J51" i="11"/>
  <c r="K49" i="11"/>
  <c r="K50" i="11"/>
  <c r="K51" i="11"/>
  <c r="K58" i="11"/>
  <c r="L49" i="11"/>
  <c r="L50" i="11"/>
  <c r="L51" i="11"/>
  <c r="L58" i="11"/>
  <c r="M49" i="11"/>
  <c r="M50" i="11"/>
  <c r="M51" i="11"/>
  <c r="M58" i="11"/>
  <c r="N49" i="11"/>
  <c r="N50" i="11"/>
  <c r="N51" i="11"/>
  <c r="N58" i="11"/>
  <c r="O49" i="11"/>
  <c r="O50" i="11"/>
  <c r="O51" i="11"/>
  <c r="O58" i="11"/>
  <c r="P49" i="11"/>
  <c r="P50" i="11"/>
  <c r="P51" i="11"/>
  <c r="Q49" i="11"/>
  <c r="Q50" i="11"/>
  <c r="Q51" i="11"/>
  <c r="Q58" i="11"/>
  <c r="R49" i="11"/>
  <c r="R50" i="11"/>
  <c r="R51" i="11"/>
  <c r="R58" i="11"/>
  <c r="S49" i="11"/>
  <c r="S50" i="11"/>
  <c r="S51" i="11"/>
  <c r="S58" i="11"/>
  <c r="T49" i="11"/>
  <c r="T50" i="11"/>
  <c r="T51" i="11"/>
  <c r="T58" i="11"/>
  <c r="U49" i="11"/>
  <c r="U50" i="11"/>
  <c r="U51" i="11"/>
  <c r="U58" i="11"/>
  <c r="V49" i="11"/>
  <c r="V50" i="11"/>
  <c r="V51" i="11"/>
  <c r="V58" i="11"/>
  <c r="W49" i="11"/>
  <c r="W50" i="11"/>
  <c r="W51" i="11"/>
  <c r="W58" i="11"/>
  <c r="X49" i="11"/>
  <c r="X50" i="11"/>
  <c r="X51" i="11"/>
  <c r="X58" i="11"/>
  <c r="Y49" i="11"/>
  <c r="Y50" i="11"/>
  <c r="Y51" i="11"/>
  <c r="Y58" i="11"/>
  <c r="Z49" i="11"/>
  <c r="Z50" i="11"/>
  <c r="Z51" i="11"/>
  <c r="AA49" i="11"/>
  <c r="AA50" i="11"/>
  <c r="AA51" i="11"/>
  <c r="AA58" i="11"/>
  <c r="AB49" i="11"/>
  <c r="AB50" i="11"/>
  <c r="AB51" i="11"/>
  <c r="AB58" i="11"/>
  <c r="AC49" i="11"/>
  <c r="AC50" i="11"/>
  <c r="AC51" i="11"/>
  <c r="AC58" i="11"/>
  <c r="AD49" i="11"/>
  <c r="AD50" i="11"/>
  <c r="AD51" i="11"/>
  <c r="AD58" i="11"/>
  <c r="AE49" i="11"/>
  <c r="AE50" i="11"/>
  <c r="AE51" i="11"/>
  <c r="AE58" i="11"/>
  <c r="AF49" i="11"/>
  <c r="AF50" i="11"/>
  <c r="AF51" i="11"/>
  <c r="AF58" i="11"/>
  <c r="AG49" i="11"/>
  <c r="AG50" i="11"/>
  <c r="AG51" i="11"/>
  <c r="AG58" i="11"/>
  <c r="AH49" i="11"/>
  <c r="AH50" i="11"/>
  <c r="AH51" i="11"/>
  <c r="AH58" i="11"/>
  <c r="AI49" i="11"/>
  <c r="AI50" i="11"/>
  <c r="AI51" i="11"/>
  <c r="AI58" i="11"/>
  <c r="AJ49" i="11"/>
  <c r="AJ50" i="11"/>
  <c r="AJ51" i="11"/>
  <c r="AH16" i="15"/>
  <c r="Z13" i="15"/>
  <c r="Z14" i="15"/>
  <c r="P76" i="8"/>
  <c r="N10" i="9"/>
  <c r="N8" i="9"/>
  <c r="P73" i="8"/>
  <c r="N7" i="9"/>
  <c r="P75" i="8"/>
  <c r="N12" i="9"/>
  <c r="P78" i="8"/>
  <c r="N16" i="9"/>
  <c r="N14" i="9"/>
  <c r="X8" i="9"/>
  <c r="Z73" i="8"/>
  <c r="X7" i="9"/>
  <c r="X46" i="15"/>
  <c r="Z60" i="11"/>
  <c r="X58" i="15"/>
  <c r="AH46" i="15"/>
  <c r="AJ60" i="11"/>
  <c r="AH86" i="15"/>
  <c r="X86" i="15"/>
  <c r="AH71" i="15"/>
  <c r="Y58" i="15"/>
  <c r="Z58" i="15"/>
  <c r="AB76" i="8"/>
  <c r="Z10" i="9"/>
  <c r="Z34" i="15"/>
  <c r="Y26" i="15"/>
  <c r="Z26" i="15"/>
  <c r="Z31" i="15"/>
  <c r="Y18" i="15"/>
  <c r="Z18" i="15"/>
  <c r="Z32" i="15"/>
  <c r="X59" i="15"/>
  <c r="Y59" i="15"/>
  <c r="Z59" i="15"/>
  <c r="AB74" i="8"/>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C76" i="8"/>
  <c r="AA10" i="9"/>
  <c r="AA34" i="15"/>
  <c r="AA26" i="15"/>
  <c r="AA31" i="15"/>
  <c r="AA18" i="15"/>
  <c r="AA32" i="15"/>
  <c r="AA59" i="15"/>
  <c r="AC74" i="8"/>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D76" i="8"/>
  <c r="AB10" i="9"/>
  <c r="AB34" i="15"/>
  <c r="AB26" i="15"/>
  <c r="AB31" i="15"/>
  <c r="AB18" i="15"/>
  <c r="AB32" i="15"/>
  <c r="AB59" i="15"/>
  <c r="AD74" i="8"/>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E76" i="8"/>
  <c r="AC10" i="9"/>
  <c r="AC34" i="15"/>
  <c r="AC26" i="15"/>
  <c r="AC31" i="15"/>
  <c r="AC18" i="15"/>
  <c r="AC32" i="15"/>
  <c r="AC59" i="15"/>
  <c r="AE74" i="8"/>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F76" i="8"/>
  <c r="AD10" i="9"/>
  <c r="AD34" i="15"/>
  <c r="AD26" i="15"/>
  <c r="AD31" i="15"/>
  <c r="AD18" i="15"/>
  <c r="AD32" i="15"/>
  <c r="AD59" i="15"/>
  <c r="AF74" i="8"/>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G76" i="8"/>
  <c r="AE10" i="9"/>
  <c r="AE34" i="15"/>
  <c r="AE26" i="15"/>
  <c r="AE31" i="15"/>
  <c r="AE18" i="15"/>
  <c r="AE32" i="15"/>
  <c r="AE59" i="15"/>
  <c r="AG74" i="8"/>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H76" i="8"/>
  <c r="AF10" i="9"/>
  <c r="AF34" i="15"/>
  <c r="AF26" i="15"/>
  <c r="AF31" i="15"/>
  <c r="AF18" i="15"/>
  <c r="AF32" i="15"/>
  <c r="AF59" i="15"/>
  <c r="AH74" i="8"/>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I76" i="8"/>
  <c r="AG10" i="9"/>
  <c r="AG34" i="15"/>
  <c r="AG26" i="15"/>
  <c r="AG31" i="15"/>
  <c r="AG18" i="15"/>
  <c r="AG32" i="15"/>
  <c r="AG59" i="15"/>
  <c r="AI74" i="8"/>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AA76" i="8"/>
  <c r="Y10" i="9"/>
  <c r="Y34" i="15"/>
  <c r="Y31" i="15"/>
  <c r="Y32" i="15"/>
  <c r="AA74" i="8"/>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9" i="8"/>
  <c r="G78" i="8"/>
  <c r="G77" i="8"/>
  <c r="H76" i="8"/>
  <c r="I76" i="8"/>
  <c r="J76" i="8"/>
  <c r="K76" i="8"/>
  <c r="L76" i="8"/>
  <c r="M76" i="8"/>
  <c r="N76" i="8"/>
  <c r="O76" i="8"/>
  <c r="Q76" i="8"/>
  <c r="R76" i="8"/>
  <c r="S76" i="8"/>
  <c r="T76" i="8"/>
  <c r="U76" i="8"/>
  <c r="V76" i="8"/>
  <c r="W76" i="8"/>
  <c r="X76" i="8"/>
  <c r="Y76" i="8"/>
  <c r="Z76" i="8"/>
  <c r="AJ76" i="8"/>
  <c r="G76" i="8"/>
  <c r="H75" i="8"/>
  <c r="I75" i="8"/>
  <c r="J75" i="8"/>
  <c r="K75" i="8"/>
  <c r="L75" i="8"/>
  <c r="M75" i="8"/>
  <c r="N75" i="8"/>
  <c r="O75" i="8"/>
  <c r="Q75" i="8"/>
  <c r="R75" i="8"/>
  <c r="S75" i="8"/>
  <c r="T75" i="8"/>
  <c r="U75" i="8"/>
  <c r="V75" i="8"/>
  <c r="W75" i="8"/>
  <c r="X75" i="8"/>
  <c r="Y75" i="8"/>
  <c r="Z75" i="8"/>
  <c r="AJ75" i="8"/>
  <c r="G75" i="8"/>
  <c r="H74" i="8"/>
  <c r="I74" i="8"/>
  <c r="K74" i="8"/>
  <c r="L74" i="8"/>
  <c r="M74" i="8"/>
  <c r="N74" i="8"/>
  <c r="O74" i="8"/>
  <c r="Q74" i="8"/>
  <c r="R74" i="8"/>
  <c r="S74" i="8"/>
  <c r="T74" i="8"/>
  <c r="U74" i="8"/>
  <c r="V74" i="8"/>
  <c r="W74" i="8"/>
  <c r="X74" i="8"/>
  <c r="Y74" i="8"/>
  <c r="Z74" i="8"/>
  <c r="AJ74" i="8"/>
  <c r="G74"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46" i="15"/>
  <c r="N86" i="15"/>
  <c r="H32" i="15"/>
  <c r="H14" i="9"/>
  <c r="H39" i="15"/>
  <c r="H7" i="9"/>
  <c r="H31" i="15"/>
  <c r="H10" i="9"/>
  <c r="H34" i="15"/>
  <c r="H12" i="9"/>
  <c r="H37" i="15"/>
  <c r="H16" i="9"/>
  <c r="H42" i="15"/>
  <c r="H40" i="15"/>
  <c r="H46"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D30" i="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<sst xmlns="http://schemas.openxmlformats.org/spreadsheetml/2006/main" count="1326" uniqueCount="754">
  <si>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</si>
  <si>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</si>
  <si>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</si>
  <si>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</si>
  <si>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</si>
  <si>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</si>
  <si>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</si>
  <si>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</si>
  <si>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</si>
  <si>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</si>
  <si>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</si>
  <si>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</si>
  <si>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</si>
  <si>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</si>
  <si>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</si>
  <si>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</si>
  <si>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</si>
  <si>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</si>
  <si>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</si>
  <si>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</si>
  <si>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</si>
  <si>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</si>
  <si>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</si>
  <si>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</si>
  <si>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</si>
  <si>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</si>
  <si>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</si>
  <si>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</si>
  <si>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</si>
  <si>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</si>
  <si>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</si>
  <si>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</si>
  <si>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</si>
  <si>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</si>
  <si>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</si>
  <si>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</si>
  <si>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</si>
  <si>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</si>
  <si>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</si>
  <si>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</si>
  <si>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</si>
  <si>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</si>
  <si>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</si>
  <si>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</si>
  <si>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</si>
  <si>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</si>
  <si>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</si>
  <si>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</si>
  <si>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</si>
  <si>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</si>
  <si>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</si>
  <si>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</si>
  <si>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</si>
  <si>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</si>
  <si>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</si>
  <si>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</si>
  <si>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</si>
  <si>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</si>
  <si>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</si>
  <si>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</si>
  <si>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</si>
  <si>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</si>
  <si>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</si>
  <si>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</si>
  <si>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</si>
  <si>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</si>
  <si>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</si>
  <si>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</si>
  <si>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</si>
  <si>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</si>
  <si>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</si>
  <si>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</si>
  <si>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</si>
  <si>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</si>
  <si>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</si>
  <si>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</si>
  <si>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</si>
  <si>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</si>
  <si>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</si>
  <si>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</si>
  <si>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</si>
  <si>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</si>
  <si>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</si>
  <si>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</si>
  <si>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</si>
  <si>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</si>
  <si>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</si>
  <si>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</si>
  <si>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</si>
  <si>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</si>
  <si>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</si>
  <si>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</si>
  <si>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</si>
  <si>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</si>
  <si>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</si>
  <si>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</si>
  <si>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</si>
  <si>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</si>
  <si>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</si>
  <si>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</si>
  <si>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</si>
  <si>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</si>
  <si>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</si>
  <si>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</si>
  <si>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</si>
  <si>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</si>
  <si>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</si>
  <si>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</si>
  <si>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</si>
  <si>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</si>
  <si>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</si>
  <si>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</si>
  <si>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</si>
  <si>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</si>
  <si>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</si>
  <si>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</si>
  <si>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</si>
  <si>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</si>
  <si>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</si>
  <si>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</si>
  <si>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</si>
  <si>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</si>
  <si>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</si>
  <si>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</si>
  <si>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</si>
  <si>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</si>
  <si>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</si>
  <si>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</si>
  <si>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</si>
  <si>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</si>
  <si>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</si>
  <si>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</si>
  <si>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</si>
  <si>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</si>
  <si>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</si>
  <si>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</si>
  <si>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</si>
  <si>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</si>
  <si>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</si>
  <si>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</si>
  <si>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</si>
  <si>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</si>
  <si>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</si>
  <si>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</si>
  <si>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</si>
  <si>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</si>
  <si>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</si>
  <si>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</si>
  <si>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</si>
  <si>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</si>
  <si>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</si>
  <si>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</si>
  <si>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</si>
  <si>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</si>
  <si>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</si>
  <si>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</si>
  <si>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</si>
  <si>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</si>
  <si>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</si>
  <si>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</si>
  <si>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</si>
  <si>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</si>
  <si>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</si>
  <si>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</si>
  <si>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</si>
  <si>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</si>
  <si>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</si>
  <si>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</si>
  <si>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</si>
  <si>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</si>
  <si>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</si>
  <si>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</si>
  <si>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</si>
  <si>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</si>
  <si>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</si>
  <si>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</si>
  <si>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</si>
  <si>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</si>
  <si>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</si>
  <si>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</si>
  <si>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</si>
  <si>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</si>
  <si>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</si>
  <si>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</si>
  <si>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</si>
  <si>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</si>
  <si>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</si>
  <si>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</si>
  <si>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</si>
  <si>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</si>
  <si>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</si>
  <si>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</si>
  <si>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</si>
  <si>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</si>
  <si>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</si>
  <si>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</si>
  <si>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</si>
  <si>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</si>
  <si>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</si>
  <si>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</si>
  <si>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</si>
  <si>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</si>
  <si>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</si>
  <si>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</si>
  <si>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</si>
  <si>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</si>
  <si>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</si>
  <si>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</si>
  <si>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</si>
  <si>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</si>
  <si>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</si>
  <si>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</si>
  <si>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</si>
  <si>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</si>
  <si>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</si>
  <si>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</si>
  <si>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</si>
  <si>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</si>
  <si>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</si>
  <si>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</si>
  <si>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</si>
  <si>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</si>
  <si>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</si>
  <si>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</si>
  <si>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</si>
  <si>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</si>
  <si>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</si>
  <si>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</si>
  <si>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</si>
  <si>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</si>
  <si>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</si>
  <si>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</si>
  <si>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</si>
  <si>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</si>
  <si>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</si>
  <si>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</si>
  <si>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</si>
  <si>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</si>
  <si>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</si>
  <si>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</si>
  <si>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</si>
  <si>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</si>
  <si>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</si>
  <si>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</si>
  <si>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</si>
  <si>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</si>
  <si>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</si>
  <si>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</si>
  <si>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</si>
  <si>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</si>
  <si>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</si>
  <si>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</si>
  <si>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</si>
  <si>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</si>
  <si>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</si>
  <si>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</si>
  <si>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</si>
  <si>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</si>
  <si>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</si>
  <si>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</si>
  <si>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</si>
  <si>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</si>
  <si>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</si>
  <si>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</si>
  <si>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</si>
  <si>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</si>
  <si>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</si>
  <si>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</si>
  <si>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</si>
  <si>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</si>
  <si>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</si>
  <si>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</si>
  <si>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</si>
  <si>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</si>
  <si>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</si>
  <si>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</si>
  <si>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</si>
  <si>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</si>
  <si>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</si>
  <si>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</si>
  <si>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</si>
  <si>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</si>
  <si>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</si>
  <si>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</si>
  <si>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</si>
  <si>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</si>
  <si>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</si>
  <si>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</si>
  <si>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</si>
  <si>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</si>
  <si>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</si>
  <si>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</si>
  <si>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</si>
  <si>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</si>
  <si>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</si>
  <si>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</si>
  <si>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</si>
  <si>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</si>
  <si>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</si>
  <si>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</si>
  <si>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</si>
  <si>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</si>
  <si>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</si>
  <si>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</si>
  <si>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</si>
  <si>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</si>
  <si>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</si>
  <si>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</si>
  <si>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</si>
  <si>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</si>
  <si>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</si>
  <si>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</si>
  <si>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</si>
  <si>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</si>
  <si>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</si>
  <si>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</si>
  <si>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</si>
  <si>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</si>
  <si>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</si>
  <si>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</si>
  <si>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</si>
  <si>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</si>
  <si>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</si>
  <si>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</si>
  <si>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</si>
  <si>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</si>
  <si>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</si>
  <si>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</si>
  <si>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</si>
  <si>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</si>
  <si>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</si>
  <si>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</si>
  <si>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</si>
  <si>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</si>
  <si>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</si>
  <si>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</si>
  <si>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</si>
  <si>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</si>
  <si>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</si>
  <si>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</si>
  <si>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</si>
  <si>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</si>
  <si>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</si>
  <si>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</si>
  <si>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</si>
  <si>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</si>
  <si>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</si>
  <si>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</si>
  <si>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</si>
  <si>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</si>
  <si>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</si>
  <si>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</si>
  <si>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</si>
  <si>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</si>
  <si>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</si>
  <si>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</si>
  <si>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</si>
  <si>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</si>
  <si>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</si>
  <si>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</si>
  <si>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</si>
  <si>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</si>
  <si>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</si>
  <si>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</si>
  <si>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</si>
  <si>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</si>
  <si>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</si>
  <si>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</si>
  <si>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</si>
  <si>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</si>
  <si>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</si>
  <si>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</si>
  <si>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</si>
  <si>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</si>
  <si>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</si>
  <si>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</si>
  <si>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</si>
  <si>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</si>
  <si>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</si>
  <si>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</si>
  <si>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</si>
  <si>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</si>
  <si>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</si>
  <si>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</si>
  <si>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</si>
  <si>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</si>
  <si>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</si>
  <si>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</si>
  <si>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</si>
  <si>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</si>
  <si>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</si>
  <si>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</si>
  <si>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</si>
  <si>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</si>
  <si>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</si>
  <si>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</si>
  <si>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</si>
  <si>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</si>
  <si>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</si>
  <si>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</si>
  <si>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</si>
  <si>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</si>
  <si>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</si>
  <si>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</si>
  <si>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</si>
  <si>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</si>
  <si>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</si>
  <si>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</si>
  <si>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</si>
  <si>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</si>
  <si>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</si>
  <si>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</si>
  <si>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</si>
  <si>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</si>
  <si>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</si>
  <si>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</si>
  <si>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</si>
  <si>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</si>
  <si>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</si>
  <si>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</si>
  <si>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</si>
  <si>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</si>
  <si>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</si>
  <si>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</si>
  <si>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</si>
  <si>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</si>
  <si>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</si>
  <si>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</si>
  <si>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</si>
  <si>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</si>
  <si>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</si>
  <si>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</si>
  <si>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</si>
  <si>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</si>
  <si>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</si>
  <si>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</si>
  <si>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</si>
  <si>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</si>
  <si>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</si>
  <si>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</si>
  <si>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</si>
  <si>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</si>
  <si>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</si>
  <si>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</si>
  <si>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</si>
  <si>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</si>
  <si>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</si>
  <si>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</si>
  <si>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</si>
  <si>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</si>
  <si>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</si>
  <si>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</si>
  <si>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</si>
  <si>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</si>
  <si>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</si>
  <si>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</si>
  <si>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</si>
  <si>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</si>
  <si>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</si>
  <si>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</si>
  <si>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</si>
  <si>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</si>
  <si>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</si>
  <si>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</si>
  <si>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</si>
  <si>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</si>
  <si>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</si>
  <si>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</si>
  <si>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</si>
  <si>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</si>
  <si>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</si>
  <si>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</si>
  <si>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</si>
  <si>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</si>
  <si>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</si>
  <si>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</si>
  <si>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</si>
  <si>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</si>
  <si>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</si>
  <si>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</si>
  <si>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</si>
  <si>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</si>
  <si>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</si>
  <si>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</si>
  <si>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</si>
  <si>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</si>
  <si>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</si>
  <si>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</si>
  <si>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</si>
  <si>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</si>
  <si>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</si>
  <si>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</si>
  <si>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</si>
  <si>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</si>
  <si>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</si>
  <si>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</si>
  <si>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</si>
  <si>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</si>
  <si>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</si>
  <si>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</si>
  <si>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</si>
  <si>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</si>
  <si>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</si>
  <si>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</si>
  <si>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</si>
  <si>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</si>
  <si>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</si>
  <si>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</si>
  <si>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</si>
  <si>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</si>
  <si>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</si>
  <si>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</si>
  <si>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</si>
  <si>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</si>
  <si>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</si>
  <si>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</si>
  <si>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</si>
  <si>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</si>
  <si>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</si>
  <si>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</si>
  <si>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</si>
  <si>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</si>
  <si>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</si>
  <si>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</si>
  <si>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</si>
  <si>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</si>
  <si>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</si>
  <si>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</si>
  <si>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</si>
  <si>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</si>
  <si>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</si>
  <si>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</si>
  <si>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</si>
  <si>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</si>
  <si>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</si>
  <si>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</si>
  <si>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</si>
  <si>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</si>
  <si>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</si>
  <si>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</si>
  <si>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</si>
  <si>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</si>
  <si>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</si>
  <si>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</si>
  <si>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</si>
  <si>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</si>
  <si>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</si>
  <si>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</si>
  <si>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</si>
  <si>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</si>
  <si>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</si>
  <si>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</si>
  <si>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</si>
  <si>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</si>
  <si>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</si>
  <si>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</si>
  <si>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</si>
  <si>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</si>
  <si>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</si>
  <si>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</si>
  <si>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</si>
  <si>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</si>
  <si>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</si>
  <si>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</si>
  <si>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</si>
  <si>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</si>
  <si>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</si>
  <si>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</si>
  <si>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</si>
  <si>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</si>
  <si>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</si>
  <si>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</si>
  <si>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</si>
  <si>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</si>
  <si>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</si>
  <si>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</si>
  <si>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</si>
  <si>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</si>
  <si>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</si>
  <si>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</si>
  <si>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</si>
  <si>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</si>
  <si>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</si>
  <si>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</si>
  <si>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</si>
  <si>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</si>
  <si>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</si>
  <si>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</si>
  <si>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</si>
  <si>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</si>
  <si>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</si>
  <si>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</si>
  <si>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</si>
  <si>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</si>
  <si>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</si>
  <si>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</si>
  <si>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</si>
  <si>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</si>
  <si>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</si>
  <si>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</si>
  <si>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</si>
  <si>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</si>
  <si>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</si>
  <si>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</si>
  <si>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</si>
  <si>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</si>
  <si>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</si>
  <si>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</si>
  <si>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</si>
  <si>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</si>
  <si>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</si>
  <si>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</si>
  <si>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</si>
  <si>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</si>
  <si>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</si>
  <si>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</si>
  <si>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</si>
  <si>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</si>
  <si>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</si>
  <si>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</si>
  <si>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</si>
  <si>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</si>
  <si>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</si>
  <si>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</si>
  <si>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</si>
  <si>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</si>
  <si>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</si>
  <si>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</si>
  <si>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</si>
  <si>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</si>
  <si>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</si>
  <si>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</si>
  <si>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</si>
  <si>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</si>
  <si>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</si>
  <si>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</si>
  <si>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</si>
  <si>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</si>
  <si>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</si>
  <si>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</si>
  <si>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</si>
  <si>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</si>
  <si>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</si>
  <si>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</si>
  <si>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</si>
  <si>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</si>
  <si>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</si>
  <si>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</si>
  <si>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</si>
  <si>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</si>
  <si>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</si>
  <si>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</si>
  <si>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</si>
  <si>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</si>
  <si>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</si>
  <si>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</si>
  <si>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</si>
  <si>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</si>
  <si>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</si>
  <si>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</si>
  <si>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</si>
  <si>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</si>
  <si>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</si>
  <si>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</si>
  <si>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</si>
  <si>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</si>
  <si>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</si>
  <si>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</si>
  <si>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</si>
  <si>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</si>
  <si>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</si>
  <si>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</si>
  <si>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</si>
  <si>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</si>
  <si>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</si>
  <si>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</si>
  <si>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</si>
  <si>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</si>
  <si>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</si>
  <si>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</si>
  <si>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</si>
  <si>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</si>
  <si>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</si>
  <si>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</si>
  <si>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</si>
  <si>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</si>
  <si>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</si>
  <si>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</si>
  <si>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</si>
  <si>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</si>
  <si>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</si>
  <si>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</si>
  <si>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</si>
  <si>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</si>
  <si>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</si>
  <si>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</si>
  <si>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</si>
  <si>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</si>
  <si>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</si>
  <si>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</si>
  <si>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</si>
  <si>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</si>
  <si>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</si>
  <si>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</si>
  <si>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</si>
  <si>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</si>
  <si>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</si>
  <si>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</si>
  <si>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</si>
  <si>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</si>
  <si>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</si>
  <si>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</si>
  <si>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</si>
  <si>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</si>
  <si>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</si>
  <si>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</si>
  <si>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</si>
  <si>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</si>
  <si>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</si>
  <si>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</si>
  <si>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</si>
  <si>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</si>
  <si>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</si>
  <si>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</si>
  <si>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</si>
  <si>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</si>
  <si>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</si>
  <si>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</si>
  <si>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</si>
  <si>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</si>
  <si>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</si>
  <si>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</si>
  <si>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</si>
  <si>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</si>
  <si>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</si>
  <si>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</si>
  <si>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</si>
  <si>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</si>
  <si>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</si>
  <si>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</si>
  <si>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</si>
  <si>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Total Electricity Generation by Fuel from EIA for Northeastern</t>
  </si>
  <si>
    <t xml:space="preserve">    Other Gases</t>
  </si>
  <si>
    <t>Pumped Storage</t>
  </si>
  <si>
    <t>Other</t>
  </si>
  <si>
    <t>Generation from EIA North Eastern region from EIA</t>
  </si>
  <si>
    <t>Energy Source</t>
  </si>
  <si>
    <t>Fossil</t>
  </si>
  <si>
    <t>Total Electricity Generation by Fuel by computation for New Hampshire</t>
  </si>
  <si>
    <t>Contribution of New Hampshire</t>
  </si>
  <si>
    <t>Proportion for New Hampshire</t>
  </si>
  <si>
    <t>Solar Proportion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</si>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</sst>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2"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name val="Verdana"/>
    </font>
  </fonts>
  <fills count="12">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FF"/>
        <bgColor rgb="FF000000"/>
      </patternFill>
    </fill>
    <fill>
      <patternFill patternType="solid">
        <fgColor rgb="FFFFFF00"/>
        <bgColor rgb="FF000000"/>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7" fontId="0" fillId="2" borderId="1" xfId="10" applyNumberFormat="1" applyFont="1" applyFill="1" applyBorder="1" applyAlignment="1">
      <alignment horizontal="center"/>
    </xf>
    <xf numFmtId="0" fontId="51" fillId="10" borderId="16" xfId="0" applyFont="1" applyFill="1" applyBorder="1"/>
    <xf numFmtId="0" fontId="51" fillId="10" borderId="26" xfId="0" applyFont="1" applyFill="1" applyBorder="1"/>
    <xf numFmtId="0" fontId="51" fillId="10" borderId="25" xfId="0" applyFont="1" applyFill="1" applyBorder="1"/>
    <xf numFmtId="0" fontId="51" fillId="11" borderId="16" xfId="0" applyFont="1" applyFill="1" applyBorder="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2767048"/>
        <c:axId val="2112770104"/>
      </c:lineChart>
      <c:catAx>
        <c:axId val="211276704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2770104"/>
        <c:crosses val="autoZero"/>
        <c:auto val="1"/>
        <c:lblAlgn val="ctr"/>
        <c:lblOffset val="100"/>
        <c:noMultiLvlLbl val="0"/>
      </c:catAx>
      <c:valAx>
        <c:axId val="2112770104"/>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276704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4995080"/>
        <c:axId val="2108031400"/>
      </c:lineChart>
      <c:catAx>
        <c:axId val="207499508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031400"/>
        <c:crosses val="autoZero"/>
        <c:auto val="1"/>
        <c:lblAlgn val="ctr"/>
        <c:lblOffset val="100"/>
        <c:noMultiLvlLbl val="0"/>
      </c:catAx>
      <c:valAx>
        <c:axId val="210803140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99508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A2"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5"/>
      <c r="B1" s="535"/>
      <c r="C1" s="535"/>
      <c r="D1" s="535"/>
      <c r="E1" s="535"/>
      <c r="F1" s="535"/>
      <c r="G1" s="535"/>
      <c r="H1" s="535"/>
      <c r="I1" s="535"/>
      <c r="J1" s="535"/>
      <c r="K1" s="535"/>
      <c r="L1" s="535"/>
      <c r="M1" s="535"/>
      <c r="N1" s="535"/>
      <c r="O1" s="535"/>
      <c r="P1" s="535"/>
      <c r="Q1" s="535"/>
      <c r="R1" s="535"/>
      <c r="S1" s="535"/>
      <c r="T1" s="535"/>
    </row>
    <row r="2" spans="1:20" ht="113.25" customHeight="1">
      <c r="A2" s="535"/>
      <c r="B2" s="535"/>
      <c r="C2" s="535"/>
      <c r="D2" s="535"/>
      <c r="E2" s="535"/>
      <c r="F2" s="535"/>
      <c r="G2" s="535"/>
      <c r="H2" s="535"/>
      <c r="I2" s="535"/>
      <c r="J2" s="535"/>
      <c r="K2" s="535"/>
      <c r="L2" s="535"/>
      <c r="M2" s="535"/>
      <c r="N2" s="535"/>
      <c r="O2" s="535"/>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6.8372747175868831E-2</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2">
        <v>0.12</v>
      </c>
      <c r="D11" s="125">
        <f>'Output - Jobs vs Yr (BAU)'!N18/'Output -Jobs vs Yr'!N14</f>
        <v>8.9749492192917585E-2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0.13</v>
      </c>
      <c r="D12" s="125">
        <f>'Output - Jobs vs Yr (BAU)'!X18/'Output -Jobs vs Yr'!X14</f>
        <v>0.1011200348926251</v>
      </c>
      <c r="E12" s="497">
        <f>(D12/D11)^(1/10)</f>
        <v>1.0120000199842234</v>
      </c>
      <c r="F12" s="109"/>
      <c r="G12" s="495">
        <f>(C12/C11)^(1/10)</f>
        <v>1.0080363905839886</v>
      </c>
      <c r="H12"/>
      <c r="I12"/>
      <c r="J12"/>
      <c r="K12"/>
      <c r="L12"/>
      <c r="M12" t="s">
        <v>0</v>
      </c>
      <c r="N12" t="s">
        <v>0</v>
      </c>
      <c r="O12" s="111" t="s">
        <v>0</v>
      </c>
      <c r="P12" s="31" t="s">
        <v>0</v>
      </c>
    </row>
    <row r="13" spans="1:20" ht="15" thickBot="1">
      <c r="B13" t="s">
        <v>577</v>
      </c>
      <c r="C13" s="210">
        <v>0.15</v>
      </c>
      <c r="D13" s="172">
        <f>'Output - Jobs vs Yr (BAU)'!AH18/'Output -Jobs vs Yr'!AH14</f>
        <v>0.10802315745496717</v>
      </c>
      <c r="E13" s="497">
        <f>(D13/D12)^(1/10)</f>
        <v>1.0066255876902848</v>
      </c>
      <c r="F13" s="109"/>
      <c r="G13" s="496">
        <f>(C13/C12)^(1/10)</f>
        <v>1.0144129637732298</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7.1897349578669084E-2</v>
      </c>
      <c r="D17" s="126">
        <f>'Output - Jobs vs Yr (BAU)'!N10/'Output -Jobs vs Yr'!$N$14</f>
        <v>5.3772921789185232E-2</v>
      </c>
      <c r="E17" s="105">
        <f t="shared" ref="E17:E23" si="0">IF($C$24&lt;&gt;0,C17/$C$24,0)</f>
        <v>0.59914457982224245</v>
      </c>
      <c r="F17" s="172">
        <f>C17*$C$12/$C$11</f>
        <v>7.7888795376891515E-2</v>
      </c>
      <c r="G17" s="105">
        <f>'Output - Jobs vs Yr (BAU)'!X10/'Output - Jobs vs Yr (BAU)'!X24</f>
        <v>6.6610607612046402E-2</v>
      </c>
      <c r="H17" s="105">
        <f t="shared" ref="H17:H23" si="1">G17/$G$24</f>
        <v>0.63258255908356764</v>
      </c>
      <c r="I17" s="172">
        <f>F17*$C$13/$C$12</f>
        <v>8.9871686973336348E-2</v>
      </c>
      <c r="J17" s="105">
        <f>'Output - Jobs vs Yr (BAU)'!AH10/'Output - Jobs vs Yr (BAU)'!AH24</f>
        <v>7.0330763159739643E-2</v>
      </c>
      <c r="K17" s="105">
        <f>J17/$J$24</f>
        <v>0.61826018580138642</v>
      </c>
      <c r="L17" s="105"/>
      <c r="M17" s="45" t="s">
        <v>259</v>
      </c>
      <c r="N17" s="86">
        <f>HLOOKUP(N16,'Output -Jobs vs Yr'!$H$175:$AH$184,9)</f>
        <v>151.65725859601798</v>
      </c>
      <c r="O17" s="86">
        <f>HLOOKUP(O16,'Output -Jobs vs Yr'!$H$175:$AH$184,9)</f>
        <v>157.18095335393082</v>
      </c>
      <c r="P17" s="86">
        <f>HLOOKUP(P16,'Output -Jobs vs Yr'!$H$175:$AH$184,9)</f>
        <v>218.06612781192234</v>
      </c>
      <c r="Q17" s="86">
        <f>HLOOKUP(Q16,'Output -Jobs vs Yr'!$H$175:$AH$184,9)</f>
        <v>163.09783696282966</v>
      </c>
    </row>
    <row r="18" spans="2:17" ht="15" thickBot="1">
      <c r="B18" s="4" t="s">
        <v>353</v>
      </c>
      <c r="C18" s="195">
        <f>D18*$C$11/$D$11</f>
        <v>6.2241853352313703E-7</v>
      </c>
      <c r="D18" s="126">
        <f>'Output - Jobs vs Yr (BAU)'!N15/'Output -Jobs vs Yr'!$N$14</f>
        <v>4.6551456095968332E-7</v>
      </c>
      <c r="E18" s="105">
        <f t="shared" si="0"/>
        <v>5.1868211126928098E-6</v>
      </c>
      <c r="F18" s="172">
        <f t="shared" ref="F18:F23" si="2">C18*$C$12/$C$11</f>
        <v>6.742867446500651E-7</v>
      </c>
      <c r="G18" s="105">
        <f>'Output - Jobs vs Yr (BAU)'!X15/'Output - Jobs vs Yr (BAU)'!X24</f>
        <v>4.8338089408492293E-7</v>
      </c>
      <c r="H18" s="105">
        <f t="shared" si="1"/>
        <v>4.5905349606365708E-6</v>
      </c>
      <c r="I18" s="172">
        <f t="shared" ref="I18:I24" si="3">F18*$C$13/$C$12</f>
        <v>7.7802316690392124E-7</v>
      </c>
      <c r="J18" s="105">
        <f>'Output - Jobs vs Yr (BAU)'!AH15/'Output - Jobs vs Yr (BAU)'!AH24</f>
        <v>4.8056817310877635E-7</v>
      </c>
      <c r="K18" s="105">
        <f t="shared" ref="K18:K24" si="4">J18/$J$24</f>
        <v>4.2245548697038309E-6</v>
      </c>
      <c r="L18" s="105"/>
      <c r="M18" s="46" t="s">
        <v>260</v>
      </c>
      <c r="N18" s="87">
        <f>HLOOKUP(N16,'Output -Jobs vs Yr'!$H$175:$AH$184,10)</f>
        <v>136.49117173158811</v>
      </c>
      <c r="O18" s="87">
        <f>HLOOKUP(O16,'Output -Jobs vs Yr'!$H$175:$AH$184,10)</f>
        <v>141.46246581827882</v>
      </c>
      <c r="P18" s="87">
        <f>HLOOKUP(P16,'Output -Jobs vs Yr'!$H$175:$AH$184,10)</f>
        <v>196.25905471218675</v>
      </c>
      <c r="Q18" s="87">
        <f>HLOOKUP(Q16,'Output -Jobs vs Yr'!$H$175:$AH$184,10)</f>
        <v>146.78765345518241</v>
      </c>
    </row>
    <row r="19" spans="2:17" ht="15" thickBot="1">
      <c r="B19" s="4" t="s">
        <v>354</v>
      </c>
      <c r="C19" s="195">
        <f>D19*$C$11/$D$11</f>
        <v>6.2241853352313708E-12</v>
      </c>
      <c r="D19" s="126">
        <f>'Output - Jobs vs Yr (BAU)'!N11/'Output -Jobs vs Yr'!$N$14</f>
        <v>4.6551456095968338E-12</v>
      </c>
      <c r="E19" s="105">
        <f t="shared" si="0"/>
        <v>5.1868211126928098E-11</v>
      </c>
      <c r="F19" s="172">
        <f t="shared" si="2"/>
        <v>6.7428674465006521E-12</v>
      </c>
      <c r="G19" s="105">
        <f>'Output - Jobs vs Yr (BAU)'!X11/'Output - Jobs vs Yr (BAU)'!X24</f>
        <v>4.833808940849229E-12</v>
      </c>
      <c r="H19" s="105">
        <f t="shared" si="1"/>
        <v>4.5905349606365708E-11</v>
      </c>
      <c r="I19" s="172">
        <f t="shared" si="3"/>
        <v>7.7802316690392137E-12</v>
      </c>
      <c r="J19" s="105">
        <f>'Output - Jobs vs Yr (BAU)'!AH11/'Output - Jobs vs Yr (BAU)'!AH24</f>
        <v>4.8056817310877641E-12</v>
      </c>
      <c r="K19" s="105">
        <f t="shared" si="4"/>
        <v>4.2245548697038314E-11</v>
      </c>
      <c r="L19" s="105"/>
      <c r="M19" s="46" t="s">
        <v>261</v>
      </c>
      <c r="N19" s="87">
        <f>HLOOKUP(N16,'Output -Jobs vs Yr'!$H$175:$AH$184,8)</f>
        <v>288.14843032760655</v>
      </c>
      <c r="O19" s="87">
        <f>HLOOKUP(O16,'Output -Jobs vs Yr'!$H$175:$AH$184,8)</f>
        <v>298.64341917221009</v>
      </c>
      <c r="P19" s="87">
        <f>HLOOKUP(P16,'Output -Jobs vs Yr'!$H$175:$AH$184,8)</f>
        <v>414.32518252410955</v>
      </c>
      <c r="Q19" s="87">
        <f>HLOOKUP(Q16,'Output -Jobs vs Yr'!$H$175:$AH$184,8)</f>
        <v>309.88549041801252</v>
      </c>
    </row>
    <row r="20" spans="2:17" ht="15" thickBot="1">
      <c r="B20" s="4" t="s">
        <v>51</v>
      </c>
      <c r="C20" s="195">
        <f>D20*$C$11/$D$11</f>
        <v>1.0849749551897195E-2</v>
      </c>
      <c r="D20" s="126">
        <f>'Output - Jobs vs Yr (BAU)'!N12/'Output -Jobs vs Yr'!$N$14</f>
        <v>8.114662605859236E-3</v>
      </c>
      <c r="E20" s="105">
        <f t="shared" si="0"/>
        <v>9.0414579599143313E-2</v>
      </c>
      <c r="F20" s="172">
        <f t="shared" si="2"/>
        <v>1.175389534788863E-2</v>
      </c>
      <c r="G20" s="105">
        <f>'Output - Jobs vs Yr (BAU)'!X12/'Output - Jobs vs Yr (BAU)'!X24</f>
        <v>8.4253894098125469E-3</v>
      </c>
      <c r="H20" s="105">
        <f t="shared" si="1"/>
        <v>8.001359821211021E-2</v>
      </c>
      <c r="I20" s="172">
        <f t="shared" si="3"/>
        <v>1.3562186939871494E-2</v>
      </c>
      <c r="J20" s="105">
        <f>'Output - Jobs vs Yr (BAU)'!AH12/'Output - Jobs vs Yr (BAU)'!AH24</f>
        <v>8.3750074864749214E-3</v>
      </c>
      <c r="K20" s="105">
        <f t="shared" si="4"/>
        <v>7.3622600581136011E-2</v>
      </c>
      <c r="L20" s="105"/>
      <c r="M20" s="47" t="s">
        <v>458</v>
      </c>
      <c r="N20" s="88">
        <f>HLOOKUP(N16,'Output -Jobs vs Yr'!$H$175:$AH$188,11)-HLOOKUP(N16,'Output -Jobs vs Yr'!$H$175:$AH$188,14)</f>
        <v>1406.2302373389884</v>
      </c>
      <c r="O20" s="88">
        <f>HLOOKUP(O16,'Output -Jobs vs Yr'!$H$175:$AH$188,11)-HLOOKUP(O16,'Output -Jobs vs Yr'!$H$175:$AH$188,14)</f>
        <v>4163.5887153691583</v>
      </c>
      <c r="P20" s="88">
        <f>HLOOKUP(P16,'Output -Jobs vs Yr'!$H$175:$AH$188,11)-HLOOKUP(P16,'Output -Jobs vs Yr'!$H$175:$AH$188,14)</f>
        <v>7844.9565002342451</v>
      </c>
      <c r="Q20" s="88">
        <f>HLOOKUP(Q16,'Output -Jobs vs Yr'!$H$175:$AH$188,11)-HLOOKUP(Q16,'Output -Jobs vs Yr'!$H$175:$AH$188,14)</f>
        <v>4473.4742057871708</v>
      </c>
    </row>
    <row r="21" spans="2:17" ht="15" thickBot="1">
      <c r="B21" t="s">
        <v>355</v>
      </c>
      <c r="C21" s="195">
        <f t="shared" ref="C21:C23" si="5">D21*$C$11/$D$11</f>
        <v>4.0173889418574828E-3</v>
      </c>
      <c r="D21" s="126">
        <f>'Output - Jobs vs Yr (BAU)'!N13/'Output -Jobs vs Yr'!$N$14</f>
        <v>3.004655145609597E-3</v>
      </c>
      <c r="E21" s="105">
        <f t="shared" si="0"/>
        <v>3.3478241182145693E-2</v>
      </c>
      <c r="F21" s="172">
        <f t="shared" si="2"/>
        <v>4.3521713536789405E-3</v>
      </c>
      <c r="G21" s="105">
        <f>'Output - Jobs vs Yr (BAU)'!X13/'Output - Jobs vs Yr (BAU)'!X24</f>
        <v>3.1288280553241656E-3</v>
      </c>
      <c r="H21" s="105">
        <f t="shared" si="1"/>
        <v>2.9713616631406928E-2</v>
      </c>
      <c r="I21" s="172">
        <f t="shared" si="3"/>
        <v>5.021736177321854E-3</v>
      </c>
      <c r="J21" s="105">
        <f>'Output - Jobs vs Yr (BAU)'!AH13/'Output - Jobs vs Yr (BAU)'!AH24</f>
        <v>3.1640152590141362E-3</v>
      </c>
      <c r="K21" s="105">
        <f t="shared" si="4"/>
        <v>2.7814068467784038E-2</v>
      </c>
      <c r="L21" s="105"/>
      <c r="N21" s="160"/>
    </row>
    <row r="22" spans="2:17" ht="15" thickBot="1">
      <c r="B22" s="4" t="s">
        <v>356</v>
      </c>
      <c r="C22" s="195">
        <f t="shared" si="5"/>
        <v>6.2241853352313699E-6</v>
      </c>
      <c r="D22" s="126">
        <f>'Output - Jobs vs Yr (BAU)'!N14/'Output -Jobs vs Yr'!$N$14</f>
        <v>4.6551456095968333E-6</v>
      </c>
      <c r="E22" s="105">
        <f t="shared" si="0"/>
        <v>5.1868211126928093E-5</v>
      </c>
      <c r="F22" s="172">
        <f t="shared" si="2"/>
        <v>6.7428674465006508E-6</v>
      </c>
      <c r="G22" s="105">
        <f>'Output - Jobs vs Yr (BAU)'!X14/'Output - Jobs vs Yr (BAU)'!X24</f>
        <v>4.8338089408492293E-6</v>
      </c>
      <c r="H22" s="105">
        <f t="shared" si="1"/>
        <v>4.590534960636571E-5</v>
      </c>
      <c r="I22" s="172">
        <f t="shared" si="3"/>
        <v>7.7802316690392109E-6</v>
      </c>
      <c r="J22" s="105">
        <f>'Output - Jobs vs Yr (BAU)'!AH14/'Output - Jobs vs Yr (BAU)'!AH24</f>
        <v>4.805681731087764E-6</v>
      </c>
      <c r="K22" s="105">
        <f t="shared" si="4"/>
        <v>4.2245548697038312E-5</v>
      </c>
      <c r="L22" s="105"/>
      <c r="O22" t="s">
        <v>0</v>
      </c>
    </row>
    <row r="23" spans="2:17" ht="15" thickBot="1">
      <c r="B23" t="s">
        <v>357</v>
      </c>
      <c r="C23" s="195">
        <f t="shared" si="5"/>
        <v>3.322866531748328E-2</v>
      </c>
      <c r="D23" s="126">
        <f>'Output - Jobs vs Yr (BAU)'!N16/'Output -Jobs vs Yr'!$N$14</f>
        <v>2.4852131987437808E-2</v>
      </c>
      <c r="E23" s="105">
        <f t="shared" si="0"/>
        <v>0.2769055443123607</v>
      </c>
      <c r="F23" s="172">
        <f t="shared" si="2"/>
        <v>3.5997720760606887E-2</v>
      </c>
      <c r="G23" s="105">
        <f>'Output - Jobs vs Yr (BAU)'!X16/'Output - Jobs vs Yr (BAU)'!X24</f>
        <v>2.712932679436178E-2</v>
      </c>
      <c r="H23" s="105">
        <f t="shared" si="1"/>
        <v>0.25763973014244274</v>
      </c>
      <c r="I23" s="172">
        <f t="shared" si="3"/>
        <v>4.1535831646854093E-2</v>
      </c>
      <c r="J23" s="105">
        <f>'Output - Jobs vs Yr (BAU)'!AH16/'Output - Jobs vs Yr (BAU)'!AH24</f>
        <v>3.1880859040090394E-2</v>
      </c>
      <c r="K23" s="105">
        <f t="shared" si="4"/>
        <v>0.28025667500388124</v>
      </c>
      <c r="L23" s="105"/>
      <c r="M23" s="44"/>
      <c r="N23" s="197"/>
      <c r="O23" t="s">
        <v>0</v>
      </c>
    </row>
    <row r="24" spans="2:17">
      <c r="B24" s="108" t="s">
        <v>369</v>
      </c>
      <c r="C24" s="137">
        <f t="shared" ref="C24:H24" si="6">SUM(C17:C23)</f>
        <v>0.11999999999999998</v>
      </c>
      <c r="D24" s="205">
        <f t="shared" si="6"/>
        <v>8.9749492192917585E-2</v>
      </c>
      <c r="E24" s="200">
        <f t="shared" si="6"/>
        <v>1</v>
      </c>
      <c r="F24" s="200">
        <f t="shared" si="6"/>
        <v>0.13</v>
      </c>
      <c r="G24" s="200">
        <f t="shared" si="6"/>
        <v>0.10529946906621365</v>
      </c>
      <c r="H24" s="105">
        <f t="shared" si="6"/>
        <v>0.99999999999999978</v>
      </c>
      <c r="I24" s="172">
        <f t="shared" si="3"/>
        <v>0.15</v>
      </c>
      <c r="J24" s="105">
        <f>SUM(J17:J23)</f>
        <v>0.11375593120002897</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12%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0.45923303158862155</v>
      </c>
      <c r="D28" s="105">
        <f>('Output - Jobs vs Yr (BAU)'!N8+'Output - Jobs vs Yr (BAU)'!N7)/'Output -Jobs vs Yr'!N14</f>
        <v>0.45923303158862155</v>
      </c>
      <c r="E28" s="136" t="s">
        <v>0</v>
      </c>
      <c r="F28" s="98"/>
      <c r="G28" s="98" t="s">
        <v>0</v>
      </c>
      <c r="H28" s="135" t="s">
        <v>0</v>
      </c>
      <c r="I28" s="135"/>
      <c r="J28" s="135"/>
      <c r="K28" s="135"/>
      <c r="L28" s="135"/>
      <c r="M28"/>
    </row>
    <row r="29" spans="2:17" ht="15" thickBot="1">
      <c r="B29" t="s">
        <v>371</v>
      </c>
      <c r="C29" s="278">
        <f>D29</f>
        <v>0.46198891759324123</v>
      </c>
      <c r="D29" s="105">
        <f>('Output - Jobs vs Yr (BAU)'!X8+'Output - Jobs vs Yr (BAU)'!X7)/'Output -Jobs vs Yr'!X14</f>
        <v>0.46198891759324123</v>
      </c>
      <c r="E29" s="107"/>
      <c r="F29" s="98"/>
      <c r="G29" s="96"/>
      <c r="H29"/>
      <c r="I29"/>
      <c r="J29"/>
      <c r="K29"/>
      <c r="L29"/>
    </row>
    <row r="30" spans="2:17" ht="15" thickBot="1">
      <c r="B30" t="s">
        <v>579</v>
      </c>
      <c r="C30" s="210">
        <f>D30</f>
        <v>0.45451062007869425</v>
      </c>
      <c r="D30" s="105">
        <f>('Output - Jobs vs Yr (BAU)'!AH8+'Output - Jobs vs Yr (BAU)'!AH7)/'Output -Jobs vs Yr'!AH14</f>
        <v>0.45451062007869425</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6.3425384894872719E-2</v>
      </c>
      <c r="D35" s="105">
        <f>'Output - Jobs vs Yr (BAU)'!N7/'Output -Jobs vs Yr'!N14</f>
        <v>6.3425384894872719E-2</v>
      </c>
      <c r="E35" s="203">
        <f>C35</f>
        <v>6.3425384894872719E-2</v>
      </c>
      <c r="F35" s="200">
        <f>C35*$C$29/$C$28</f>
        <v>6.3806004577138906E-2</v>
      </c>
      <c r="G35" s="204">
        <f>'Output - Jobs vs Yr (BAU)'!X7/'Output - Jobs vs Yr (BAU)'!X24</f>
        <v>7.0084927706491509E-2</v>
      </c>
      <c r="H35" s="200">
        <f>F35*$C$30/$C$29</f>
        <v>6.277316533084662E-2</v>
      </c>
      <c r="I35" s="204">
        <f>'Output - Jobs vs Yr (BAU)'!AH7/'Output - Jobs vs Yr (BAU)'!AH24</f>
        <v>7.0024328386446233E-2</v>
      </c>
      <c r="J35"/>
      <c r="K35"/>
      <c r="L35"/>
    </row>
    <row r="36" spans="1:18" ht="15" thickBot="1">
      <c r="B36" s="4" t="s">
        <v>364</v>
      </c>
      <c r="C36" s="209">
        <f>D36</f>
        <v>0.39580764669374879</v>
      </c>
      <c r="D36" s="105">
        <f>'Output - Jobs vs Yr (BAU)'!N8/'Output -Jobs vs Yr'!N14</f>
        <v>0.39580764669374879</v>
      </c>
      <c r="E36" s="203">
        <f>C36</f>
        <v>0.39580764669374879</v>
      </c>
      <c r="F36" s="200">
        <f>C36*$C$29/$C$28</f>
        <v>0.39818291301610226</v>
      </c>
      <c r="G36" s="204">
        <f>'Output - Jobs vs Yr (BAU)'!X8/'Output - Jobs vs Yr (BAU)'!X24</f>
        <v>0.41099864577822232</v>
      </c>
      <c r="H36" s="200">
        <f>F36*$C$30/$C$29</f>
        <v>0.3917374547478476</v>
      </c>
      <c r="I36" s="204">
        <f>'Output - Jobs vs Yr (BAU)'!AH8/'Output - Jobs vs Yr (BAU)'!AH24</f>
        <v>0.4086071062567096</v>
      </c>
      <c r="J36"/>
      <c r="K36"/>
      <c r="L36"/>
    </row>
    <row r="37" spans="1:18">
      <c r="B37" s="4" t="s">
        <v>368</v>
      </c>
      <c r="C37" s="138">
        <f>SUM(C35:C36)+'Output -Jobs vs Yr'!N30/'Output -Jobs vs Yr'!N49</f>
        <v>0.4592330315886215</v>
      </c>
      <c r="D37" s="105">
        <f>SUM(D34:D36)</f>
        <v>0.4592330315886215</v>
      </c>
      <c r="E37" s="203">
        <f>SUM(E34:E36)</f>
        <v>0.4592330315886215</v>
      </c>
      <c r="F37" s="203">
        <f>SUM(F34:F36)</f>
        <v>0.46198891759324118</v>
      </c>
      <c r="G37" s="203">
        <f>SUM(G34:G36)</f>
        <v>0.48108357348471381</v>
      </c>
      <c r="H37" s="200">
        <f>C37*$C$30/$C$28</f>
        <v>0.45451062007869419</v>
      </c>
      <c r="I37" s="203">
        <f>SUM(I34:I36)</f>
        <v>0.47863143464315583</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45,9%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0.11999999999999998</v>
      </c>
      <c r="D40" s="105" t="s">
        <v>0</v>
      </c>
      <c r="E40" s="105" t="s">
        <v>0</v>
      </c>
      <c r="F40" s="105" t="s">
        <v>0</v>
      </c>
      <c r="G40" s="103" t="s">
        <v>0</v>
      </c>
      <c r="H40"/>
      <c r="I40"/>
      <c r="J40"/>
      <c r="K40"/>
      <c r="L40"/>
    </row>
    <row r="41" spans="1:18">
      <c r="B41" s="4" t="s">
        <v>374</v>
      </c>
      <c r="C41" s="105">
        <f>C24+C37</f>
        <v>0.57923303158862149</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5" t="s">
        <v>595</v>
      </c>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298"/>
      <c r="AH78" s="298"/>
      <c r="AI78" s="298"/>
      <c r="AJ78" s="298"/>
      <c r="AK78" s="298"/>
    </row>
    <row r="79" spans="1:37" customFormat="1" ht="15" customHeight="1">
      <c r="A79" s="564" t="s">
        <v>596</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297"/>
      <c r="AH79" s="297"/>
      <c r="AI79" s="297"/>
      <c r="AJ79" s="297"/>
      <c r="AK79" s="297"/>
    </row>
    <row r="80" spans="1:37" customFormat="1" ht="15" customHeight="1">
      <c r="A80" s="564" t="s">
        <v>597</v>
      </c>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297"/>
      <c r="AH80" s="297"/>
      <c r="AI80" s="297"/>
      <c r="AJ80" s="297"/>
      <c r="AK80" s="297"/>
    </row>
    <row r="81" spans="1:37" customFormat="1" ht="15" customHeight="1">
      <c r="A81" s="564" t="s">
        <v>598</v>
      </c>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297"/>
      <c r="AH81" s="297"/>
      <c r="AI81" s="297"/>
      <c r="AJ81" s="297"/>
      <c r="AK81" s="297"/>
    </row>
    <row r="82" spans="1:37" customFormat="1" ht="15" customHeight="1">
      <c r="A82" s="564" t="s">
        <v>599</v>
      </c>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297"/>
      <c r="AH82" s="297"/>
      <c r="AI82" s="297"/>
      <c r="AJ82" s="297"/>
      <c r="AK82" s="297"/>
    </row>
    <row r="83" spans="1:37" customFormat="1" ht="15" customHeight="1">
      <c r="A83" s="564" t="s">
        <v>600</v>
      </c>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297"/>
      <c r="AH83" s="297"/>
      <c r="AI83" s="297"/>
      <c r="AJ83" s="297"/>
      <c r="AK83" s="297"/>
    </row>
    <row r="84" spans="1:37" customFormat="1" ht="15" customHeight="1">
      <c r="A84" s="564" t="s">
        <v>601</v>
      </c>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297"/>
      <c r="AH84" s="297"/>
      <c r="AI84" s="297"/>
      <c r="AJ84" s="297"/>
      <c r="AK84" s="297"/>
    </row>
    <row r="85" spans="1:37" customFormat="1" ht="15" customHeight="1">
      <c r="A85" s="564" t="s">
        <v>602</v>
      </c>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297"/>
      <c r="AH85" s="297"/>
      <c r="AI85" s="297"/>
      <c r="AJ85" s="297"/>
      <c r="AK85" s="297"/>
    </row>
    <row r="86" spans="1:37" customFormat="1" ht="15" customHeight="1">
      <c r="A86" s="564" t="s">
        <v>603</v>
      </c>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297"/>
      <c r="AH86" s="297"/>
      <c r="AI86" s="297"/>
      <c r="AJ86" s="297"/>
      <c r="AK86" s="297"/>
    </row>
    <row r="87" spans="1:37" customFormat="1" ht="15" customHeight="1">
      <c r="A87" s="564" t="s">
        <v>604</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297"/>
      <c r="AH87" s="297"/>
      <c r="AI87" s="297"/>
      <c r="AJ87" s="297"/>
      <c r="AK87" s="297"/>
    </row>
    <row r="88" spans="1:37" customFormat="1" ht="15" customHeight="1">
      <c r="A88" s="564" t="s">
        <v>605</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c r="AG88" s="297"/>
      <c r="AH88" s="297"/>
      <c r="AI88" s="297"/>
      <c r="AJ88" s="297"/>
      <c r="AK88" s="297"/>
    </row>
    <row r="89" spans="1:37" customFormat="1" ht="15" customHeight="1">
      <c r="A89" s="564" t="s">
        <v>606</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297"/>
      <c r="AH89" s="297"/>
      <c r="AI89" s="297"/>
      <c r="AJ89" s="297"/>
      <c r="AK89" s="297"/>
    </row>
    <row r="90" spans="1:37" customFormat="1" ht="15" customHeight="1">
      <c r="A90" s="564" t="s">
        <v>607</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c r="AG90" s="297"/>
      <c r="AH90" s="297"/>
      <c r="AI90" s="297"/>
      <c r="AJ90" s="297"/>
      <c r="AK90" s="297"/>
    </row>
    <row r="91" spans="1:37" customFormat="1" ht="15" customHeight="1">
      <c r="A91" s="564" t="s">
        <v>608</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297"/>
      <c r="AH91" s="297"/>
      <c r="AI91" s="297"/>
      <c r="AJ91" s="297"/>
      <c r="AK91" s="297"/>
    </row>
    <row r="92" spans="1:37" customFormat="1" ht="15" customHeight="1">
      <c r="A92" s="564" t="s">
        <v>609</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297"/>
      <c r="AH92" s="297"/>
      <c r="AI92" s="297"/>
      <c r="AJ92" s="297"/>
      <c r="AK92" s="297"/>
    </row>
    <row r="93" spans="1:37" customFormat="1" ht="15" customHeight="1">
      <c r="A93" s="564" t="s">
        <v>610</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297"/>
      <c r="AH93" s="297"/>
      <c r="AI93" s="297"/>
      <c r="AJ93" s="297"/>
      <c r="AK93" s="297"/>
    </row>
    <row r="94" spans="1:37" customFormat="1" ht="15" customHeight="1">
      <c r="A94" s="564" t="s">
        <v>611</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c r="AG94" s="297"/>
      <c r="AH94" s="297"/>
      <c r="AI94" s="297"/>
      <c r="AJ94" s="297"/>
      <c r="AK94" s="297"/>
    </row>
    <row r="95" spans="1:37" customFormat="1" ht="15" customHeight="1">
      <c r="A95" s="564" t="s">
        <v>612</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c r="AG95" s="297"/>
      <c r="AH95" s="297"/>
      <c r="AI95" s="297"/>
      <c r="AJ95" s="297"/>
      <c r="AK95" s="297"/>
    </row>
    <row r="96" spans="1:37" customFormat="1" ht="15" customHeight="1">
      <c r="A96" s="564" t="s">
        <v>613</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297"/>
      <c r="AH96" s="297"/>
      <c r="AI96" s="297"/>
      <c r="AJ96" s="297"/>
      <c r="AK96" s="297"/>
    </row>
    <row r="97" spans="1:37" customFormat="1" ht="15" customHeight="1">
      <c r="A97" s="564" t="s">
        <v>614</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297"/>
      <c r="AH97" s="297"/>
      <c r="AI97" s="297"/>
      <c r="AJ97" s="297"/>
      <c r="AK97" s="297"/>
    </row>
    <row r="98" spans="1:37" customFormat="1" ht="15" customHeight="1">
      <c r="A98" s="564" t="s">
        <v>615</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c r="AG98" s="297"/>
      <c r="AH98" s="297"/>
      <c r="AI98" s="297"/>
      <c r="AJ98" s="297"/>
      <c r="AK98" s="297"/>
    </row>
    <row r="99" spans="1:37" customFormat="1" ht="15" customHeight="1">
      <c r="A99" s="564" t="s">
        <v>616</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c r="AG99" s="297"/>
      <c r="AH99" s="297"/>
      <c r="AI99" s="297"/>
      <c r="AJ99" s="297"/>
      <c r="AK99" s="297"/>
    </row>
    <row r="100" spans="1:37" customFormat="1" ht="15" customHeight="1">
      <c r="A100" s="564" t="s">
        <v>617</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297"/>
      <c r="AH100" s="297"/>
      <c r="AI100" s="297"/>
      <c r="AJ100" s="297"/>
      <c r="AK100" s="297"/>
    </row>
    <row r="101" spans="1:37" customFormat="1" ht="15" customHeight="1">
      <c r="A101" s="564" t="s">
        <v>618</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c r="AG101" s="297"/>
      <c r="AH101" s="297"/>
      <c r="AI101" s="297"/>
      <c r="AJ101" s="297"/>
      <c r="AK101" s="297"/>
    </row>
    <row r="102" spans="1:37" customFormat="1" ht="15" customHeight="1">
      <c r="A102" s="564" t="s">
        <v>619</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c r="AG102" s="297"/>
      <c r="AH102" s="297"/>
      <c r="AI102" s="297"/>
      <c r="AJ102" s="297"/>
      <c r="AK102" s="297"/>
    </row>
    <row r="103" spans="1:37" customFormat="1" ht="15" customHeight="1">
      <c r="A103" s="564" t="s">
        <v>620</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c r="AG103" s="297"/>
      <c r="AH103" s="297"/>
      <c r="AI103" s="297"/>
      <c r="AJ103" s="297"/>
      <c r="AK103" s="297"/>
    </row>
    <row r="104" spans="1:37" customFormat="1" ht="15" customHeight="1">
      <c r="A104" s="564" t="s">
        <v>621</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297"/>
      <c r="AH104" s="297"/>
      <c r="AI104" s="297"/>
      <c r="AJ104" s="297"/>
      <c r="AK104" s="297"/>
    </row>
    <row r="105" spans="1:37" customFormat="1" ht="15" customHeight="1">
      <c r="A105" s="564" t="s">
        <v>622</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297"/>
      <c r="AH105" s="297"/>
      <c r="AI105" s="297"/>
      <c r="AJ105" s="297"/>
      <c r="AK105" s="297"/>
    </row>
    <row r="106" spans="1:37" customFormat="1" ht="15" customHeight="1">
      <c r="A106" s="564" t="s">
        <v>623</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297"/>
      <c r="AH106" s="297"/>
      <c r="AI106" s="297"/>
      <c r="AJ106" s="297"/>
      <c r="AK106" s="297"/>
    </row>
    <row r="107" spans="1:37" customFormat="1" ht="15" customHeight="1">
      <c r="A107" s="564" t="s">
        <v>624</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297"/>
      <c r="AH107" s="297"/>
      <c r="AI107" s="297"/>
      <c r="AJ107" s="297"/>
      <c r="AK107" s="297"/>
    </row>
    <row r="108" spans="1:37" customFormat="1" ht="15" customHeight="1">
      <c r="A108" s="564" t="s">
        <v>625</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297"/>
      <c r="AH108" s="297"/>
      <c r="AI108" s="297"/>
      <c r="AJ108" s="297"/>
      <c r="AK108" s="297"/>
    </row>
    <row r="109" spans="1:37" customFormat="1" ht="15" customHeight="1">
      <c r="A109" s="564" t="s">
        <v>626</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9"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row>
    <row r="2" spans="1:38" hidden="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row>
    <row r="3" spans="1:38" hidden="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row>
    <row r="4" spans="1:38" hidden="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row>
    <row r="5" spans="1:38" hidden="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1:38" hidden="1">
      <c r="A6" s="535"/>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row>
    <row r="7" spans="1:38" ht="23.25" hidden="1" customHeight="1">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38" s="159" customFormat="1" ht="15.75" hidden="1" customHeight="1">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row>
    <row r="9" spans="1:38" ht="21" hidden="1" customHeight="1">
      <c r="A9" s="535"/>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20164</v>
      </c>
      <c r="D13" s="330">
        <f>EIA_electricity_aeo2014!F58*1000</f>
        <v>22197</v>
      </c>
      <c r="E13" s="330">
        <f>EIA_electricity_aeo2014!G58*1000</f>
        <v>21012.820686356619</v>
      </c>
      <c r="F13" s="330">
        <f>EIA_electricity_aeo2014!H58*1000</f>
        <v>20693.111462371187</v>
      </c>
      <c r="G13" s="330">
        <f>EIA_electricity_aeo2014!I58*1000</f>
        <v>20277.545399427716</v>
      </c>
      <c r="H13" s="286">
        <f>EIA_electricity_aeo2014!J58*1000</f>
        <v>20638.933947049623</v>
      </c>
      <c r="I13" s="83">
        <f>EIA_electricity_aeo2014!K58*1000</f>
        <v>20236.874570622258</v>
      </c>
      <c r="J13" s="83">
        <f>EIA_electricity_aeo2014!L58*1000</f>
        <v>20453.548206560037</v>
      </c>
      <c r="K13" s="83">
        <f>EIA_electricity_aeo2014!M58*1000</f>
        <v>20975.245251175984</v>
      </c>
      <c r="L13" s="83">
        <f>EIA_electricity_aeo2014!N58*1000</f>
        <v>21403.957894781903</v>
      </c>
      <c r="M13" s="83">
        <f>EIA_electricity_aeo2014!O58*1000</f>
        <v>21567.271409847403</v>
      </c>
      <c r="N13" s="177">
        <f>EIA_electricity_aeo2014!P58*1000</f>
        <v>21481.605171242038</v>
      </c>
      <c r="O13" s="83">
        <f>EIA_electricity_aeo2014!Q58*1000</f>
        <v>21493.082188513541</v>
      </c>
      <c r="P13" s="83">
        <f>EIA_electricity_aeo2014!R58*1000</f>
        <v>21314.769503171687</v>
      </c>
      <c r="Q13" s="83">
        <f>EIA_electricity_aeo2014!S58*1000</f>
        <v>21243.625188077847</v>
      </c>
      <c r="R13" s="83">
        <f>EIA_electricity_aeo2014!T58*1000</f>
        <v>21207.87628934547</v>
      </c>
      <c r="S13" s="83">
        <f>EIA_electricity_aeo2014!U58*1000</f>
        <v>21201.928149688927</v>
      </c>
      <c r="T13" s="83">
        <f>EIA_electricity_aeo2014!V58*1000</f>
        <v>21028.266062633695</v>
      </c>
      <c r="U13" s="83">
        <f>EIA_electricity_aeo2014!W58*1000</f>
        <v>21339.677479536836</v>
      </c>
      <c r="V13" s="83">
        <f>EIA_electricity_aeo2014!X58*1000</f>
        <v>21590.000136630122</v>
      </c>
      <c r="W13" s="83">
        <f>EIA_electricity_aeo2014!Y58*1000</f>
        <v>21419.111862149537</v>
      </c>
      <c r="X13" s="184">
        <f>EIA_electricity_aeo2014!Z58*1000</f>
        <v>21542.668074054218</v>
      </c>
      <c r="Y13" s="174">
        <f>EIA_electricity_aeo2014!AA58*1000</f>
        <v>21648.706740885347</v>
      </c>
      <c r="Z13" s="174">
        <f>EIA_electricity_aeo2014!AB58*1000</f>
        <v>21657.163343982196</v>
      </c>
      <c r="AA13" s="174">
        <f>EIA_electricity_aeo2014!AC58*1000</f>
        <v>21852.475224465663</v>
      </c>
      <c r="AB13" s="174">
        <f>EIA_electricity_aeo2014!AD58*1000</f>
        <v>21948.653093305817</v>
      </c>
      <c r="AC13" s="174">
        <f>EIA_electricity_aeo2014!AE58*1000</f>
        <v>21870.471584524901</v>
      </c>
      <c r="AD13" s="174">
        <f>EIA_electricity_aeo2014!AF58*1000</f>
        <v>22106.886536681293</v>
      </c>
      <c r="AE13" s="174">
        <f>EIA_electricity_aeo2014!AG58*1000</f>
        <v>22137.297976453254</v>
      </c>
      <c r="AF13" s="174">
        <f>EIA_electricity_aeo2014!AH58*1000</f>
        <v>22116.952316135492</v>
      </c>
      <c r="AG13" s="174">
        <f>EIA_electricity_aeo2014!AI58*1000</f>
        <v>22071.685400783706</v>
      </c>
      <c r="AH13" s="184">
        <f>EIA_electricity_aeo2014!AJ58*1000</f>
        <v>21913.01709145827</v>
      </c>
      <c r="AI13" s="115">
        <f>X13/C13-1</f>
        <v>6.8372747175868831E-2</v>
      </c>
      <c r="AJ13" s="165">
        <f>(1+AJ11)^21-1</f>
        <v>0.24007814276920247</v>
      </c>
      <c r="AK13" s="168">
        <f>(1+AK11)^21-1</f>
        <v>0.11389489977934208</v>
      </c>
      <c r="AL13" s="121"/>
    </row>
    <row r="14" spans="1:38" s="20" customFormat="1">
      <c r="A14" s="20" t="s">
        <v>131</v>
      </c>
      <c r="B14" s="33"/>
      <c r="C14" s="330">
        <f>EIA_electricity_aeo2014!E58 * 1000</f>
        <v>20164</v>
      </c>
      <c r="D14" s="330">
        <f>IF(Inputs!$C$7="BAU",'Output -Jobs vs Yr'!D13,C14+($X$14-$C$14)/($X$11-$C$11) )</f>
        <v>22197</v>
      </c>
      <c r="E14" s="330">
        <f>IF(Inputs!$C$7="BAU",'Output -Jobs vs Yr'!E13,D14+($X$14-$C$14)/($X$11-$C$11) )</f>
        <v>21012.820686356619</v>
      </c>
      <c r="F14" s="330">
        <f>IF(Inputs!$C$7="BAU",'Output -Jobs vs Yr'!F13,E14+($X$14-$C$14)/($X$11-$C$11) )</f>
        <v>20693.111462371187</v>
      </c>
      <c r="G14" s="330">
        <f>IF(Inputs!$C$7="BAU",'Output -Jobs vs Yr'!G13,F14+($X$14-$C$14)/($X$11-$C$11) )</f>
        <v>20277.545399427716</v>
      </c>
      <c r="H14" s="286">
        <f>EIA_electricity_aeo2014!J58*1000</f>
        <v>20638.933947049623</v>
      </c>
      <c r="I14" s="83">
        <f>IF(Inputs!$C$7="BAU",'Output -Jobs vs Yr'!I13,H14+($X$14-$C$14)/($X$11-$C$11) )</f>
        <v>20236.874570622258</v>
      </c>
      <c r="J14" s="83">
        <f>IF(Inputs!$C$7="BAU",'Output -Jobs vs Yr'!J13,I14+($X$14-$C$14)/($X$11-$C$11) )</f>
        <v>20453.548206560037</v>
      </c>
      <c r="K14" s="83">
        <f>IF(Inputs!$C$7="BAU",'Output -Jobs vs Yr'!K13,J14+($X$14-$C$14)/($X$11-$C$11) )</f>
        <v>20975.245251175984</v>
      </c>
      <c r="L14" s="83">
        <f>IF(Inputs!$C$7="BAU",'Output -Jobs vs Yr'!L13,K14+($X$14-$C$14)/($X$11-$C$11) )</f>
        <v>21403.957894781903</v>
      </c>
      <c r="M14" s="83">
        <f>IF(Inputs!$C$7="BAU",'Output -Jobs vs Yr'!M13,L14+($X$14-$C$14)/($X$11-$C$11) )</f>
        <v>21567.271409847403</v>
      </c>
      <c r="N14" s="177">
        <f>IF(Inputs!$C$7="BAU",'Output -Jobs vs Yr'!N13,M14+($X$14-$C$14)/($X$11-$C$11) )</f>
        <v>21481.605171242038</v>
      </c>
      <c r="O14" s="83">
        <f>IF(Inputs!$C$7="BAU",'Output -Jobs vs Yr'!O13,N14+($X$14-$C$14)/($X$11-$C$11) )</f>
        <v>21493.082188513541</v>
      </c>
      <c r="P14" s="83">
        <f>IF(Inputs!$C$7="BAU",'Output -Jobs vs Yr'!P13,O14+($X$14-$C$14)/($X$11-$C$11) )</f>
        <v>21314.769503171687</v>
      </c>
      <c r="Q14" s="83">
        <f>IF(Inputs!$C$7="BAU",'Output -Jobs vs Yr'!Q13,P14+($X$14-$C$14)/($X$11-$C$11) )</f>
        <v>21243.625188077847</v>
      </c>
      <c r="R14" s="83">
        <f>IF(Inputs!$C$7="BAU",'Output -Jobs vs Yr'!R13,Q14+($X$14-$C$14)/($X$11-$C$11) )</f>
        <v>21207.87628934547</v>
      </c>
      <c r="S14" s="83">
        <f>IF(Inputs!$C$7="BAU",'Output -Jobs vs Yr'!S13,R14+($X$14-$C$14)/($X$11-$C$11) )</f>
        <v>21201.928149688927</v>
      </c>
      <c r="T14" s="83">
        <f>IF(Inputs!$C$7="BAU",'Output -Jobs vs Yr'!T13,S14+($X$14-$C$14)/($X$11-$C$11) )</f>
        <v>21028.266062633695</v>
      </c>
      <c r="U14" s="83">
        <f>IF(Inputs!$C$7="BAU",'Output -Jobs vs Yr'!U13,T14+($X$14-$C$14)/($X$11-$C$11) )</f>
        <v>21339.677479536836</v>
      </c>
      <c r="V14" s="83">
        <f>IF(Inputs!$C$7="BAU",'Output -Jobs vs Yr'!V13,U14+($X$14-$C$14)/($X$11-$C$11) )</f>
        <v>21590.000136630122</v>
      </c>
      <c r="W14" s="83">
        <f>IF(Inputs!$C$7="BAU",'Output -Jobs vs Yr'!W13,V14+($X$14-$C$14)/($X$11-$C$11) )</f>
        <v>21419.111862149537</v>
      </c>
      <c r="X14" s="184">
        <f>IF(Inputs!$C$7="BAU",'Output -Jobs vs Yr'!X13,C14*(1+Inputs!C7) )</f>
        <v>21542.668074054218</v>
      </c>
      <c r="Y14" s="174">
        <f>IF(Inputs!$C$7="BAU",'Output -Jobs vs Yr'!Y13,D14*(1+Inputs!D7) )</f>
        <v>21648.706740885347</v>
      </c>
      <c r="Z14" s="174">
        <f>IF(Inputs!$C$7="BAU",'Output -Jobs vs Yr'!Z13,E14*(1+Inputs!E7) )</f>
        <v>21657.163343982196</v>
      </c>
      <c r="AA14" s="174">
        <f>IF(Inputs!$C$7="BAU",'Output -Jobs vs Yr'!AA13,F14*(1+Inputs!F7) )</f>
        <v>21852.475224465663</v>
      </c>
      <c r="AB14" s="174">
        <f>IF(Inputs!$C$7="BAU",'Output -Jobs vs Yr'!AB13,G14*(1+Inputs!G7) )</f>
        <v>21948.653093305817</v>
      </c>
      <c r="AC14" s="174">
        <f>IF(Inputs!$C$7="BAU",'Output -Jobs vs Yr'!AC13,H14*(1+Inputs!H7) )</f>
        <v>21870.471584524901</v>
      </c>
      <c r="AD14" s="174">
        <f>IF(Inputs!$C$7="BAU",'Output -Jobs vs Yr'!AD13,I14*(1+Inputs!L7) )</f>
        <v>22106.886536681293</v>
      </c>
      <c r="AE14" s="174">
        <f>IF(Inputs!$C$7="BAU",'Output -Jobs vs Yr'!AE13,J14*(1+Inputs!M7) )</f>
        <v>22137.297976453254</v>
      </c>
      <c r="AF14" s="174">
        <f>IF(Inputs!$C$7="BAU",'Output -Jobs vs Yr'!AF13,K14*(1+Inputs!N7) )</f>
        <v>22116.952316135492</v>
      </c>
      <c r="AG14" s="174">
        <f>IF(Inputs!$C$7="BAU",'Output -Jobs vs Yr'!AG13,L14*(1+Inputs!O7) )</f>
        <v>22071.685400783706</v>
      </c>
      <c r="AH14" s="184">
        <f>IF(Inputs!$C$7="BAU",'Output -Jobs vs Yr'!AH13,M14*(1+Inputs!P7) )</f>
        <v>21913.01709145827</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5.9363717516365794E-2</v>
      </c>
      <c r="D16" s="381">
        <f t="shared" si="1"/>
        <v>6.6558187580802522E-2</v>
      </c>
      <c r="E16" s="381">
        <f t="shared" si="1"/>
        <v>7.4665437959947123E-2</v>
      </c>
      <c r="F16" s="381">
        <f t="shared" si="1"/>
        <v>8.41105561324864E-2</v>
      </c>
      <c r="G16" s="381">
        <f t="shared" si="1"/>
        <v>9.4575079323771752E-2</v>
      </c>
      <c r="H16" s="381">
        <f t="shared" si="1"/>
        <v>5.640852390986445E-2</v>
      </c>
      <c r="I16" s="381">
        <f t="shared" si="1"/>
        <v>7.2622245217809064E-2</v>
      </c>
      <c r="J16" s="381">
        <f t="shared" si="1"/>
        <v>9.0161178370145478E-2</v>
      </c>
      <c r="K16" s="381">
        <f t="shared" si="1"/>
        <v>9.0580288625168648E-2</v>
      </c>
      <c r="L16" s="381">
        <f t="shared" si="1"/>
        <v>9.664671710547644E-2</v>
      </c>
      <c r="M16" s="381">
        <f t="shared" si="1"/>
        <v>0.10491434616272388</v>
      </c>
      <c r="N16" s="381">
        <f>Inputs!C11</f>
        <v>0.12</v>
      </c>
      <c r="O16" s="381">
        <f t="shared" ref="O16:W16" si="2">O95</f>
        <v>0.12133657965602676</v>
      </c>
      <c r="P16" s="381">
        <f t="shared" si="2"/>
        <v>0.12235872619571157</v>
      </c>
      <c r="Q16" s="381">
        <f t="shared" si="2"/>
        <v>0.12338714242896003</v>
      </c>
      <c r="R16" s="381">
        <f t="shared" si="2"/>
        <v>0.12442289250758938</v>
      </c>
      <c r="S16" s="381">
        <f t="shared" si="2"/>
        <v>0.12546594622710799</v>
      </c>
      <c r="T16" s="381">
        <f t="shared" si="2"/>
        <v>0.12652192032933696</v>
      </c>
      <c r="U16" s="381">
        <f t="shared" si="2"/>
        <v>0.12757157107935932</v>
      </c>
      <c r="V16" s="381">
        <f t="shared" si="2"/>
        <v>0.12863022492837589</v>
      </c>
      <c r="W16" s="381">
        <f t="shared" si="2"/>
        <v>0.12971059457969111</v>
      </c>
      <c r="X16" s="382">
        <f>Inputs!C12</f>
        <v>0.13</v>
      </c>
      <c r="Y16" s="383">
        <f>Y95</f>
        <v>0.13270514373353187</v>
      </c>
      <c r="Z16" s="383">
        <f t="shared" ref="Z16:AG16" si="3">Z95</f>
        <v>0.1346516838164783</v>
      </c>
      <c r="AA16" s="383">
        <f t="shared" si="3"/>
        <v>0.13661768930182611</v>
      </c>
      <c r="AB16" s="383">
        <f t="shared" si="3"/>
        <v>0.13861511435836665</v>
      </c>
      <c r="AC16" s="383">
        <f t="shared" si="3"/>
        <v>0.14064832296272389</v>
      </c>
      <c r="AD16" s="383">
        <f t="shared" si="3"/>
        <v>0.14269546108141451</v>
      </c>
      <c r="AE16" s="383">
        <f t="shared" si="3"/>
        <v>0.14478087371494056</v>
      </c>
      <c r="AF16" s="383">
        <f t="shared" si="3"/>
        <v>0.14689818098987872</v>
      </c>
      <c r="AG16" s="383">
        <f t="shared" si="3"/>
        <v>0.14904675255557648</v>
      </c>
      <c r="AH16" s="382">
        <f>Inputs!C13</f>
        <v>0.15</v>
      </c>
      <c r="AI16" s="384" t="s">
        <v>0</v>
      </c>
      <c r="AJ16" s="385"/>
      <c r="AK16" s="386"/>
      <c r="AL16" s="387"/>
    </row>
    <row r="17" spans="1:37" s="281" customFormat="1">
      <c r="A17" s="281" t="s">
        <v>115</v>
      </c>
      <c r="B17" s="282"/>
      <c r="C17" s="337"/>
      <c r="D17" s="332">
        <f>D16/C16-1</f>
        <v>0.12119305133566316</v>
      </c>
      <c r="E17" s="332">
        <f t="shared" ref="E17:M17" si="4">E16/D16-1</f>
        <v>0.12180695829949229</v>
      </c>
      <c r="F17" s="332">
        <f t="shared" si="4"/>
        <v>0.12649920003959436</v>
      </c>
      <c r="G17" s="332">
        <f t="shared" si="4"/>
        <v>0.12441391036342941</v>
      </c>
      <c r="H17" s="284"/>
      <c r="I17" s="284">
        <f t="shared" si="4"/>
        <v>0.28743388736519027</v>
      </c>
      <c r="J17" s="284">
        <f t="shared" si="4"/>
        <v>0.2415091009611936</v>
      </c>
      <c r="K17" s="284">
        <f t="shared" si="4"/>
        <v>4.6484558276576049E-3</v>
      </c>
      <c r="L17" s="284">
        <f t="shared" si="4"/>
        <v>6.6972942705132654E-2</v>
      </c>
      <c r="M17" s="284">
        <f t="shared" si="4"/>
        <v>8.5544851443060121E-2</v>
      </c>
      <c r="N17" s="284">
        <f>N16/M16-1</f>
        <v>0.14379019065589005</v>
      </c>
      <c r="O17" s="284">
        <f>O16/N16-1</f>
        <v>1.1138163800223033E-2</v>
      </c>
      <c r="P17" s="284">
        <f t="shared" ref="P17:X17" si="5">P16/O16-1</f>
        <v>8.4240592785989055E-3</v>
      </c>
      <c r="Q17" s="284">
        <f t="shared" si="5"/>
        <v>8.4049275864763739E-3</v>
      </c>
      <c r="R17" s="284">
        <f t="shared" si="5"/>
        <v>8.3943112567477218E-3</v>
      </c>
      <c r="S17" s="284">
        <f t="shared" si="5"/>
        <v>8.3831335094142201E-3</v>
      </c>
      <c r="T17" s="284">
        <f t="shared" si="5"/>
        <v>8.4164200245819831E-3</v>
      </c>
      <c r="U17" s="284">
        <f t="shared" si="5"/>
        <v>8.2961967957024818E-3</v>
      </c>
      <c r="V17" s="284">
        <f t="shared" si="5"/>
        <v>8.2985091432166147E-3</v>
      </c>
      <c r="W17" s="284">
        <f t="shared" si="5"/>
        <v>8.399034145488038E-3</v>
      </c>
      <c r="X17" s="283">
        <f t="shared" si="5"/>
        <v>2.2311625449460415E-3</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0.43726443166038487</v>
      </c>
      <c r="D18" s="332">
        <f t="shared" ref="D18:G18" si="6">($N$18-$C$18)/($N$11-$C$11)+C18</f>
        <v>0.43349563302705429</v>
      </c>
      <c r="E18" s="332">
        <f t="shared" si="6"/>
        <v>0.42972683439372372</v>
      </c>
      <c r="F18" s="332">
        <f t="shared" si="6"/>
        <v>0.42595803576039315</v>
      </c>
      <c r="G18" s="332">
        <f t="shared" si="6"/>
        <v>0.42218923712706258</v>
      </c>
      <c r="H18" s="284">
        <f>H32/H14</f>
        <v>0.4548069588533451</v>
      </c>
      <c r="I18" s="172">
        <f>($N$18-$H$18)/($N$11-$H$11)+H18</f>
        <v>0.44497374016007907</v>
      </c>
      <c r="J18" s="172">
        <f t="shared" ref="J18:M18" si="7">($N$18-$H$18)/($N$11-$H$11)+I18</f>
        <v>0.43514052146681304</v>
      </c>
      <c r="K18" s="172">
        <f t="shared" si="7"/>
        <v>0.425307302773547</v>
      </c>
      <c r="L18" s="172">
        <f t="shared" si="7"/>
        <v>0.41547408408028097</v>
      </c>
      <c r="M18" s="172">
        <f t="shared" si="7"/>
        <v>0.40564086538701494</v>
      </c>
      <c r="N18" s="180">
        <f>Inputs!C36</f>
        <v>0.39580764669374879</v>
      </c>
      <c r="O18" s="91">
        <f t="shared" ref="O18:W18" si="8">($X$18-$N$18)/($X$11-$N$11)+N18</f>
        <v>0.39604517332598416</v>
      </c>
      <c r="P18" s="91">
        <f t="shared" si="8"/>
        <v>0.39628269995821952</v>
      </c>
      <c r="Q18" s="91">
        <f t="shared" si="8"/>
        <v>0.39652022659045488</v>
      </c>
      <c r="R18" s="91">
        <f t="shared" si="8"/>
        <v>0.39675775322269025</v>
      </c>
      <c r="S18" s="22">
        <f t="shared" si="8"/>
        <v>0.39699527985492561</v>
      </c>
      <c r="T18" s="91">
        <f t="shared" si="8"/>
        <v>0.39723280648716097</v>
      </c>
      <c r="U18" s="91">
        <f t="shared" si="8"/>
        <v>0.39747033311939634</v>
      </c>
      <c r="V18" s="91">
        <f t="shared" si="8"/>
        <v>0.3977078597516317</v>
      </c>
      <c r="W18" s="91">
        <f t="shared" si="8"/>
        <v>0.39794538638386706</v>
      </c>
      <c r="X18" s="185">
        <f>Inputs!F36</f>
        <v>0.39818291301610226</v>
      </c>
      <c r="Y18" s="172">
        <f>($AH$18-$X$18)/($AH$11-$X$11)+X18</f>
        <v>0.39753836718927682</v>
      </c>
      <c r="Z18" s="172">
        <f t="shared" ref="Z18:AG18" si="9">($AH$18-$X$18)/($AH$11-$X$11)+Y18</f>
        <v>0.39689382136245133</v>
      </c>
      <c r="AA18" s="172">
        <f t="shared" si="9"/>
        <v>0.39624927553562583</v>
      </c>
      <c r="AB18" s="172">
        <f t="shared" si="9"/>
        <v>0.39560472970880034</v>
      </c>
      <c r="AC18" s="172">
        <f t="shared" si="9"/>
        <v>0.39496018388197485</v>
      </c>
      <c r="AD18" s="172">
        <f t="shared" si="9"/>
        <v>0.39431563805514935</v>
      </c>
      <c r="AE18" s="172">
        <f t="shared" si="9"/>
        <v>0.39367109222832386</v>
      </c>
      <c r="AF18" s="172">
        <f t="shared" si="9"/>
        <v>0.39302654640149837</v>
      </c>
      <c r="AG18" s="172">
        <f t="shared" si="9"/>
        <v>0.39238200057467287</v>
      </c>
      <c r="AH18" s="185">
        <f>Inputs!H36</f>
        <v>0.3917374547478476</v>
      </c>
      <c r="AK18"/>
    </row>
    <row r="19" spans="1:37" s="281" customFormat="1">
      <c r="A19" s="281" t="s">
        <v>114</v>
      </c>
      <c r="B19" s="285"/>
      <c r="C19" s="330">
        <f t="shared" ref="C19:AH19" si="10">C16*C14</f>
        <v>1197.0099999999998</v>
      </c>
      <c r="D19" s="330">
        <f t="shared" si="10"/>
        <v>1477.3920897310736</v>
      </c>
      <c r="E19" s="330">
        <f t="shared" si="10"/>
        <v>1568.9314593206536</v>
      </c>
      <c r="F19" s="330">
        <f t="shared" si="10"/>
        <v>1740.5091132115695</v>
      </c>
      <c r="G19" s="330">
        <f t="shared" si="10"/>
        <v>1917.7504646422592</v>
      </c>
      <c r="H19" s="286">
        <f t="shared" si="10"/>
        <v>1164.2117990262618</v>
      </c>
      <c r="I19" s="286">
        <f t="shared" si="10"/>
        <v>1469.6472675097741</v>
      </c>
      <c r="J19" s="286">
        <f t="shared" si="10"/>
        <v>1844.1160081540286</v>
      </c>
      <c r="K19" s="286">
        <f t="shared" si="10"/>
        <v>1899.9437688352186</v>
      </c>
      <c r="L19" s="286">
        <f t="shared" si="10"/>
        <v>2068.6222635945155</v>
      </c>
      <c r="M19" s="286">
        <f t="shared" si="10"/>
        <v>2262.7161784781483</v>
      </c>
      <c r="N19" s="287">
        <f t="shared" si="10"/>
        <v>2577.7926205490444</v>
      </c>
      <c r="O19" s="286">
        <f t="shared" si="10"/>
        <v>2607.8970790201033</v>
      </c>
      <c r="P19" s="286">
        <f t="shared" si="10"/>
        <v>2608.0480455632878</v>
      </c>
      <c r="Q19" s="286">
        <f t="shared" si="10"/>
        <v>2621.1902067888041</v>
      </c>
      <c r="R19" s="286">
        <f t="shared" si="10"/>
        <v>2638.7453118634849</v>
      </c>
      <c r="S19" s="286">
        <f t="shared" si="10"/>
        <v>2660.1199771398783</v>
      </c>
      <c r="T19" s="286">
        <f t="shared" si="10"/>
        <v>2660.5366034406406</v>
      </c>
      <c r="U19" s="286">
        <f t="shared" si="10"/>
        <v>2722.3361823913369</v>
      </c>
      <c r="V19" s="286">
        <f t="shared" si="10"/>
        <v>2777.1265737783988</v>
      </c>
      <c r="W19" s="286">
        <f t="shared" si="10"/>
        <v>2778.2857350083314</v>
      </c>
      <c r="X19" s="287">
        <f>Inputs!C12*'Output -Jobs vs Yr'!X14</f>
        <v>2800.5468496270482</v>
      </c>
      <c r="Y19" s="286">
        <f t="shared" si="10"/>
        <v>2872.8947396942704</v>
      </c>
      <c r="Z19" s="286">
        <f t="shared" si="10"/>
        <v>2916.1735109557144</v>
      </c>
      <c r="AA19" s="286">
        <f t="shared" si="10"/>
        <v>2985.4346706919027</v>
      </c>
      <c r="AB19" s="286">
        <f t="shared" si="10"/>
        <v>3042.4150585407037</v>
      </c>
      <c r="AC19" s="286">
        <f t="shared" si="10"/>
        <v>3076.0451507673342</v>
      </c>
      <c r="AD19" s="286">
        <f t="shared" si="10"/>
        <v>3154.5523674262517</v>
      </c>
      <c r="AE19" s="286">
        <f t="shared" si="10"/>
        <v>3205.0573427188879</v>
      </c>
      <c r="AF19" s="286">
        <f t="shared" si="10"/>
        <v>3248.9400642801888</v>
      </c>
      <c r="AG19" s="286">
        <f t="shared" si="10"/>
        <v>3289.713032415139</v>
      </c>
      <c r="AH19" s="287">
        <f t="shared" si="10"/>
        <v>3286.9525637187403</v>
      </c>
    </row>
    <row r="20" spans="1:37" s="20" customFormat="1">
      <c r="A20" s="20" t="s">
        <v>211</v>
      </c>
      <c r="B20" s="33"/>
      <c r="C20" s="330">
        <f>'Output - Jobs vs Yr (BAU)'!C18</f>
        <v>1197.01</v>
      </c>
      <c r="D20" s="330">
        <f>'Output - Jobs vs Yr (BAU)'!D18</f>
        <v>1241.8887999999999</v>
      </c>
      <c r="E20" s="330">
        <f>'Output - Jobs vs Yr (BAU)'!E18</f>
        <v>1114.5963570398226</v>
      </c>
      <c r="F20" s="330">
        <f>'Output - Jobs vs Yr (BAU)'!F18</f>
        <v>1176.6351130943458</v>
      </c>
      <c r="G20" s="330">
        <f>'Output - Jobs vs Yr (BAU)'!G18</f>
        <v>1113.3700903645672</v>
      </c>
      <c r="H20" s="286">
        <f>'Output - Jobs vs Yr (BAU)'!H18</f>
        <v>1163.2117990262616</v>
      </c>
      <c r="I20" s="83">
        <f>'Output - Jobs vs Yr (BAU)'!I18</f>
        <v>1437.7929898413795</v>
      </c>
      <c r="J20" s="83">
        <f>'Output - Jobs vs Yr (BAU)'!J18</f>
        <v>1821.3752379129526</v>
      </c>
      <c r="K20" s="83">
        <f>'Output - Jobs vs Yr (BAU)'!K18</f>
        <v>1846.9957081949879</v>
      </c>
      <c r="L20" s="83">
        <f>'Output - Jobs vs Yr (BAU)'!L18</f>
        <v>1868.6184717725732</v>
      </c>
      <c r="M20" s="83">
        <f>'Output - Jobs vs Yr (BAU)'!M18</f>
        <v>1899.08488172393</v>
      </c>
      <c r="N20" s="177">
        <f>'Output - Jobs vs Yr (BAU)'!N18</f>
        <v>1927.9631556077252</v>
      </c>
      <c r="O20" s="83">
        <f>'Output - Jobs vs Yr (BAU)'!O18</f>
        <v>2017.2261701762764</v>
      </c>
      <c r="P20" s="83">
        <f>'Output - Jobs vs Yr (BAU)'!P18</f>
        <v>2020.7770471410984</v>
      </c>
      <c r="Q20" s="83">
        <f>'Output - Jobs vs Yr (BAU)'!Q18</f>
        <v>2022.2737996751921</v>
      </c>
      <c r="R20" s="83">
        <f>'Output - Jobs vs Yr (BAU)'!R18</f>
        <v>2033.9682399908638</v>
      </c>
      <c r="S20" s="83">
        <f>'Output - Jobs vs Yr (BAU)'!S18</f>
        <v>2038.607048566399</v>
      </c>
      <c r="T20" s="83">
        <f>'Output - Jobs vs Yr (BAU)'!T18</f>
        <v>2051.396385065329</v>
      </c>
      <c r="U20" s="83">
        <f>'Output - Jobs vs Yr (BAU)'!U18</f>
        <v>2099.8795143283178</v>
      </c>
      <c r="V20" s="83">
        <f>'Output - Jobs vs Yr (BAU)'!V18</f>
        <v>2182.1804891463485</v>
      </c>
      <c r="W20" s="83">
        <f>'Output - Jobs vs Yr (BAU)'!W18</f>
        <v>2175.2637949164273</v>
      </c>
      <c r="X20" s="184">
        <f>'Output - Jobs vs Yr (BAU)'!X18</f>
        <v>2178.3953473286033</v>
      </c>
      <c r="Y20" s="174">
        <f>'Output - Jobs vs Yr (BAU)'!Y18</f>
        <v>2195.732989751717</v>
      </c>
      <c r="Z20" s="174">
        <f>'Output - Jobs vs Yr (BAU)'!Z18</f>
        <v>2194.218928724812</v>
      </c>
      <c r="AA20" s="174">
        <f>'Output - Jobs vs Yr (BAU)'!AA18</f>
        <v>2216.0383173475275</v>
      </c>
      <c r="AB20" s="174">
        <f>'Output - Jobs vs Yr (BAU)'!AB18</f>
        <v>2235.4731981286741</v>
      </c>
      <c r="AC20" s="174">
        <f>'Output - Jobs vs Yr (BAU)'!AC18</f>
        <v>2244.7496011813364</v>
      </c>
      <c r="AD20" s="174">
        <f>'Output - Jobs vs Yr (BAU)'!AD18</f>
        <v>2291.0837528404936</v>
      </c>
      <c r="AE20" s="174">
        <f>'Output - Jobs vs Yr (BAU)'!AE18</f>
        <v>2348.7449940569927</v>
      </c>
      <c r="AF20" s="174">
        <f>'Output - Jobs vs Yr (BAU)'!AF18</f>
        <v>2332.7834594392743</v>
      </c>
      <c r="AG20" s="174">
        <f>'Output - Jobs vs Yr (BAU)'!AG18</f>
        <v>2348.0897784979798</v>
      </c>
      <c r="AH20" s="184">
        <f>'Output - Jobs vs Yr (BAU)'!AH18</f>
        <v>2367.1132955839835</v>
      </c>
    </row>
    <row r="21" spans="1:37" s="20" customFormat="1">
      <c r="A21" s="20" t="s">
        <v>116</v>
      </c>
      <c r="B21" s="33"/>
      <c r="C21" s="330">
        <f t="shared" ref="C21:AH21" si="11">MAX(C19:C20)</f>
        <v>1197.01</v>
      </c>
      <c r="D21" s="330">
        <f t="shared" si="11"/>
        <v>1477.3920897310736</v>
      </c>
      <c r="E21" s="330">
        <f t="shared" si="11"/>
        <v>1568.9314593206536</v>
      </c>
      <c r="F21" s="330">
        <f t="shared" si="11"/>
        <v>1740.5091132115695</v>
      </c>
      <c r="G21" s="330">
        <f t="shared" si="11"/>
        <v>1917.7504646422592</v>
      </c>
      <c r="H21" s="286">
        <f t="shared" si="11"/>
        <v>1164.2117990262618</v>
      </c>
      <c r="I21" s="83">
        <f t="shared" si="11"/>
        <v>1469.6472675097741</v>
      </c>
      <c r="J21" s="83">
        <f t="shared" si="11"/>
        <v>1844.1160081540286</v>
      </c>
      <c r="K21" s="83">
        <f t="shared" si="11"/>
        <v>1899.9437688352186</v>
      </c>
      <c r="L21" s="83">
        <f t="shared" si="11"/>
        <v>2068.6222635945155</v>
      </c>
      <c r="M21" s="83">
        <f t="shared" si="11"/>
        <v>2262.7161784781483</v>
      </c>
      <c r="N21" s="177">
        <f t="shared" si="11"/>
        <v>2577.7926205490444</v>
      </c>
      <c r="O21" s="83">
        <f t="shared" si="11"/>
        <v>2607.8970790201033</v>
      </c>
      <c r="P21" s="83">
        <f t="shared" si="11"/>
        <v>2608.0480455632878</v>
      </c>
      <c r="Q21" s="83">
        <f t="shared" si="11"/>
        <v>2621.1902067888041</v>
      </c>
      <c r="R21" s="83">
        <f t="shared" si="11"/>
        <v>2638.7453118634849</v>
      </c>
      <c r="S21" s="83">
        <f t="shared" si="11"/>
        <v>2660.1199771398783</v>
      </c>
      <c r="T21" s="83">
        <f t="shared" si="11"/>
        <v>2660.5366034406406</v>
      </c>
      <c r="U21" s="83">
        <f t="shared" si="11"/>
        <v>2722.3361823913369</v>
      </c>
      <c r="V21" s="83">
        <f t="shared" si="11"/>
        <v>2777.1265737783988</v>
      </c>
      <c r="W21" s="83">
        <f t="shared" si="11"/>
        <v>2778.2857350083314</v>
      </c>
      <c r="X21" s="184">
        <f t="shared" si="11"/>
        <v>2800.5468496270482</v>
      </c>
      <c r="Y21" s="174">
        <f t="shared" si="11"/>
        <v>2872.8947396942704</v>
      </c>
      <c r="Z21" s="174">
        <f t="shared" si="11"/>
        <v>2916.1735109557144</v>
      </c>
      <c r="AA21" s="174">
        <f t="shared" si="11"/>
        <v>2985.4346706919027</v>
      </c>
      <c r="AB21" s="174">
        <f t="shared" si="11"/>
        <v>3042.4150585407037</v>
      </c>
      <c r="AC21" s="174">
        <f t="shared" si="11"/>
        <v>3076.0451507673342</v>
      </c>
      <c r="AD21" s="174">
        <f t="shared" si="11"/>
        <v>3154.5523674262517</v>
      </c>
      <c r="AE21" s="174">
        <f t="shared" si="11"/>
        <v>3205.0573427188879</v>
      </c>
      <c r="AF21" s="174">
        <f t="shared" si="11"/>
        <v>3248.9400642801888</v>
      </c>
      <c r="AG21" s="174">
        <f t="shared" si="11"/>
        <v>3289.713032415139</v>
      </c>
      <c r="AH21" s="184">
        <f t="shared" si="11"/>
        <v>3286.9525637187403</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8.3316306288434838E-2</v>
      </c>
      <c r="D26" s="332">
        <f t="shared" ref="D26:G26" si="21">C26+($N$26-$C$26)/($N$11-$C$11)</f>
        <v>8.1508040707201912E-2</v>
      </c>
      <c r="E26" s="332">
        <f t="shared" si="21"/>
        <v>7.9699775125968986E-2</v>
      </c>
      <c r="F26" s="332">
        <f t="shared" si="21"/>
        <v>7.7891509544736059E-2</v>
      </c>
      <c r="G26" s="332">
        <f t="shared" si="21"/>
        <v>7.6083243963503133E-2</v>
      </c>
      <c r="H26" s="284">
        <f>H31/H14</f>
        <v>6.2855376807729596E-2</v>
      </c>
      <c r="I26" s="91">
        <f>H26+($N$26-$H$26)/($N$11-$H$11)</f>
        <v>6.2950378155586781E-2</v>
      </c>
      <c r="J26" s="172">
        <f t="shared" ref="J26:M26" si="22">I26+($N$26-$H$26)/($N$11-$H$11)</f>
        <v>6.3045379503443966E-2</v>
      </c>
      <c r="K26" s="172">
        <f t="shared" si="22"/>
        <v>6.3140380851301151E-2</v>
      </c>
      <c r="L26" s="172">
        <f t="shared" si="22"/>
        <v>6.3235382199158335E-2</v>
      </c>
      <c r="M26" s="172">
        <f t="shared" si="22"/>
        <v>6.333038354701552E-2</v>
      </c>
      <c r="N26" s="180">
        <f>Inputs!C35</f>
        <v>6.3425384894872719E-2</v>
      </c>
      <c r="O26" s="91">
        <f t="shared" ref="O26:W26" si="23">N26+($X$26-$N$26)/($X$11-$N$11)</f>
        <v>6.3463446863099335E-2</v>
      </c>
      <c r="P26" s="91">
        <f t="shared" si="23"/>
        <v>6.3501508831325951E-2</v>
      </c>
      <c r="Q26" s="91">
        <f t="shared" si="23"/>
        <v>6.3539570799552567E-2</v>
      </c>
      <c r="R26" s="91">
        <f t="shared" si="23"/>
        <v>6.3577632767779182E-2</v>
      </c>
      <c r="S26" s="22">
        <f t="shared" si="23"/>
        <v>6.3615694736005798E-2</v>
      </c>
      <c r="T26" s="91">
        <f t="shared" si="23"/>
        <v>6.3653756704232414E-2</v>
      </c>
      <c r="U26" s="91">
        <f t="shared" si="23"/>
        <v>6.369181867245903E-2</v>
      </c>
      <c r="V26" s="91">
        <f t="shared" si="23"/>
        <v>6.3729880640685646E-2</v>
      </c>
      <c r="W26" s="91">
        <f t="shared" si="23"/>
        <v>6.3767942608912262E-2</v>
      </c>
      <c r="X26" s="185">
        <f>Inputs!F35</f>
        <v>6.3806004577138906E-2</v>
      </c>
      <c r="Y26" s="172">
        <f>X26+($AH$26-$X$26)/($AH$11-$X$11)</f>
        <v>6.3702720652509676E-2</v>
      </c>
      <c r="Z26" s="172">
        <f t="shared" ref="Z26:AG26" si="24">Y26+($AH$26-$X$26)/($AH$11-$X$11)</f>
        <v>6.3599436727880446E-2</v>
      </c>
      <c r="AA26" s="172">
        <f t="shared" si="24"/>
        <v>6.3496152803251216E-2</v>
      </c>
      <c r="AB26" s="172">
        <f t="shared" si="24"/>
        <v>6.3392868878621986E-2</v>
      </c>
      <c r="AC26" s="172">
        <f t="shared" si="24"/>
        <v>6.3289584953992756E-2</v>
      </c>
      <c r="AD26" s="172">
        <f t="shared" si="24"/>
        <v>6.3186301029363526E-2</v>
      </c>
      <c r="AE26" s="172">
        <f t="shared" si="24"/>
        <v>6.3083017104734296E-2</v>
      </c>
      <c r="AF26" s="172">
        <f t="shared" si="24"/>
        <v>6.2979733180105066E-2</v>
      </c>
      <c r="AG26" s="172">
        <f t="shared" si="24"/>
        <v>6.2876449255475836E-2</v>
      </c>
      <c r="AH26" s="185">
        <f>Inputs!H35</f>
        <v>6.277316533084662E-2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0.46061097459093142</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1679.99</v>
      </c>
      <c r="D31" s="330">
        <f t="shared" ref="D31:AH31" si="27">D26*D14</f>
        <v>1809.2339795777609</v>
      </c>
      <c r="E31" s="330">
        <f t="shared" si="27"/>
        <v>1674.7170834649319</v>
      </c>
      <c r="F31" s="330">
        <f t="shared" si="27"/>
        <v>1611.8176889815725</v>
      </c>
      <c r="G31" s="330">
        <f t="shared" si="27"/>
        <v>1542.7814336056695</v>
      </c>
      <c r="H31" s="286">
        <f>'Output - Jobs vs Yr (BAU)'!H7</f>
        <v>1297.2679701516461</v>
      </c>
      <c r="I31" s="174">
        <f t="shared" si="27"/>
        <v>1273.9189069078491</v>
      </c>
      <c r="J31" s="174">
        <f t="shared" si="27"/>
        <v>1289.5017088745633</v>
      </c>
      <c r="K31" s="174">
        <f t="shared" si="27"/>
        <v>1324.3849736086975</v>
      </c>
      <c r="L31" s="174">
        <f t="shared" si="27"/>
        <v>1353.487458051226</v>
      </c>
      <c r="M31" s="174">
        <f t="shared" si="27"/>
        <v>1365.8635704482181</v>
      </c>
      <c r="N31" s="184">
        <f t="shared" si="27"/>
        <v>1362.4790761457143</v>
      </c>
      <c r="O31" s="174">
        <f t="shared" si="27"/>
        <v>1364.0250793949558</v>
      </c>
      <c r="P31" s="174">
        <f t="shared" si="27"/>
        <v>1353.520023843334</v>
      </c>
      <c r="Q31" s="174">
        <f t="shared" si="27"/>
        <v>1349.8108266770305</v>
      </c>
      <c r="R31" s="174">
        <f t="shared" si="27"/>
        <v>1348.3465705084977</v>
      </c>
      <c r="S31" s="174">
        <f t="shared" si="27"/>
        <v>1348.7753889853391</v>
      </c>
      <c r="T31" s="174">
        <f t="shared" si="27"/>
        <v>1338.5281318627524</v>
      </c>
      <c r="U31" s="174">
        <f t="shared" si="27"/>
        <v>1359.1628685554178</v>
      </c>
      <c r="V31" s="174">
        <f t="shared" si="27"/>
        <v>1375.9281317398245</v>
      </c>
      <c r="W31" s="174">
        <f t="shared" si="27"/>
        <v>1365.8526959594235</v>
      </c>
      <c r="X31" s="184">
        <f t="shared" si="27"/>
        <v>1374.5515777368876</v>
      </c>
      <c r="Y31" s="174">
        <f t="shared" si="27"/>
        <v>1379.0815180027225</v>
      </c>
      <c r="Z31" s="174">
        <f t="shared" si="27"/>
        <v>1377.3833898009673</v>
      </c>
      <c r="AA31" s="174">
        <f t="shared" si="27"/>
        <v>1387.5481059819331</v>
      </c>
      <c r="AB31" s="174">
        <f t="shared" si="27"/>
        <v>1391.3880876062965</v>
      </c>
      <c r="AC31" s="174">
        <f t="shared" si="27"/>
        <v>1384.1730693326733</v>
      </c>
      <c r="AD31" s="174">
        <f t="shared" si="27"/>
        <v>1396.8523875287278</v>
      </c>
      <c r="AE31" s="174">
        <f t="shared" si="27"/>
        <v>1396.4875469012006</v>
      </c>
      <c r="AF31" s="174">
        <f t="shared" si="27"/>
        <v>1392.91975562732</v>
      </c>
      <c r="AG31" s="174">
        <f t="shared" si="27"/>
        <v>1387.7892070852035</v>
      </c>
      <c r="AH31" s="184">
        <f t="shared" si="27"/>
        <v>1375.5494447797778</v>
      </c>
      <c r="AI31" s="127"/>
    </row>
    <row r="32" spans="1:37">
      <c r="A32" s="9" t="s">
        <v>59</v>
      </c>
      <c r="B32" s="35">
        <v>0</v>
      </c>
      <c r="C32" s="330">
        <f>EIA_electricity_aeo2014!E52*1000</f>
        <v>8817</v>
      </c>
      <c r="D32" s="330">
        <f t="shared" ref="D32:AH32" si="28">D18*D14</f>
        <v>9622.3025663015251</v>
      </c>
      <c r="E32" s="330">
        <f t="shared" si="28"/>
        <v>9029.7729152309821</v>
      </c>
      <c r="F32" s="330">
        <f t="shared" si="28"/>
        <v>8814.3971122825078</v>
      </c>
      <c r="G32" s="330">
        <f t="shared" si="28"/>
        <v>8560.9614229937652</v>
      </c>
      <c r="H32" s="286">
        <f>EIA_electricity_aeo2014!J52*1000</f>
        <v>9386.7307824327054</v>
      </c>
      <c r="I32" s="174">
        <f t="shared" si="28"/>
        <v>9004.8777668401799</v>
      </c>
      <c r="J32" s="174">
        <f t="shared" si="28"/>
        <v>8900.1676324491327</v>
      </c>
      <c r="K32" s="174">
        <f t="shared" si="28"/>
        <v>8920.9249827913081</v>
      </c>
      <c r="L32" s="174">
        <f t="shared" si="28"/>
        <v>8892.7898020274097</v>
      </c>
      <c r="M32" s="174">
        <f t="shared" si="28"/>
        <v>8748.5666387271267</v>
      </c>
      <c r="N32" s="184">
        <f t="shared" si="28"/>
        <v>8502.5835900335751</v>
      </c>
      <c r="O32" s="174">
        <f t="shared" si="28"/>
        <v>8512.2314606594682</v>
      </c>
      <c r="P32" s="174">
        <f t="shared" si="28"/>
        <v>8446.674407703993</v>
      </c>
      <c r="Q32" s="174">
        <f t="shared" si="28"/>
        <v>8423.5270731793225</v>
      </c>
      <c r="R32" s="174">
        <f t="shared" si="28"/>
        <v>8414.3893471854735</v>
      </c>
      <c r="S32" s="174">
        <f t="shared" si="28"/>
        <v>8417.065399249781</v>
      </c>
      <c r="T32" s="174">
        <f t="shared" si="28"/>
        <v>8353.1171436187051</v>
      </c>
      <c r="U32" s="174">
        <f t="shared" si="28"/>
        <v>8481.8887164519856</v>
      </c>
      <c r="V32" s="174">
        <f t="shared" si="28"/>
        <v>8586.5127463766021</v>
      </c>
      <c r="W32" s="174">
        <f t="shared" si="28"/>
        <v>8523.6367459823687</v>
      </c>
      <c r="X32" s="184">
        <f t="shared" si="28"/>
        <v>8577.9223278658937</v>
      </c>
      <c r="Y32" s="174">
        <f t="shared" si="28"/>
        <v>8606.1915295310519</v>
      </c>
      <c r="Z32" s="174">
        <f t="shared" si="28"/>
        <v>8595.5943194638985</v>
      </c>
      <c r="AA32" s="174">
        <f t="shared" si="28"/>
        <v>8659.0274763547313</v>
      </c>
      <c r="AB32" s="174">
        <f t="shared" si="28"/>
        <v>8682.9909744494726</v>
      </c>
      <c r="AC32" s="174">
        <f t="shared" si="28"/>
        <v>8637.9654786094616</v>
      </c>
      <c r="AD32" s="174">
        <f t="shared" si="28"/>
        <v>8717.0910701242756</v>
      </c>
      <c r="AE32" s="174">
        <f t="shared" si="28"/>
        <v>8714.8142733742152</v>
      </c>
      <c r="AF32" s="174">
        <f t="shared" si="28"/>
        <v>8692.5493857373531</v>
      </c>
      <c r="AG32" s="174">
        <f t="shared" si="28"/>
        <v>8660.5320736143112</v>
      </c>
      <c r="AH32" s="184">
        <f t="shared" si="28"/>
        <v>8584.1495412539462</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984</v>
      </c>
      <c r="D34" s="330">
        <f>MAX(D58*D$14,'Output - Jobs vs Yr (BAU)'!D10)</f>
        <v>1207.6549354683898</v>
      </c>
      <c r="E34" s="330">
        <f>MAX(E58*E$14,'Output - Jobs vs Yr (BAU)'!E10)</f>
        <v>1274.5682677783889</v>
      </c>
      <c r="F34" s="330">
        <f>MAX(F58*F$14,'Output - Jobs vs Yr (BAU)'!F10)</f>
        <v>1399.3769411701967</v>
      </c>
      <c r="G34" s="330">
        <f>MAX(G58*G$14,'Output - Jobs vs Yr (BAU)'!G10)</f>
        <v>1528.8133540783267</v>
      </c>
      <c r="H34" s="286">
        <f>'Output - Jobs vs Yr (BAU)'!H10</f>
        <v>772.71461895407333</v>
      </c>
      <c r="I34" s="286">
        <f>MAX(I58*I$14,'Output - Jobs vs Yr (BAU)'!I10)</f>
        <v>844.70580037308389</v>
      </c>
      <c r="J34" s="286">
        <f>MAX(J58*J$14,'Output - Jobs vs Yr (BAU)'!J10)</f>
        <v>1051.5875275579497</v>
      </c>
      <c r="K34" s="286">
        <f>MAX(K58*K$14,'Output - Jobs vs Yr (BAU)'!K10)</f>
        <v>1088.2518690105435</v>
      </c>
      <c r="L34" s="286">
        <f>MAX(L58*L$14,'Output - Jobs vs Yr (BAU)'!L10)</f>
        <v>1238.0740790365132</v>
      </c>
      <c r="M34" s="286">
        <f>MAX(M58*M$14,'Output - Jobs vs Yr (BAU)'!M10)</f>
        <v>1390.8423805428147</v>
      </c>
      <c r="N34" s="287">
        <f>MAX(Inputs!$E17*N$21,'Output - Jobs vs Yr (BAU)'!N10)</f>
        <v>1544.4704765077345</v>
      </c>
      <c r="O34" s="286">
        <f>MAX(O58*O$14,'Output - Jobs vs Yr (BAU)'!O10)</f>
        <v>1557.7142429905748</v>
      </c>
      <c r="P34" s="286">
        <f>MAX(P58*P$14,'Output - Jobs vs Yr (BAU)'!P10)</f>
        <v>1557.2055491968358</v>
      </c>
      <c r="Q34" s="286">
        <f>MAX(Q58*Q$14,'Output - Jobs vs Yr (BAU)'!Q10)</f>
        <v>1564.4804592824321</v>
      </c>
      <c r="R34" s="286">
        <f>MAX(R58*R$14,'Output - Jobs vs Yr (BAU)'!R10)</f>
        <v>1574.3993607563145</v>
      </c>
      <c r="S34" s="286">
        <f>MAX(S58*S$14,'Output - Jobs vs Yr (BAU)'!S10)</f>
        <v>1586.6067310223584</v>
      </c>
      <c r="T34" s="286">
        <f>MAX(T58*T$14,'Output - Jobs vs Yr (BAU)'!T10)</f>
        <v>1586.2572058324488</v>
      </c>
      <c r="U34" s="286">
        <f>MAX(U58*U$14,'Output - Jobs vs Yr (BAU)'!U10)</f>
        <v>1622.6849440162332</v>
      </c>
      <c r="V34" s="286">
        <f>MAX(V58*V$14,'Output - Jobs vs Yr (BAU)'!V10)</f>
        <v>1654.9131654623084</v>
      </c>
      <c r="W34" s="286">
        <f>MAX(W58*W$14,'Output - Jobs vs Yr (BAU)'!W10)</f>
        <v>1655.0085260505405</v>
      </c>
      <c r="X34" s="287">
        <f>Inputs!F17*'Output -Jobs vs Yr'!$X$14</f>
        <v>1677.9324654923025</v>
      </c>
      <c r="Y34" s="286">
        <f>MAX(Y58*Y$14,'Output - Jobs vs Yr (BAU)'!Y10)</f>
        <v>1710.4947092508537</v>
      </c>
      <c r="Z34" s="286">
        <f>MAX(Z58*Z$14,'Output - Jobs vs Yr (BAU)'!Z10)</f>
        <v>1735.8258058936926</v>
      </c>
      <c r="AA34" s="286">
        <f>MAX(AA58*AA$14,'Output - Jobs vs Yr (BAU)'!AA10)</f>
        <v>1776.7241097620099</v>
      </c>
      <c r="AB34" s="286">
        <f>MAX(AB58*AB$14,'Output - Jobs vs Yr (BAU)'!AB10)</f>
        <v>1810.2644557179658</v>
      </c>
      <c r="AC34" s="286">
        <f>MAX(AC58*AC$14,'Output - Jobs vs Yr (BAU)'!AC10)</f>
        <v>1829.8145986146512</v>
      </c>
      <c r="AD34" s="286">
        <f>MAX(AD58*AD$14,'Output - Jobs vs Yr (BAU)'!AD10)</f>
        <v>1876.2526273729502</v>
      </c>
      <c r="AE34" s="286">
        <f>MAX(AE58*AE$14,'Output - Jobs vs Yr (BAU)'!AE10)</f>
        <v>1905.9132649937671</v>
      </c>
      <c r="AF34" s="286">
        <f>MAX(AF58*AF$14,'Output - Jobs vs Yr (BAU)'!AF10)</f>
        <v>1931.6062151852473</v>
      </c>
      <c r="AG34" s="286">
        <f>MAX(AG58*AG$14,'Output - Jobs vs Yr (BAU)'!AG10)</f>
        <v>1955.4359734667453</v>
      </c>
      <c r="AH34" s="287">
        <f>Inputs!I17*'Output -Jobs vs Yr'!$AH$14</f>
        <v>1969.359812684907</v>
      </c>
      <c r="AI34" s="127"/>
    </row>
    <row r="35" spans="1:36" s="20" customFormat="1">
      <c r="A35" s="9" t="s">
        <v>50</v>
      </c>
      <c r="B35" s="35">
        <v>1</v>
      </c>
      <c r="C35" s="330">
        <f>EIA_RE_aeo2014!E74*1000</f>
        <v>0</v>
      </c>
      <c r="D35" s="330">
        <f>MAX(D59*D$14,'Output - Jobs vs Yr (BAU)'!D11)</f>
        <v>0</v>
      </c>
      <c r="E35" s="330">
        <f>MAX(E59*E$14,'Output - Jobs vs Yr (BAU)'!E11)</f>
        <v>1.0000000000000001E-7</v>
      </c>
      <c r="F35" s="330">
        <f>MAX(F59*F$14,'Output - Jobs vs Yr (BAU)'!F11)</f>
        <v>1.0000000000000001E-7</v>
      </c>
      <c r="G35" s="330">
        <f>MAX(G59*G$14,'Output - Jobs vs Yr (BAU)'!G11)</f>
        <v>1.0000000000000001E-7</v>
      </c>
      <c r="H35" s="286">
        <f>'Output - Jobs vs Yr (BAU)'!H11</f>
        <v>1.0000000000000001E-7</v>
      </c>
      <c r="I35" s="286">
        <f>MAX(I59*I$14,'Output - Jobs vs Yr (BAU)'!I11)</f>
        <v>1.0223143924535519E-7</v>
      </c>
      <c r="J35" s="286">
        <f>MAX(J59*J$14,'Output - Jobs vs Yr (BAU)'!J11)</f>
        <v>1.0773032994023348E-7</v>
      </c>
      <c r="K35" s="286">
        <f>MAX(K59*K$14,'Output - Jobs vs Yr (BAU)'!K11)</f>
        <v>1.1518732026784795E-7</v>
      </c>
      <c r="L35" s="286">
        <f>MAX(L59*L$14,'Output - Jobs vs Yr (BAU)'!L11)</f>
        <v>1.2255188950561058E-7</v>
      </c>
      <c r="M35" s="286">
        <f>MAX(M59*M$14,'Output - Jobs vs Yr (BAU)'!M11)</f>
        <v>1.2875064799061734E-7</v>
      </c>
      <c r="N35" s="287">
        <f>MAX(Inputs!$E19*N$21,'Output - Jobs vs Yr (BAU)'!N11)</f>
        <v>1.3370549188407507E-7</v>
      </c>
      <c r="O35" s="286">
        <f>MAX(O59*O$14,'Output - Jobs vs Yr (BAU)'!O11)</f>
        <v>1.3485201060289842E-7</v>
      </c>
      <c r="P35" s="286">
        <f>MAX(P59*P$14,'Output - Jobs vs Yr (BAU)'!P11)</f>
        <v>1.3480797275630648E-7</v>
      </c>
      <c r="Q35" s="286">
        <f>MAX(Q59*Q$14,'Output - Jobs vs Yr (BAU)'!Q11)</f>
        <v>1.354377649382888E-7</v>
      </c>
      <c r="R35" s="286">
        <f>MAX(R59*R$14,'Output - Jobs vs Yr (BAU)'!R11)</f>
        <v>1.3629644862353081E-7</v>
      </c>
      <c r="S35" s="286">
        <f>MAX(S59*S$14,'Output - Jobs vs Yr (BAU)'!S11)</f>
        <v>1.3735324606372731E-7</v>
      </c>
      <c r="T35" s="286">
        <f>MAX(T59*T$14,'Output - Jobs vs Yr (BAU)'!T11)</f>
        <v>1.3732298751352931E-7</v>
      </c>
      <c r="U35" s="286">
        <f>MAX(U59*U$14,'Output - Jobs vs Yr (BAU)'!U11)</f>
        <v>1.4047655291097238E-7</v>
      </c>
      <c r="V35" s="286">
        <f>MAX(V59*V$14,'Output - Jobs vs Yr (BAU)'!V11)</f>
        <v>1.4326656428803659E-7</v>
      </c>
      <c r="W35" s="286">
        <f>MAX(W59*W$14,'Output - Jobs vs Yr (BAU)'!W11)</f>
        <v>1.4327481969631397E-7</v>
      </c>
      <c r="X35" s="287">
        <f>Inputs!F19*'Output -Jobs vs Yr'!$X$14</f>
        <v>1.4525935526730907E-7</v>
      </c>
      <c r="Y35" s="286">
        <f>MAX(Y59*Y$14,'Output - Jobs vs Yr (BAU)'!Y11)</f>
        <v>1.4807828310361882E-7</v>
      </c>
      <c r="Z35" s="286">
        <f>MAX(Z59*Z$14,'Output - Jobs vs Yr (BAU)'!Z11)</f>
        <v>1.5027120733759453E-7</v>
      </c>
      <c r="AA35" s="286">
        <f>MAX(AA59*AA$14,'Output - Jobs vs Yr (BAU)'!AA11)</f>
        <v>1.5381179158256005E-7</v>
      </c>
      <c r="AB35" s="286">
        <f>MAX(AB59*AB$14,'Output - Jobs vs Yr (BAU)'!AB11)</f>
        <v>1.5671539415846897E-7</v>
      </c>
      <c r="AC35" s="286">
        <f>MAX(AC59*AC$14,'Output - Jobs vs Yr (BAU)'!AC11)</f>
        <v>1.5840785867117097E-7</v>
      </c>
      <c r="AD35" s="286">
        <f>MAX(AD59*AD$14,'Output - Jobs vs Yr (BAU)'!AD11)</f>
        <v>1.6242801934869627E-7</v>
      </c>
      <c r="AE35" s="286">
        <f>MAX(AE59*AE$14,'Output - Jobs vs Yr (BAU)'!AE11)</f>
        <v>1.6499575385900807E-7</v>
      </c>
      <c r="AF35" s="286">
        <f>MAX(AF59*AF$14,'Output - Jobs vs Yr (BAU)'!AF11)</f>
        <v>1.6722000391464692E-7</v>
      </c>
      <c r="AG35" s="286">
        <f>MAX(AG59*AG$14,'Output - Jobs vs Yr (BAU)'!AG11)</f>
        <v>1.6928295662301509E-7</v>
      </c>
      <c r="AH35" s="287">
        <f>Inputs!I19*'Output -Jobs vs Yr'!$AH$14</f>
        <v>1.704883495391612E-7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151</v>
      </c>
      <c r="D37" s="330">
        <f>MAX(D61*D$14,'Output - Jobs vs Yr (BAU)'!D12)</f>
        <v>173.30763740974473</v>
      </c>
      <c r="E37" s="330">
        <f>MAX(E61*E$14,'Output - Jobs vs Yr (BAU)'!E12)</f>
        <v>171.05309457587927</v>
      </c>
      <c r="F37" s="330">
        <f>MAX(F61*F$14,'Output - Jobs vs Yr (BAU)'!F12)</f>
        <v>175.62872132159288</v>
      </c>
      <c r="G37" s="330">
        <f>MAX(G61*G$14,'Output - Jobs vs Yr (BAU)'!G12)</f>
        <v>179.43546565231543</v>
      </c>
      <c r="H37" s="286">
        <f>'Output - Jobs vs Yr (BAU)'!H12</f>
        <v>174.32834485343835</v>
      </c>
      <c r="I37" s="118">
        <f>MAX(I61*I$14,'Output - Jobs vs Yr (BAU)'!I12)</f>
        <v>178.21626879216606</v>
      </c>
      <c r="J37" s="118">
        <f>MAX(J61*J$14,'Output - Jobs vs Yr (BAU)'!J12)</f>
        <v>187.80006010498252</v>
      </c>
      <c r="K37" s="118">
        <f>MAX(K61*K$14,'Output - Jobs vs Yr (BAU)'!K12)</f>
        <v>200.79702636751918</v>
      </c>
      <c r="L37" s="118">
        <f>MAX(L61*L$14,'Output - Jobs vs Yr (BAU)'!L12)</f>
        <v>213.63257672812136</v>
      </c>
      <c r="M37" s="118">
        <f>MAX(M61*M$14,'Output - Jobs vs Yr (BAU)'!M12)</f>
        <v>224.43560509300121</v>
      </c>
      <c r="N37" s="184">
        <f>MAX(Inputs!$E20*N$21,'Output - Jobs vs Yr (BAU)'!N12)</f>
        <v>233.07003608071579</v>
      </c>
      <c r="O37" s="174">
        <f>MAX(O61*O$14,'Output - Jobs vs Yr (BAU)'!O12)</f>
        <v>235.0686014006433</v>
      </c>
      <c r="P37" s="174">
        <f>MAX(P61*P$14,'Output - Jobs vs Yr (BAU)'!P12)</f>
        <v>234.99183639757973</v>
      </c>
      <c r="Q37" s="174">
        <f>MAX(Q61*Q$14,'Output - Jobs vs Yr (BAU)'!Q12)</f>
        <v>236.08966480020982</v>
      </c>
      <c r="R37" s="174">
        <f>MAX(R61*R$14,'Output - Jobs vs Yr (BAU)'!R12)</f>
        <v>237.58648766575675</v>
      </c>
      <c r="S37" s="174">
        <f>MAX(S61*S$14,'Output - Jobs vs Yr (BAU)'!S12)</f>
        <v>239.42865446119515</v>
      </c>
      <c r="T37" s="174">
        <f>MAX(T61*T$14,'Output - Jobs vs Yr (BAU)'!T12)</f>
        <v>239.37590897342929</v>
      </c>
      <c r="U37" s="174">
        <f>MAX(U61*U$14,'Output - Jobs vs Yr (BAU)'!U12)</f>
        <v>244.87307734406147</v>
      </c>
      <c r="V37" s="174">
        <f>MAX(V61*V$14,'Output - Jobs vs Yr (BAU)'!V12)</f>
        <v>249.73651296779605</v>
      </c>
      <c r="W37" s="174">
        <f>MAX(W61*W$14,'Output - Jobs vs Yr (BAU)'!W12)</f>
        <v>249.7509034634889</v>
      </c>
      <c r="X37" s="184">
        <f>Inputs!F20*'Output -Jobs vs Yr'!$X$14</f>
        <v>253.21026605673478</v>
      </c>
      <c r="Y37" s="174">
        <f>MAX(Y61*Y$14,'Output - Jobs vs Yr (BAU)'!Y12)</f>
        <v>258.1241076892631</v>
      </c>
      <c r="Z37" s="174">
        <f>MAX(Z61*Z$14,'Output - Jobs vs Yr (BAU)'!Z12)</f>
        <v>261.94672501883497</v>
      </c>
      <c r="AA37" s="174">
        <f>MAX(AA61*AA$14,'Output - Jobs vs Yr (BAU)'!AA12)</f>
        <v>268.11852907933235</v>
      </c>
      <c r="AB37" s="174">
        <f>MAX(AB61*AB$14,'Output - Jobs vs Yr (BAU)'!AB12)</f>
        <v>273.17997231247864</v>
      </c>
      <c r="AC37" s="174">
        <f>MAX(AC61*AC$14,'Output - Jobs vs Yr (BAU)'!AC12)</f>
        <v>276.13020838343073</v>
      </c>
      <c r="AD37" s="174">
        <f>MAX(AD61*AD$14,'Output - Jobs vs Yr (BAU)'!AD12)</f>
        <v>283.13799079354652</v>
      </c>
      <c r="AE37" s="174">
        <f>MAX(AE61*AE$14,'Output - Jobs vs Yr (BAU)'!AE12)</f>
        <v>287.61396232269618</v>
      </c>
      <c r="AF37" s="174">
        <f>MAX(AF61*AF$14,'Output - Jobs vs Yr (BAU)'!AF12)</f>
        <v>291.49118556472837</v>
      </c>
      <c r="AG37" s="174">
        <f>MAX(AG61*AG$14,'Output - Jobs vs Yr (BAU)'!AG12)</f>
        <v>295.08724175805997</v>
      </c>
      <c r="AH37" s="184">
        <f>Inputs!I20*'Output -Jobs vs Yr'!$AH$14</f>
        <v>297.18843421095619</v>
      </c>
      <c r="AI37" s="127"/>
    </row>
    <row r="38" spans="1:36" s="20" customFormat="1">
      <c r="A38" s="9" t="s">
        <v>347</v>
      </c>
      <c r="B38" s="35">
        <v>1</v>
      </c>
      <c r="C38" s="330">
        <f>'Output - Jobs vs Yr (BAU)'!C13</f>
        <v>0</v>
      </c>
      <c r="D38" s="330">
        <f>MAX(D62*D$14,'Output - Jobs vs Yr (BAU)'!D13)</f>
        <v>8.8788000000000018</v>
      </c>
      <c r="E38" s="330">
        <f>MAX(E62*E$14,'Output - Jobs vs Yr (BAU)'!E13)</f>
        <v>16.910256549085297</v>
      </c>
      <c r="F38" s="330">
        <f>MAX(F62*F$14,'Output - Jobs vs Yr (BAU)'!F13)</f>
        <v>31.139667193556782</v>
      </c>
      <c r="G38" s="330">
        <f>MAX(G62*G$14,'Output - Jobs vs Yr (BAU)'!G13)</f>
        <v>40.65509079885544</v>
      </c>
      <c r="H38" s="286">
        <f>'Output - Jobs vs Yr (BAU)'!H13</f>
        <v>62.016801841148869</v>
      </c>
      <c r="I38" s="118">
        <f>MAX(I62*I$14,'Output - Jobs vs Yr (BAU)'!I13)</f>
        <v>63.824267738785757</v>
      </c>
      <c r="J38" s="118">
        <f>MAX(J62*J$14,'Output - Jobs vs Yr (BAU)'!J13)</f>
        <v>67.706654541926369</v>
      </c>
      <c r="K38" s="118">
        <f>MAX(K62*K$14,'Output - Jobs vs Yr (BAU)'!K13)</f>
        <v>72.876925066571488</v>
      </c>
      <c r="L38" s="118">
        <f>MAX(L62*L$14,'Output - Jobs vs Yr (BAU)'!L13)</f>
        <v>78.054397580744094</v>
      </c>
      <c r="M38" s="118">
        <f>MAX(M62*M$14,'Output - Jobs vs Yr (BAU)'!M13)</f>
        <v>82.550325054123249</v>
      </c>
      <c r="N38" s="184">
        <f>MAX(Inputs!$E21*N$21,'Output - Jobs vs Yr (BAU)'!N13)</f>
        <v>86.299963068296279</v>
      </c>
      <c r="O38" s="174">
        <f>MAX(O62*O$14,'Output - Jobs vs Yr (BAU)'!O13)</f>
        <v>87.0399814601911</v>
      </c>
      <c r="P38" s="174">
        <f>MAX(P62*P$14,'Output - Jobs vs Yr (BAU)'!P13)</f>
        <v>87.011557313352114</v>
      </c>
      <c r="Q38" s="174">
        <f>MAX(Q62*Q$14,'Output - Jobs vs Yr (BAU)'!Q13)</f>
        <v>87.418055515332455</v>
      </c>
      <c r="R38" s="174">
        <f>MAX(R62*R$14,'Output - Jobs vs Yr (BAU)'!R13)</f>
        <v>87.972291315818381</v>
      </c>
      <c r="S38" s="174">
        <f>MAX(S62*S$14,'Output - Jobs vs Yr (BAU)'!S13)</f>
        <v>88.654399273946979</v>
      </c>
      <c r="T38" s="174">
        <f>MAX(T62*T$14,'Output - Jobs vs Yr (BAU)'!T13)</f>
        <v>88.63486894854455</v>
      </c>
      <c r="U38" s="174">
        <f>MAX(U62*U$14,'Output - Jobs vs Yr (BAU)'!U13)</f>
        <v>90.670331916428879</v>
      </c>
      <c r="V38" s="174">
        <f>MAX(V62*V$14,'Output - Jobs vs Yr (BAU)'!V13)</f>
        <v>92.471139612566944</v>
      </c>
      <c r="W38" s="174">
        <f>MAX(W62*W$14,'Output - Jobs vs Yr (BAU)'!W13)</f>
        <v>92.476468050609483</v>
      </c>
      <c r="X38" s="184">
        <f>Inputs!F21*'Output -Jobs vs Yr'!$X$14</f>
        <v>93.757382873712643</v>
      </c>
      <c r="Y38" s="174">
        <f>MAX(Y62*Y$14,'Output - Jobs vs Yr (BAU)'!Y13)</f>
        <v>95.576854645123831</v>
      </c>
      <c r="Z38" s="174">
        <f>MAX(Z62*Z$14,'Output - Jobs vs Yr (BAU)'!Z13)</f>
        <v>96.992273546299245</v>
      </c>
      <c r="AA38" s="174">
        <f>MAX(AA62*AA$14,'Output - Jobs vs Yr (BAU)'!AA13)</f>
        <v>99.2775371153203</v>
      </c>
      <c r="AB38" s="174">
        <f>MAX(AB62*AB$14,'Output - Jobs vs Yr (BAU)'!AB13)</f>
        <v>101.15166204119249</v>
      </c>
      <c r="AC38" s="174">
        <f>MAX(AC62*AC$14,'Output - Jobs vs Yr (BAU)'!AC13)</f>
        <v>102.2440601385513</v>
      </c>
      <c r="AD38" s="174">
        <f>MAX(AD62*AD$14,'Output - Jobs vs Yr (BAU)'!AD13)</f>
        <v>104.83886543121538</v>
      </c>
      <c r="AE38" s="174">
        <f>MAX(AE62*AE$14,'Output - Jobs vs Yr (BAU)'!AE13)</f>
        <v>106.4962049337784</v>
      </c>
      <c r="AF38" s="174">
        <f>MAX(AF62*AF$14,'Output - Jobs vs Yr (BAU)'!AF13)</f>
        <v>107.93184302875446</v>
      </c>
      <c r="AG38" s="174">
        <f>MAX(AG62*AG$14,'Output - Jobs vs Yr (BAU)'!AG13)</f>
        <v>109.2633720485061</v>
      </c>
      <c r="AH38" s="184">
        <f>Inputs!I21*'Output -Jobs vs Yr'!$AH$14</f>
        <v>110.04139068244811</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0.1022314392453552</v>
      </c>
      <c r="J39" s="118">
        <f>MAX(J63*J$14,'Output - Jobs vs Yr (BAU)'!J14)</f>
        <v>0.10773032994023349</v>
      </c>
      <c r="K39" s="118">
        <f>MAX(K63*K$14,'Output - Jobs vs Yr (BAU)'!K14)</f>
        <v>0.11518732026784795</v>
      </c>
      <c r="L39" s="118">
        <f>MAX(L63*L$14,'Output - Jobs vs Yr (BAU)'!L14)</f>
        <v>0.12255188950561058</v>
      </c>
      <c r="M39" s="118">
        <f>MAX(M63*M$14,'Output - Jobs vs Yr (BAU)'!M14)</f>
        <v>0.12875064799061736</v>
      </c>
      <c r="N39" s="184">
        <f>MAX(Inputs!$E22*N$21,'Output - Jobs vs Yr (BAU)'!N14)</f>
        <v>0.13370549188407507</v>
      </c>
      <c r="O39" s="174">
        <f>MAX(O63*O$14,'Output - Jobs vs Yr (BAU)'!O14)</f>
        <v>0.13485201060289842</v>
      </c>
      <c r="P39" s="174">
        <f>MAX(P63*P$14,'Output - Jobs vs Yr (BAU)'!P14)</f>
        <v>0.13480797275630649</v>
      </c>
      <c r="Q39" s="174">
        <f>MAX(Q63*Q$14,'Output - Jobs vs Yr (BAU)'!Q14)</f>
        <v>0.13543776493828877</v>
      </c>
      <c r="R39" s="174">
        <f>MAX(R63*R$14,'Output - Jobs vs Yr (BAU)'!R14)</f>
        <v>0.1362964486235308</v>
      </c>
      <c r="S39" s="174">
        <f>MAX(S63*S$14,'Output - Jobs vs Yr (BAU)'!S14)</f>
        <v>0.13735324606372729</v>
      </c>
      <c r="T39" s="174">
        <f>MAX(T63*T$14,'Output - Jobs vs Yr (BAU)'!T14)</f>
        <v>0.13732298751352928</v>
      </c>
      <c r="U39" s="174">
        <f>MAX(U63*U$14,'Output - Jobs vs Yr (BAU)'!U14)</f>
        <v>0.14047655291097236</v>
      </c>
      <c r="V39" s="174">
        <f>MAX(V63*V$14,'Output - Jobs vs Yr (BAU)'!V14)</f>
        <v>0.14326656428803658</v>
      </c>
      <c r="W39" s="174">
        <f>MAX(W63*W$14,'Output - Jobs vs Yr (BAU)'!W14)</f>
        <v>0.14327481969631395</v>
      </c>
      <c r="X39" s="184">
        <f>Inputs!F22*'Output -Jobs vs Yr'!$X$14</f>
        <v>0.14525935526730907</v>
      </c>
      <c r="Y39" s="174">
        <f>MAX(Y63*Y$14,'Output - Jobs vs Yr (BAU)'!Y14)</f>
        <v>0.14807828310361881</v>
      </c>
      <c r="Z39" s="174">
        <f>MAX(Z63*Z$14,'Output - Jobs vs Yr (BAU)'!Z14)</f>
        <v>0.15027120733759453</v>
      </c>
      <c r="AA39" s="174">
        <f>MAX(AA63*AA$14,'Output - Jobs vs Yr (BAU)'!AA14)</f>
        <v>0.15381179158256009</v>
      </c>
      <c r="AB39" s="174">
        <f>MAX(AB63*AB$14,'Output - Jobs vs Yr (BAU)'!AB14)</f>
        <v>0.156715394158469</v>
      </c>
      <c r="AC39" s="174">
        <f>MAX(AC63*AC$14,'Output - Jobs vs Yr (BAU)'!AC14)</f>
        <v>0.15840785867117102</v>
      </c>
      <c r="AD39" s="174">
        <f>MAX(AD63*AD$14,'Output - Jobs vs Yr (BAU)'!AD14)</f>
        <v>0.16242801934869633</v>
      </c>
      <c r="AE39" s="174">
        <f>MAX(AE63*AE$14,'Output - Jobs vs Yr (BAU)'!AE14)</f>
        <v>0.16499575385900811</v>
      </c>
      <c r="AF39" s="174">
        <f>MAX(AF63*AF$14,'Output - Jobs vs Yr (BAU)'!AF14)</f>
        <v>0.16722000391464695</v>
      </c>
      <c r="AG39" s="174">
        <f>MAX(AG63*AG$14,'Output - Jobs vs Yr (BAU)'!AG14)</f>
        <v>0.1692829566230151</v>
      </c>
      <c r="AH39" s="184">
        <f>Inputs!I22*'Output -Jobs vs Yr'!$AH$14</f>
        <v>0.17048834953916114</v>
      </c>
      <c r="AI39" s="127"/>
    </row>
    <row r="40" spans="1:36" s="20" customFormat="1">
      <c r="A40" s="9" t="s">
        <v>344</v>
      </c>
      <c r="B40" s="35">
        <v>1</v>
      </c>
      <c r="C40" s="330">
        <f>'Output - Jobs vs Yr (BAU)'!C15</f>
        <v>0.01</v>
      </c>
      <c r="D40" s="330">
        <f>MAX(D64*D$14,'Output - Jobs vs Yr (BAU)'!D15)</f>
        <v>1.1477462684502586E-2</v>
      </c>
      <c r="E40" s="330">
        <f>MAX(E64*E$14,'Output - Jobs vs Yr (BAU)'!E15)</f>
        <v>1.1328287386655483E-2</v>
      </c>
      <c r="F40" s="330">
        <f>MAX(F64*F$14,'Output - Jobs vs Yr (BAU)'!F15)</f>
        <v>1.1631453715558324E-2</v>
      </c>
      <c r="G40" s="330">
        <f>MAX(G64*G$14,'Output - Jobs vs Yr (BAU)'!G15)</f>
        <v>1.1883705438451657E-2</v>
      </c>
      <c r="H40" s="286">
        <f>'Output - Jobs vs Yr (BAU)'!H15</f>
        <v>0.01</v>
      </c>
      <c r="I40" s="118">
        <f>MAX(I64*I$14,'Output - Jobs vs Yr (BAU)'!I15)</f>
        <v>1.0223143924535518E-2</v>
      </c>
      <c r="J40" s="118">
        <f>MAX(J64*J$14,'Output - Jobs vs Yr (BAU)'!J15)</f>
        <v>1.0773032994023346E-2</v>
      </c>
      <c r="K40" s="118">
        <f>MAX(K64*K$14,'Output - Jobs vs Yr (BAU)'!K15)</f>
        <v>1.1518732026784792E-2</v>
      </c>
      <c r="L40" s="118">
        <f>MAX(L64*L$14,'Output - Jobs vs Yr (BAU)'!L15)</f>
        <v>1.2255188950561055E-2</v>
      </c>
      <c r="M40" s="118">
        <f>MAX(M64*M$14,'Output - Jobs vs Yr (BAU)'!M15)</f>
        <v>1.2875064799061735E-2</v>
      </c>
      <c r="N40" s="184">
        <f>MAX(Inputs!$E18*N$21,'Output - Jobs vs Yr (BAU)'!N15)</f>
        <v>1.3370549188407509E-2</v>
      </c>
      <c r="O40" s="174">
        <f>MAX(O64*O$14,'Output - Jobs vs Yr (BAU)'!O15)</f>
        <v>1.3485201060289841E-2</v>
      </c>
      <c r="P40" s="174">
        <f>MAX(P64*P$14,'Output - Jobs vs Yr (BAU)'!P15)</f>
        <v>1.3480797275630648E-2</v>
      </c>
      <c r="Q40" s="174">
        <f>MAX(Q64*Q$14,'Output - Jobs vs Yr (BAU)'!Q15)</f>
        <v>1.3543776493828878E-2</v>
      </c>
      <c r="R40" s="174">
        <f>MAX(R64*R$14,'Output - Jobs vs Yr (BAU)'!R15)</f>
        <v>1.3629644862353081E-2</v>
      </c>
      <c r="S40" s="174">
        <f>MAX(S64*S$14,'Output - Jobs vs Yr (BAU)'!S15)</f>
        <v>1.3735324606372728E-2</v>
      </c>
      <c r="T40" s="174">
        <f>MAX(T64*T$14,'Output - Jobs vs Yr (BAU)'!T15)</f>
        <v>1.3732298751352928E-2</v>
      </c>
      <c r="U40" s="174">
        <f>MAX(U64*U$14,'Output - Jobs vs Yr (BAU)'!U15)</f>
        <v>1.4047655291097236E-2</v>
      </c>
      <c r="V40" s="174">
        <f>MAX(V64*V$14,'Output - Jobs vs Yr (BAU)'!V15)</f>
        <v>1.4326656428803658E-2</v>
      </c>
      <c r="W40" s="174">
        <f>MAX(W64*W$14,'Output - Jobs vs Yr (BAU)'!W15)</f>
        <v>1.4327481969631397E-2</v>
      </c>
      <c r="X40" s="184">
        <f>Inputs!F18*'Output -Jobs vs Yr'!$X$14</f>
        <v>1.4525935526730906E-2</v>
      </c>
      <c r="Y40" s="174">
        <f>MAX(Y64*Y$14,'Output - Jobs vs Yr (BAU)'!Y15)</f>
        <v>1.4807828310361882E-2</v>
      </c>
      <c r="Z40" s="174">
        <f>MAX(Z64*Z$14,'Output - Jobs vs Yr (BAU)'!Z15)</f>
        <v>1.5027120733759452E-2</v>
      </c>
      <c r="AA40" s="174">
        <f>MAX(AA64*AA$14,'Output - Jobs vs Yr (BAU)'!AA15)</f>
        <v>1.5381179158256006E-2</v>
      </c>
      <c r="AB40" s="174">
        <f>MAX(AB64*AB$14,'Output - Jobs vs Yr (BAU)'!AB15)</f>
        <v>1.5671539415846897E-2</v>
      </c>
      <c r="AC40" s="174">
        <f>MAX(AC64*AC$14,'Output - Jobs vs Yr (BAU)'!AC15)</f>
        <v>1.58407858671171E-2</v>
      </c>
      <c r="AD40" s="174">
        <f>MAX(AD64*AD$14,'Output - Jobs vs Yr (BAU)'!AD15)</f>
        <v>1.6242801934869631E-2</v>
      </c>
      <c r="AE40" s="174">
        <f>MAX(AE64*AE$14,'Output - Jobs vs Yr (BAU)'!AE15)</f>
        <v>1.649957538590081E-2</v>
      </c>
      <c r="AF40" s="174">
        <f>MAX(AF64*AF$14,'Output - Jobs vs Yr (BAU)'!AF15)</f>
        <v>1.6722000391464695E-2</v>
      </c>
      <c r="AG40" s="174">
        <f>MAX(AG64*AG$14,'Output - Jobs vs Yr (BAU)'!AG15)</f>
        <v>1.6928295662301512E-2</v>
      </c>
      <c r="AH40" s="184">
        <f>Inputs!I18*'Output -Jobs vs Yr'!$AH$14</f>
        <v>1.7048834953916115E-2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62</v>
      </c>
      <c r="D42" s="330">
        <f>MAX(D66*D$14,'Output - Jobs vs Yr (BAU)'!D16)</f>
        <v>87.539239390254835</v>
      </c>
      <c r="E42" s="330">
        <f>MAX(E66*E$14,'Output - Jobs vs Yr (BAU)'!E16)</f>
        <v>106.28851202991385</v>
      </c>
      <c r="F42" s="330">
        <f>MAX(F66*F$14,'Output - Jobs vs Yr (BAU)'!F16)</f>
        <v>134.25215197250751</v>
      </c>
      <c r="G42" s="330">
        <f>MAX(G66*G$14,'Output - Jobs vs Yr (BAU)'!G16)</f>
        <v>168.73467030732309</v>
      </c>
      <c r="H42" s="286">
        <f>'Output - Jobs vs Yr (BAU)'!H16</f>
        <v>154.04203327760106</v>
      </c>
      <c r="I42" s="118">
        <f>MAX(I66*I$14,'Output - Jobs vs Yr (BAU)'!I16)</f>
        <v>380.78847592033702</v>
      </c>
      <c r="J42" s="118">
        <f>MAX(J66*J$14,'Output - Jobs vs Yr (BAU)'!J16)</f>
        <v>533.90326247850544</v>
      </c>
      <c r="K42" s="118">
        <f>MAX(K66*K$14,'Output - Jobs vs Yr (BAU)'!K16)</f>
        <v>533.89124222310227</v>
      </c>
      <c r="L42" s="118">
        <f>MAX(L66*L$14,'Output - Jobs vs Yr (BAU)'!L16)</f>
        <v>533.72640304812921</v>
      </c>
      <c r="M42" s="118">
        <f>MAX(M66*M$14,'Output - Jobs vs Yr (BAU)'!M16)</f>
        <v>558.74624194666887</v>
      </c>
      <c r="N42" s="184">
        <f>MAX(Inputs!$E23*N$21,'Output - Jobs vs Yr (BAU)'!N16)</f>
        <v>713.80506871751982</v>
      </c>
      <c r="O42" s="174">
        <f>MAX(O66*O$14,'Output - Jobs vs Yr (BAU)'!O16)</f>
        <v>719.92591582217881</v>
      </c>
      <c r="P42" s="174">
        <f>MAX(P66*P$14,'Output - Jobs vs Yr (BAU)'!P16)</f>
        <v>719.69081375067992</v>
      </c>
      <c r="Q42" s="174">
        <f>MAX(Q66*Q$14,'Output - Jobs vs Yr (BAU)'!Q16)</f>
        <v>723.05304551396</v>
      </c>
      <c r="R42" s="174">
        <f>MAX(R66*R$14,'Output - Jobs vs Yr (BAU)'!R16)</f>
        <v>727.63724589581284</v>
      </c>
      <c r="S42" s="174">
        <f>MAX(S66*S$14,'Output - Jobs vs Yr (BAU)'!S16)</f>
        <v>733.27910367435493</v>
      </c>
      <c r="T42" s="174">
        <f>MAX(T66*T$14,'Output - Jobs vs Yr (BAU)'!T16)</f>
        <v>733.1175642626298</v>
      </c>
      <c r="U42" s="174">
        <f>MAX(U66*U$14,'Output - Jobs vs Yr (BAU)'!U16)</f>
        <v>749.95330476593472</v>
      </c>
      <c r="V42" s="174">
        <f>MAX(V66*V$14,'Output - Jobs vs Yr (BAU)'!V16)</f>
        <v>764.84816237174391</v>
      </c>
      <c r="W42" s="174">
        <f>MAX(W66*W$14,'Output - Jobs vs Yr (BAU)'!W16)</f>
        <v>764.89223499875197</v>
      </c>
      <c r="X42" s="184">
        <f>Inputs!F23*'Output -Jobs vs Yr'!$X$14</f>
        <v>775.4869497682447</v>
      </c>
      <c r="Y42" s="174">
        <f>MAX(Y66*Y$14,'Output - Jobs vs Yr (BAU)'!Y16)</f>
        <v>790.53618184953723</v>
      </c>
      <c r="Z42" s="174">
        <f>MAX(Z66*Z$14,'Output - Jobs vs Yr (BAU)'!Z16)</f>
        <v>802.24340801854532</v>
      </c>
      <c r="AA42" s="174">
        <f>MAX(AA66*AA$14,'Output - Jobs vs Yr (BAU)'!AA16)</f>
        <v>821.14530161068728</v>
      </c>
      <c r="AB42" s="174">
        <f>MAX(AB66*AB$14,'Output - Jobs vs Yr (BAU)'!AB16)</f>
        <v>836.64658137877655</v>
      </c>
      <c r="AC42" s="174">
        <f>MAX(AC66*AC$14,'Output - Jobs vs Yr (BAU)'!AC16)</f>
        <v>845.68203482775436</v>
      </c>
      <c r="AD42" s="174">
        <f>MAX(AD66*AD$14,'Output - Jobs vs Yr (BAU)'!AD16)</f>
        <v>867.14421284482808</v>
      </c>
      <c r="AE42" s="174">
        <f>MAX(AE66*AE$14,'Output - Jobs vs Yr (BAU)'!AE16)</f>
        <v>880.85241497440541</v>
      </c>
      <c r="AF42" s="174">
        <f>MAX(AF66*AF$14,'Output - Jobs vs Yr (BAU)'!AF16)</f>
        <v>892.7268783299329</v>
      </c>
      <c r="AG42" s="174">
        <f>MAX(AG66*AG$14,'Output - Jobs vs Yr (BAU)'!AG16)</f>
        <v>903.74023372025931</v>
      </c>
      <c r="AH42" s="184">
        <f>Inputs!I23*'Output -Jobs vs Yr'!$AH$14</f>
        <v>910.17538878544701</v>
      </c>
      <c r="AI42" s="127"/>
    </row>
    <row r="43" spans="1:36">
      <c r="A43" s="10" t="s">
        <v>332</v>
      </c>
      <c r="B43" s="37"/>
      <c r="C43" s="330">
        <f>SUM(C31:C42)</f>
        <v>11694</v>
      </c>
      <c r="D43" s="330">
        <f t="shared" ref="D43:AG43" si="29">SUM(D31:D42)</f>
        <v>12908.92863561036</v>
      </c>
      <c r="E43" s="330">
        <f t="shared" si="29"/>
        <v>12273.421458016568</v>
      </c>
      <c r="F43" s="330">
        <f t="shared" si="29"/>
        <v>12166.72391447565</v>
      </c>
      <c r="G43" s="330">
        <f t="shared" si="29"/>
        <v>12021.493321241695</v>
      </c>
      <c r="H43" s="286">
        <f t="shared" si="29"/>
        <v>11848.210551610615</v>
      </c>
      <c r="I43" s="83">
        <f t="shared" si="29"/>
        <v>11748.443941257803</v>
      </c>
      <c r="J43" s="83">
        <f t="shared" si="29"/>
        <v>12033.785349477723</v>
      </c>
      <c r="K43" s="83">
        <f t="shared" si="29"/>
        <v>12145.253725235225</v>
      </c>
      <c r="L43" s="83">
        <f t="shared" si="29"/>
        <v>12314.899523673153</v>
      </c>
      <c r="M43" s="83">
        <f t="shared" si="29"/>
        <v>12377.146387653491</v>
      </c>
      <c r="N43" s="184">
        <f t="shared" si="29"/>
        <v>12449.855286728332</v>
      </c>
      <c r="O43" s="83">
        <f t="shared" si="29"/>
        <v>12484.153619074528</v>
      </c>
      <c r="P43" s="83">
        <f t="shared" si="29"/>
        <v>12408.242477110611</v>
      </c>
      <c r="Q43" s="83">
        <f t="shared" si="29"/>
        <v>12394.528106645157</v>
      </c>
      <c r="R43" s="83">
        <f t="shared" si="29"/>
        <v>12401.481229557456</v>
      </c>
      <c r="S43" s="83">
        <f t="shared" si="29"/>
        <v>12425.960765374999</v>
      </c>
      <c r="T43" s="83">
        <f t="shared" si="29"/>
        <v>12352.181878922098</v>
      </c>
      <c r="U43" s="83">
        <f t="shared" si="29"/>
        <v>12563.387767398743</v>
      </c>
      <c r="V43" s="83">
        <f t="shared" si="29"/>
        <v>12739.567451894827</v>
      </c>
      <c r="W43" s="83">
        <f t="shared" si="29"/>
        <v>12667.775176950123</v>
      </c>
      <c r="X43" s="184">
        <f t="shared" si="29"/>
        <v>12770.020755229829</v>
      </c>
      <c r="Y43" s="174">
        <f t="shared" si="29"/>
        <v>12858.167787228045</v>
      </c>
      <c r="Z43" s="174">
        <f t="shared" si="29"/>
        <v>12889.151220220578</v>
      </c>
      <c r="AA43" s="174">
        <f t="shared" si="29"/>
        <v>13032.010253028568</v>
      </c>
      <c r="AB43" s="174">
        <f t="shared" si="29"/>
        <v>13116.794120596471</v>
      </c>
      <c r="AC43" s="174">
        <f t="shared" si="29"/>
        <v>13098.18369870947</v>
      </c>
      <c r="AD43" s="174">
        <f t="shared" si="29"/>
        <v>13268.495825079257</v>
      </c>
      <c r="AE43" s="174">
        <f t="shared" si="29"/>
        <v>13316.359162994304</v>
      </c>
      <c r="AF43" s="174">
        <f t="shared" si="29"/>
        <v>13334.409205644861</v>
      </c>
      <c r="AG43" s="174">
        <f t="shared" si="29"/>
        <v>13338.034313114655</v>
      </c>
      <c r="AH43" s="184">
        <f>SUM(AH31:AH42)</f>
        <v>13273.651549752463</v>
      </c>
      <c r="AI43" s="127"/>
    </row>
    <row r="44" spans="1:36">
      <c r="A44" s="10" t="s">
        <v>124</v>
      </c>
      <c r="B44" s="37"/>
      <c r="C44" s="331">
        <f>SUMPRODUCT($B34:$B42,C34:C42)</f>
        <v>1197.01</v>
      </c>
      <c r="D44" s="331">
        <f>SUMPRODUCT($B34:$B42,D34:D42)</f>
        <v>1477.3920897310738</v>
      </c>
      <c r="E44" s="331">
        <f t="shared" ref="E44:AG44" si="30">SUMPRODUCT($B34:$B42*E34:E42)</f>
        <v>1568.9314593206539</v>
      </c>
      <c r="F44" s="331">
        <f t="shared" si="30"/>
        <v>1740.5091132115695</v>
      </c>
      <c r="G44" s="331">
        <f t="shared" si="30"/>
        <v>1917.7504646422592</v>
      </c>
      <c r="H44" s="402">
        <f t="shared" si="30"/>
        <v>1164.2117990262616</v>
      </c>
      <c r="I44" s="14">
        <f>SUMPRODUCT($B34:$B42*I34:I42)</f>
        <v>1469.6472675097741</v>
      </c>
      <c r="J44" s="14">
        <f t="shared" si="30"/>
        <v>1844.1160081540286</v>
      </c>
      <c r="K44" s="14">
        <f t="shared" si="30"/>
        <v>1899.9437688352182</v>
      </c>
      <c r="L44" s="14">
        <f t="shared" si="30"/>
        <v>2068.622263594516</v>
      </c>
      <c r="M44" s="14">
        <f t="shared" si="30"/>
        <v>2262.7161784781483</v>
      </c>
      <c r="N44" s="182">
        <f t="shared" si="30"/>
        <v>2584.7926205490439</v>
      </c>
      <c r="O44" s="14">
        <f t="shared" si="30"/>
        <v>2607.8970790201029</v>
      </c>
      <c r="P44" s="14">
        <f t="shared" si="30"/>
        <v>2608.0480455632878</v>
      </c>
      <c r="Q44" s="14">
        <f t="shared" si="30"/>
        <v>2621.1902067888045</v>
      </c>
      <c r="R44" s="14">
        <f t="shared" si="30"/>
        <v>2638.7453118634849</v>
      </c>
      <c r="S44" s="14">
        <f t="shared" si="30"/>
        <v>2660.1199771398788</v>
      </c>
      <c r="T44" s="14">
        <f t="shared" si="30"/>
        <v>2660.5366034406402</v>
      </c>
      <c r="U44" s="14">
        <f t="shared" si="30"/>
        <v>2722.3361823913369</v>
      </c>
      <c r="V44" s="14">
        <f t="shared" si="30"/>
        <v>2777.1265737783988</v>
      </c>
      <c r="W44" s="14">
        <f t="shared" si="30"/>
        <v>2778.2857350083314</v>
      </c>
      <c r="X44" s="187">
        <f t="shared" si="30"/>
        <v>2817.5468496270482</v>
      </c>
      <c r="Y44" s="14">
        <f t="shared" si="30"/>
        <v>2872.8947396942699</v>
      </c>
      <c r="Z44" s="14">
        <f t="shared" si="30"/>
        <v>2916.1735109557148</v>
      </c>
      <c r="AA44" s="14">
        <f t="shared" si="30"/>
        <v>2985.4346706919023</v>
      </c>
      <c r="AB44" s="14">
        <f t="shared" si="30"/>
        <v>3042.4150585407033</v>
      </c>
      <c r="AC44" s="14">
        <f t="shared" si="30"/>
        <v>3076.0451507673338</v>
      </c>
      <c r="AD44" s="14">
        <f t="shared" si="30"/>
        <v>3154.5523674262513</v>
      </c>
      <c r="AE44" s="14">
        <f t="shared" si="30"/>
        <v>3205.0573427188874</v>
      </c>
      <c r="AF44" s="14">
        <f t="shared" si="30"/>
        <v>3248.9400642801888</v>
      </c>
      <c r="AG44" s="14">
        <f t="shared" si="30"/>
        <v>3289.713032415139</v>
      </c>
      <c r="AH44" s="187">
        <f>SUMPRODUCT($B34:$B42*AH34:AH42)</f>
        <v>3313.9525637187398</v>
      </c>
      <c r="AI44" s="127"/>
    </row>
    <row r="45" spans="1:36">
      <c r="A45" s="10" t="s">
        <v>117</v>
      </c>
      <c r="B45" s="37"/>
      <c r="C45" s="332">
        <f t="shared" ref="C45:AG45" si="31">C44/C14</f>
        <v>5.9363717516365801E-2</v>
      </c>
      <c r="D45" s="332">
        <f t="shared" si="31"/>
        <v>6.6558187580802536E-2</v>
      </c>
      <c r="E45" s="332">
        <f t="shared" si="31"/>
        <v>7.4665437959947137E-2</v>
      </c>
      <c r="F45" s="332">
        <f t="shared" si="31"/>
        <v>8.41105561324864E-2</v>
      </c>
      <c r="G45" s="332">
        <f t="shared" si="31"/>
        <v>9.4575079323771752E-2</v>
      </c>
      <c r="H45" s="284">
        <f t="shared" si="31"/>
        <v>5.6408523909864443E-2</v>
      </c>
      <c r="I45" s="23">
        <f t="shared" si="31"/>
        <v>7.2622245217809064E-2</v>
      </c>
      <c r="J45" s="23">
        <f t="shared" si="31"/>
        <v>9.0161178370145478E-2</v>
      </c>
      <c r="K45" s="23">
        <f t="shared" si="31"/>
        <v>9.058028862516862E-2</v>
      </c>
      <c r="L45" s="23">
        <f t="shared" si="31"/>
        <v>9.6646717105476454E-2</v>
      </c>
      <c r="M45" s="23">
        <f t="shared" si="31"/>
        <v>0.10491434616272388</v>
      </c>
      <c r="N45" s="178">
        <f t="shared" si="31"/>
        <v>0.12032586019267175</v>
      </c>
      <c r="O45" s="23">
        <f t="shared" si="31"/>
        <v>0.12133657965602675</v>
      </c>
      <c r="P45" s="23">
        <f t="shared" si="31"/>
        <v>0.12235872619571159</v>
      </c>
      <c r="Q45" s="207">
        <f t="shared" si="31"/>
        <v>0.12338714242896005</v>
      </c>
      <c r="R45" s="207">
        <f t="shared" si="31"/>
        <v>0.12442289250758938</v>
      </c>
      <c r="S45" s="207">
        <f t="shared" si="31"/>
        <v>0.12546594622710802</v>
      </c>
      <c r="T45" s="207">
        <f t="shared" si="31"/>
        <v>0.12652192032933696</v>
      </c>
      <c r="U45" s="207">
        <f t="shared" si="31"/>
        <v>0.12757157107935932</v>
      </c>
      <c r="V45" s="207">
        <f t="shared" si="31"/>
        <v>0.12863022492837589</v>
      </c>
      <c r="W45" s="207">
        <f t="shared" si="31"/>
        <v>0.12971059457969111</v>
      </c>
      <c r="X45" s="185">
        <f t="shared" si="31"/>
        <v>0.13078913159417216</v>
      </c>
      <c r="Y45" s="172">
        <f t="shared" si="31"/>
        <v>0.13270514373353184</v>
      </c>
      <c r="Z45" s="172">
        <f t="shared" si="31"/>
        <v>0.13465168381647832</v>
      </c>
      <c r="AA45" s="172">
        <f t="shared" si="31"/>
        <v>0.13661768930182608</v>
      </c>
      <c r="AB45" s="172">
        <f t="shared" si="31"/>
        <v>0.13861511435836663</v>
      </c>
      <c r="AC45" s="172">
        <f t="shared" si="31"/>
        <v>0.14064832296272389</v>
      </c>
      <c r="AD45" s="172">
        <f t="shared" si="31"/>
        <v>0.14269546108141448</v>
      </c>
      <c r="AE45" s="172">
        <f t="shared" si="31"/>
        <v>0.14478087371494056</v>
      </c>
      <c r="AF45" s="172">
        <f t="shared" si="31"/>
        <v>0.14689818098987872</v>
      </c>
      <c r="AG45" s="172">
        <f t="shared" si="31"/>
        <v>0.14904675255557648</v>
      </c>
      <c r="AH45" s="185">
        <f>AH44/AH14</f>
        <v>0.15123214434084131</v>
      </c>
      <c r="AI45" s="127"/>
    </row>
    <row r="46" spans="1:36" s="252" customFormat="1">
      <c r="A46" s="10" t="s">
        <v>333</v>
      </c>
      <c r="B46" s="37"/>
      <c r="C46" s="330">
        <f>SUM(EIA_electricity_aeo2014!E50,EIA_electricity_aeo2014!E55)*1000</f>
        <v>241</v>
      </c>
      <c r="D46" s="330">
        <f>SUM(EIA_electricity_aeo2014!F50,EIA_electricity_aeo2014!F55)*1000</f>
        <v>129</v>
      </c>
      <c r="E46" s="330">
        <f>SUM(EIA_electricity_aeo2014!G50,EIA_electricity_aeo2014!G55)*1000</f>
        <v>1100.5394040965214</v>
      </c>
      <c r="F46" s="330">
        <f>SUM(EIA_electricity_aeo2014!H50,EIA_electricity_aeo2014!H55)*1000</f>
        <v>1144.2381580931317</v>
      </c>
      <c r="G46" s="330">
        <f>SUM(EIA_electricity_aeo2014!I50,EIA_electricity_aeo2014!I55)*1000</f>
        <v>1108.598569190634</v>
      </c>
      <c r="H46" s="286">
        <f>SUM(EIA_electricity_aeo2014!J50,EIA_electricity_aeo2014!J55)*1000</f>
        <v>1113.2753476551145</v>
      </c>
      <c r="I46" s="286">
        <f>SUM(EIA_electricity_aeo2014!K50,EIA_electricity_aeo2014!K55)*1000</f>
        <v>992.45983925570613</v>
      </c>
      <c r="J46" s="286">
        <f>SUM(EIA_electricity_aeo2014!L50,EIA_electricity_aeo2014!L55)*1000</f>
        <v>1002.1109280506115</v>
      </c>
      <c r="K46" s="286">
        <f>SUM(EIA_electricity_aeo2014!M50,EIA_electricity_aeo2014!M55)*1000</f>
        <v>991.13117598126621</v>
      </c>
      <c r="L46" s="286">
        <f>SUM(EIA_electricity_aeo2014!N50,EIA_electricity_aeo2014!N55)*1000</f>
        <v>994.17550823071667</v>
      </c>
      <c r="M46" s="286">
        <f>SUM(EIA_electricity_aeo2014!O50,EIA_electricity_aeo2014!O55)*1000</f>
        <v>997.71616130927703</v>
      </c>
      <c r="N46" s="286">
        <f>SUM(EIA_electricity_aeo2014!P50,EIA_electricity_aeo2014!P55)*1000</f>
        <v>998.48521012800268</v>
      </c>
      <c r="O46" s="286">
        <f>SUM(EIA_electricity_aeo2014!Q50,EIA_electricity_aeo2014!Q55)*1000</f>
        <v>997.55905040504308</v>
      </c>
      <c r="P46" s="286">
        <f>SUM(EIA_electricity_aeo2014!R50,EIA_electricity_aeo2014!R55)*1000</f>
        <v>996.54322535500785</v>
      </c>
      <c r="Q46" s="286">
        <f>SUM(EIA_electricity_aeo2014!S50,EIA_electricity_aeo2014!S55)*1000</f>
        <v>996.51252906150489</v>
      </c>
      <c r="R46" s="286">
        <f>SUM(EIA_electricity_aeo2014!T50,EIA_electricity_aeo2014!T55)*1000</f>
        <v>995.44062779841192</v>
      </c>
      <c r="S46" s="286">
        <f>SUM(EIA_electricity_aeo2014!U50,EIA_electricity_aeo2014!U55)*1000</f>
        <v>995.44196294634185</v>
      </c>
      <c r="T46" s="286">
        <f>SUM(EIA_electricity_aeo2014!V50,EIA_electricity_aeo2014!V55)*1000</f>
        <v>995.14474418215843</v>
      </c>
      <c r="U46" s="286">
        <f>SUM(EIA_electricity_aeo2014!W50,EIA_electricity_aeo2014!W55)*1000</f>
        <v>995.82343227099602</v>
      </c>
      <c r="V46" s="286">
        <f>SUM(EIA_electricity_aeo2014!X50,EIA_electricity_aeo2014!X55)*1000</f>
        <v>995.80423308466766</v>
      </c>
      <c r="W46" s="286">
        <f>SUM(EIA_electricity_aeo2014!Y50,EIA_electricity_aeo2014!Y55)*1000</f>
        <v>995.82804322275172</v>
      </c>
      <c r="X46" s="286">
        <f>SUM(EIA_electricity_aeo2014!Z50,EIA_electricity_aeo2014!Z55)*1000</f>
        <v>995.80185948834776</v>
      </c>
      <c r="Y46" s="286">
        <f>SUM(EIA_electricity_aeo2014!AA50,EIA_electricity_aeo2014!AA55)*1000</f>
        <v>995.78479926479838</v>
      </c>
      <c r="Z46" s="286">
        <f>SUM(EIA_electricity_aeo2014!AB50,EIA_electricity_aeo2014!AB55)*1000</f>
        <v>995.42482854790751</v>
      </c>
      <c r="AA46" s="286">
        <f>SUM(EIA_electricity_aeo2014!AC50,EIA_electricity_aeo2014!AC55)*1000</f>
        <v>995.307558054727</v>
      </c>
      <c r="AB46" s="286">
        <f>SUM(EIA_electricity_aeo2014!AD50,EIA_electricity_aeo2014!AD55)*1000</f>
        <v>995.2296744254802</v>
      </c>
      <c r="AC46" s="286">
        <f>SUM(EIA_electricity_aeo2014!AE50,EIA_electricity_aeo2014!AE55)*1000</f>
        <v>994.9221453522822</v>
      </c>
      <c r="AD46" s="286">
        <f>SUM(EIA_electricity_aeo2014!AF50,EIA_electricity_aeo2014!AF55)*1000</f>
        <v>995.18835901453667</v>
      </c>
      <c r="AE46" s="286">
        <f>SUM(EIA_electricity_aeo2014!AG50,EIA_electricity_aeo2014!AG55)*1000</f>
        <v>995.03873616261171</v>
      </c>
      <c r="AF46" s="286">
        <f>SUM(EIA_electricity_aeo2014!AH50,EIA_electricity_aeo2014!AH55)*1000</f>
        <v>995.08687566297488</v>
      </c>
      <c r="AG46" s="286">
        <f>SUM(EIA_electricity_aeo2014!AI50,EIA_electricity_aeo2014!AI55)*1000</f>
        <v>995.09252506312055</v>
      </c>
      <c r="AH46" s="286">
        <f>SUM(EIA_electricity_aeo2014!AJ50,EIA_electricity_aeo2014!AJ55)*1000</f>
        <v>995.10239032282516</v>
      </c>
      <c r="AI46" s="292"/>
    </row>
    <row r="47" spans="1:36" s="252" customFormat="1">
      <c r="A47" s="10" t="s">
        <v>142</v>
      </c>
      <c r="B47" s="37"/>
      <c r="C47" s="330">
        <f>(C$14-C$43-C$46)*0.7</f>
        <v>5760.2999999999993</v>
      </c>
      <c r="D47" s="330">
        <f>(D$14-D$30-D$43-D$46)*EIA_electricity_aeo2014!F60</f>
        <v>3342.4972794049786</v>
      </c>
      <c r="E47" s="330">
        <f>(E$14-E$30-E$43-E$46)*EIA_electricity_aeo2014!G60</f>
        <v>1282.9835540656002</v>
      </c>
      <c r="F47" s="330">
        <f>(F$14-F$30-F$43-F$46)*EIA_electricity_aeo2014!H60</f>
        <v>710.5353641366828</v>
      </c>
      <c r="G47" s="330">
        <f>(G$14-G$30-G$43-G$46)*EIA_electricity_aeo2014!I60</f>
        <v>759.72847452216661</v>
      </c>
      <c r="H47" s="286">
        <f>(H$14-H$30-H$43-H$46)*EIA_electricity_aeo2014!J60</f>
        <v>784.87411531121541</v>
      </c>
      <c r="I47" s="286">
        <f>(I$14-I$30-I$43-I$46)*EIA_electricity_aeo2014!K60</f>
        <v>757.87589421663586</v>
      </c>
      <c r="J47" s="286">
        <f>(J$14-J$30-J$43-J$46)*EIA_electricity_aeo2014!L60</f>
        <v>108.64984072532876</v>
      </c>
      <c r="K47" s="286">
        <f>(K$14-K$30-K$43-K$46)*EIA_electricity_aeo2014!M60</f>
        <v>409.72317270980346</v>
      </c>
      <c r="L47" s="286">
        <f>(L$14-L$30-L$43-L$46)*EIA_electricity_aeo2014!N60</f>
        <v>764.95377115334497</v>
      </c>
      <c r="M47" s="286">
        <f>(M$14-M$30-M$43-M$46)*EIA_electricity_aeo2014!O60</f>
        <v>913.38290109474076</v>
      </c>
      <c r="N47" s="287">
        <f>(N$14-N$43-N$46)*EIA_electricity_aeo2014!P60 - N30</f>
        <v>939.97074754436198</v>
      </c>
      <c r="O47" s="286">
        <f>(O$14-O$43-O$46)*EIA_electricity_aeo2014!Q60 - O30</f>
        <v>968.09896289492804</v>
      </c>
      <c r="P47" s="286">
        <f>(P$14-P$43-P$46)*EIA_electricity_aeo2014!R60 - P30</f>
        <v>994.2562593593658</v>
      </c>
      <c r="Q47" s="286">
        <f>(Q$14-Q$43-Q$46)*EIA_electricity_aeo2014!S60 - Q30</f>
        <v>1016.7927648753911</v>
      </c>
      <c r="R47" s="286">
        <f>(R$14-R$43-R$46)*EIA_electricity_aeo2014!T60 - R30</f>
        <v>1024.121792343348</v>
      </c>
      <c r="S47" s="286">
        <f>(S$14-S$43-S$46)*EIA_electricity_aeo2014!U60 - S30</f>
        <v>1028.1986905754832</v>
      </c>
      <c r="T47" s="286">
        <f>(T$14-T$43-T$46)*EIA_electricity_aeo2014!V60 - T30</f>
        <v>1043.1369812469623</v>
      </c>
      <c r="U47" s="286">
        <f>(U$14-U$43-U$46)*EIA_electricity_aeo2014!W60 - U30</f>
        <v>1581.6455825200981</v>
      </c>
      <c r="V47" s="286">
        <f>(V$14-V$43-V$46)*EIA_electricity_aeo2014!X60 - V30</f>
        <v>1713.4587065470887</v>
      </c>
      <c r="W47" s="286">
        <f>(W$14-W$43-W$46)*EIA_electricity_aeo2014!Y60 - W30</f>
        <v>1760.863391492531</v>
      </c>
      <c r="X47" s="287">
        <f>(X$14-X$43-X$46)*EIA_electricity_aeo2014!Z60 - X30</f>
        <v>1751.2161034894955</v>
      </c>
      <c r="Y47" s="286">
        <f>(Y$14-Y$43-Y$46)*EIA_electricity_aeo2014!AA60 - Y30</f>
        <v>1728.2346715339525</v>
      </c>
      <c r="Z47" s="286">
        <f>(Z$14-Z$43-Z$46)*EIA_electricity_aeo2014!AB60 - Z30</f>
        <v>1529.5822450448984</v>
      </c>
      <c r="AA47" s="286">
        <f>(AA$14-AA$43-AA$46)*EIA_electricity_aeo2014!AC60 - AA30</f>
        <v>1483.6103833205964</v>
      </c>
      <c r="AB47" s="286">
        <f>(AB$14-AB$43-AB$46)*EIA_electricity_aeo2014!AD60 - AB30</f>
        <v>1419.6568833753684</v>
      </c>
      <c r="AC47" s="286">
        <f>(AC$14-AC$43-AC$46)*EIA_electricity_aeo2014!AE60 - AC30</f>
        <v>1393.8260652303209</v>
      </c>
      <c r="AD47" s="286">
        <f>(AD$14-AD$43-AD$46)*EIA_electricity_aeo2014!AF60 - AD30</f>
        <v>1573.2067618036144</v>
      </c>
      <c r="AE47" s="286">
        <f>(AE$14-AE$43-AE$46)*EIA_electricity_aeo2014!AG60 - AE30</f>
        <v>1558.375953945909</v>
      </c>
      <c r="AF47" s="286">
        <f>(AF$14-AF$43-AF$46)*EIA_electricity_aeo2014!AH60 - AF30</f>
        <v>1588.5059173585685</v>
      </c>
      <c r="AG47" s="286">
        <f>(AG$14-AG$43-AG$46)*EIA_electricity_aeo2014!AI60 - AG30</f>
        <v>1595.8745482300192</v>
      </c>
      <c r="AH47" s="287">
        <f>(AH$14-AH$43-AH$46)*EIA_electricity_aeo2014!AJ60 - AH30</f>
        <v>1618.8153103887723</v>
      </c>
      <c r="AI47" s="292"/>
      <c r="AJ47" s="398"/>
    </row>
    <row r="48" spans="1:36" s="252" customFormat="1">
      <c r="A48" s="10" t="s">
        <v>222</v>
      </c>
      <c r="B48" s="37"/>
      <c r="C48" s="330">
        <f>(C$14-C$43-C$46)* 0.3</f>
        <v>2468.6999999999998</v>
      </c>
      <c r="D48" s="330">
        <f t="shared" ref="D48:AH48" si="32">(D$14-SUM(D30:D42,D46:D47))</f>
        <v>5816.5740849846607</v>
      </c>
      <c r="E48" s="330">
        <f t="shared" si="32"/>
        <v>6355.8762701779287</v>
      </c>
      <c r="F48" s="330">
        <f>(F$14-SUM(F30:F42,F46:F47))</f>
        <v>6671.6140256657236</v>
      </c>
      <c r="G48" s="330">
        <f t="shared" si="32"/>
        <v>6387.725034473222</v>
      </c>
      <c r="H48" s="286">
        <f t="shared" si="32"/>
        <v>6892.5739324726783</v>
      </c>
      <c r="I48" s="286">
        <f t="shared" si="32"/>
        <v>6738.0948958921144</v>
      </c>
      <c r="J48" s="286">
        <f t="shared" si="32"/>
        <v>7309.0020883063735</v>
      </c>
      <c r="K48" s="286">
        <f t="shared" si="32"/>
        <v>7429.1371772496877</v>
      </c>
      <c r="L48" s="286">
        <f t="shared" si="32"/>
        <v>7329.9290917246872</v>
      </c>
      <c r="M48" s="286">
        <f t="shared" si="32"/>
        <v>7279.025959789893</v>
      </c>
      <c r="N48" s="287">
        <f t="shared" si="32"/>
        <v>7093.2939268413393</v>
      </c>
      <c r="O48" s="286">
        <f t="shared" si="32"/>
        <v>7043.2705561390412</v>
      </c>
      <c r="P48" s="286">
        <f t="shared" si="32"/>
        <v>6915.7275413467014</v>
      </c>
      <c r="Q48" s="286">
        <f t="shared" si="32"/>
        <v>6835.7917874957948</v>
      </c>
      <c r="R48" s="286">
        <f t="shared" si="32"/>
        <v>6786.8326396462526</v>
      </c>
      <c r="S48" s="286">
        <f t="shared" si="32"/>
        <v>6752.3267307921033</v>
      </c>
      <c r="T48" s="286">
        <f t="shared" si="32"/>
        <v>6637.8024582824764</v>
      </c>
      <c r="U48" s="286">
        <f t="shared" si="32"/>
        <v>6198.8206973470005</v>
      </c>
      <c r="V48" s="286">
        <f t="shared" si="32"/>
        <v>6141.1697451035398</v>
      </c>
      <c r="W48" s="286">
        <f t="shared" si="32"/>
        <v>5994.6452504841327</v>
      </c>
      <c r="X48" s="287">
        <f t="shared" si="32"/>
        <v>6025.6293558465459</v>
      </c>
      <c r="Y48" s="286">
        <f t="shared" si="32"/>
        <v>6066.5194828585518</v>
      </c>
      <c r="Z48" s="286">
        <f t="shared" si="32"/>
        <v>6243.0050501688129</v>
      </c>
      <c r="AA48" s="286">
        <f t="shared" si="32"/>
        <v>6341.5470300617726</v>
      </c>
      <c r="AB48" s="286">
        <f t="shared" si="32"/>
        <v>6416.9724149084977</v>
      </c>
      <c r="AC48" s="286">
        <f t="shared" si="32"/>
        <v>6383.539675232827</v>
      </c>
      <c r="AD48" s="286">
        <f t="shared" si="32"/>
        <v>6269.9955907838848</v>
      </c>
      <c r="AE48" s="286">
        <f t="shared" si="32"/>
        <v>6267.5241233504275</v>
      </c>
      <c r="AF48" s="286">
        <f t="shared" si="32"/>
        <v>6198.9503174690872</v>
      </c>
      <c r="AG48" s="286">
        <f t="shared" si="32"/>
        <v>6142.6840143759109</v>
      </c>
      <c r="AH48" s="287">
        <f t="shared" si="32"/>
        <v>6025.4478409942094</v>
      </c>
      <c r="AI48" s="292"/>
    </row>
    <row r="49" spans="1:35" s="252" customFormat="1">
      <c r="A49" s="10" t="s">
        <v>334</v>
      </c>
      <c r="B49" s="37"/>
      <c r="C49" s="330">
        <f>SUM(C43,C46:C48)</f>
        <v>20164</v>
      </c>
      <c r="D49" s="330">
        <f t="shared" ref="D49:M49" si="33">SUM(D43,D46:D48)+D30</f>
        <v>22197</v>
      </c>
      <c r="E49" s="330">
        <f t="shared" si="33"/>
        <v>21012.820686356619</v>
      </c>
      <c r="F49" s="330">
        <f t="shared" si="33"/>
        <v>20693.111462371187</v>
      </c>
      <c r="G49" s="330">
        <f t="shared" si="33"/>
        <v>20277.545399427716</v>
      </c>
      <c r="H49" s="286">
        <f>SUM(H43,H46:H48)+H30</f>
        <v>20638.933947049623</v>
      </c>
      <c r="I49" s="286">
        <f t="shared" si="33"/>
        <v>20236.874570622258</v>
      </c>
      <c r="J49" s="286">
        <f t="shared" si="33"/>
        <v>20453.548206560037</v>
      </c>
      <c r="K49" s="286">
        <f t="shared" si="33"/>
        <v>20975.245251175984</v>
      </c>
      <c r="L49" s="286">
        <f t="shared" si="33"/>
        <v>21403.957894781903</v>
      </c>
      <c r="M49" s="286">
        <f t="shared" si="33"/>
        <v>21567.271409847403</v>
      </c>
      <c r="N49" s="287">
        <f t="shared" ref="N49:AH49" si="34">SUM(N43,N46:N48)+N30</f>
        <v>21481.605171242038</v>
      </c>
      <c r="O49" s="286">
        <f t="shared" si="34"/>
        <v>21493.082188513541</v>
      </c>
      <c r="P49" s="286">
        <f t="shared" si="34"/>
        <v>21314.769503171687</v>
      </c>
      <c r="Q49" s="286">
        <f t="shared" si="34"/>
        <v>21243.625188077847</v>
      </c>
      <c r="R49" s="286">
        <f t="shared" si="34"/>
        <v>21207.87628934547</v>
      </c>
      <c r="S49" s="286">
        <f t="shared" si="34"/>
        <v>21201.928149688927</v>
      </c>
      <c r="T49" s="286">
        <f t="shared" si="34"/>
        <v>21028.266062633695</v>
      </c>
      <c r="U49" s="286">
        <f t="shared" si="34"/>
        <v>21339.677479536836</v>
      </c>
      <c r="V49" s="286">
        <f t="shared" si="34"/>
        <v>21590.000136630122</v>
      </c>
      <c r="W49" s="286">
        <f t="shared" si="34"/>
        <v>21419.111862149537</v>
      </c>
      <c r="X49" s="287">
        <f t="shared" si="34"/>
        <v>21542.668074054218</v>
      </c>
      <c r="Y49" s="286">
        <f t="shared" si="34"/>
        <v>21648.706740885347</v>
      </c>
      <c r="Z49" s="286">
        <f t="shared" si="34"/>
        <v>21657.163343982196</v>
      </c>
      <c r="AA49" s="286">
        <f t="shared" si="34"/>
        <v>21852.475224465663</v>
      </c>
      <c r="AB49" s="286">
        <f t="shared" si="34"/>
        <v>21948.653093305817</v>
      </c>
      <c r="AC49" s="286">
        <f t="shared" si="34"/>
        <v>21870.471584524901</v>
      </c>
      <c r="AD49" s="286">
        <f t="shared" si="34"/>
        <v>22106.886536681293</v>
      </c>
      <c r="AE49" s="286">
        <f t="shared" si="34"/>
        <v>22137.297976453254</v>
      </c>
      <c r="AF49" s="286">
        <f t="shared" si="34"/>
        <v>22116.952316135492</v>
      </c>
      <c r="AG49" s="286">
        <f t="shared" si="34"/>
        <v>22071.685400783706</v>
      </c>
      <c r="AH49" s="287">
        <f t="shared" si="34"/>
        <v>21913.01709145827</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0.23423537792589366</v>
      </c>
      <c r="E51" s="332">
        <f t="shared" ref="E51:X51" si="36">E44/D44-1</f>
        <v>6.196010539507002E-2</v>
      </c>
      <c r="F51" s="332">
        <f t="shared" si="36"/>
        <v>0.10935955989129598</v>
      </c>
      <c r="G51" s="332">
        <f>G44/F44-1</f>
        <v>0.101833049930802</v>
      </c>
      <c r="H51" s="284"/>
      <c r="I51" s="164">
        <f t="shared" ref="I51:N51" si="37">I44/H44-1</f>
        <v>0.26235386786062165</v>
      </c>
      <c r="J51" s="172">
        <f t="shared" si="37"/>
        <v>0.25480178061962344</v>
      </c>
      <c r="K51" s="172">
        <f t="shared" si="37"/>
        <v>3.0273453749297241E-2</v>
      </c>
      <c r="L51" s="172">
        <f t="shared" si="37"/>
        <v>8.8780782634797717E-2</v>
      </c>
      <c r="M51" s="172">
        <f t="shared" si="37"/>
        <v>9.3827625419813154E-2</v>
      </c>
      <c r="N51" s="172">
        <f t="shared" si="37"/>
        <v>0.14234062810631287</v>
      </c>
      <c r="O51" s="172">
        <f t="shared" ref="O51:R51" si="38">O44/N44-1</f>
        <v>8.9386120524250767E-3</v>
      </c>
      <c r="P51" s="172">
        <f t="shared" si="38"/>
        <v>5.788822894858825E-5</v>
      </c>
      <c r="Q51" s="172">
        <f t="shared" si="38"/>
        <v>5.039079417219261E-3</v>
      </c>
      <c r="R51" s="172">
        <f t="shared" si="38"/>
        <v>6.6973793161644313E-3</v>
      </c>
      <c r="S51" s="164">
        <f t="shared" si="36"/>
        <v>8.1003138803490415E-3</v>
      </c>
      <c r="T51" s="164">
        <f t="shared" si="36"/>
        <v>1.5661936466848658E-4</v>
      </c>
      <c r="U51" s="164">
        <f t="shared" si="36"/>
        <v>2.3228238570661475E-2</v>
      </c>
      <c r="V51" s="164">
        <f t="shared" si="36"/>
        <v>2.0126240007188656E-2</v>
      </c>
      <c r="W51" s="164">
        <f t="shared" si="36"/>
        <v>4.1739589433098523E-4</v>
      </c>
      <c r="X51" s="185">
        <f t="shared" si="36"/>
        <v>1.4131417126755474E-2</v>
      </c>
      <c r="Y51" s="172">
        <f t="shared" ref="Y51:AH51" si="39">Y44/X44-1</f>
        <v>1.9643999912387633E-2</v>
      </c>
      <c r="Z51" s="172">
        <f t="shared" si="39"/>
        <v>1.5064516866375222E-2</v>
      </c>
      <c r="AA51" s="172">
        <f t="shared" si="39"/>
        <v>2.3750699152838894E-2</v>
      </c>
      <c r="AB51" s="172">
        <f t="shared" si="39"/>
        <v>1.9086127862109725E-2</v>
      </c>
      <c r="AC51" s="172">
        <f t="shared" si="39"/>
        <v>1.1053748939423569E-2</v>
      </c>
      <c r="AD51" s="172">
        <f t="shared" si="39"/>
        <v>2.5522127540726691E-2</v>
      </c>
      <c r="AE51" s="172">
        <f t="shared" si="39"/>
        <v>1.6010187630469463E-2</v>
      </c>
      <c r="AF51" s="172">
        <f t="shared" si="39"/>
        <v>1.3691711838164977E-2</v>
      </c>
      <c r="AG51" s="172">
        <f t="shared" si="39"/>
        <v>1.2549621516020126E-2</v>
      </c>
      <c r="AH51" s="185">
        <f t="shared" si="39"/>
        <v>7.3682813864786034E-3</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8.3316306288434838E-2</v>
      </c>
      <c r="D56" s="336">
        <f t="shared" si="40"/>
        <v>8.1508040707201912E-2</v>
      </c>
      <c r="E56" s="336">
        <f t="shared" si="40"/>
        <v>7.9699775125968986E-2</v>
      </c>
      <c r="F56" s="336">
        <f t="shared" si="40"/>
        <v>7.7891509544736059E-2</v>
      </c>
      <c r="G56" s="336">
        <f t="shared" si="40"/>
        <v>7.6083243963503133E-2</v>
      </c>
      <c r="H56" s="396">
        <f t="shared" si="40"/>
        <v>6.2855376807729596E-2</v>
      </c>
      <c r="I56" s="173">
        <f t="shared" si="40"/>
        <v>6.2950378155586781E-2</v>
      </c>
      <c r="J56" s="173">
        <f t="shared" si="40"/>
        <v>6.3045379503443966E-2</v>
      </c>
      <c r="K56" s="173">
        <f t="shared" si="40"/>
        <v>6.3140380851301151E-2</v>
      </c>
      <c r="L56" s="173">
        <f t="shared" si="40"/>
        <v>6.3235382199158335E-2</v>
      </c>
      <c r="M56" s="173">
        <f t="shared" si="40"/>
        <v>6.333038354701552E-2</v>
      </c>
      <c r="N56" s="178">
        <f>N26</f>
        <v>6.3425384894872719E-2</v>
      </c>
      <c r="O56" s="116">
        <f t="shared" ref="O56:AH56" si="41">O31/O$49</f>
        <v>6.3463446863099335E-2</v>
      </c>
      <c r="P56" s="116">
        <f t="shared" si="41"/>
        <v>6.3501508831325951E-2</v>
      </c>
      <c r="Q56" s="116">
        <f t="shared" si="41"/>
        <v>6.3539570799552567E-2</v>
      </c>
      <c r="R56" s="116">
        <f t="shared" si="41"/>
        <v>6.3577632767779182E-2</v>
      </c>
      <c r="S56" s="116">
        <f t="shared" si="41"/>
        <v>6.3615694736005798E-2</v>
      </c>
      <c r="T56" s="116">
        <f t="shared" si="41"/>
        <v>6.3653756704232414E-2</v>
      </c>
      <c r="U56" s="116">
        <f t="shared" si="41"/>
        <v>6.369181867245903E-2</v>
      </c>
      <c r="V56" s="116">
        <f t="shared" si="41"/>
        <v>6.3729880640685646E-2</v>
      </c>
      <c r="W56" s="116">
        <f t="shared" si="41"/>
        <v>6.3767942608912262E-2</v>
      </c>
      <c r="X56" s="178">
        <f t="shared" si="41"/>
        <v>6.3806004577138906E-2</v>
      </c>
      <c r="Y56" s="173">
        <f t="shared" si="41"/>
        <v>6.3702720652509676E-2</v>
      </c>
      <c r="Z56" s="173">
        <f t="shared" si="41"/>
        <v>6.3599436727880446E-2</v>
      </c>
      <c r="AA56" s="173">
        <f t="shared" si="41"/>
        <v>6.3496152803251216E-2</v>
      </c>
      <c r="AB56" s="173">
        <f t="shared" si="41"/>
        <v>6.3392868878621986E-2</v>
      </c>
      <c r="AC56" s="173">
        <f t="shared" si="41"/>
        <v>6.3289584953992756E-2</v>
      </c>
      <c r="AD56" s="173">
        <f t="shared" si="41"/>
        <v>6.3186301029363526E-2</v>
      </c>
      <c r="AE56" s="173">
        <f t="shared" si="41"/>
        <v>6.3083017104734296E-2</v>
      </c>
      <c r="AF56" s="173">
        <f t="shared" si="41"/>
        <v>6.2979733180105066E-2</v>
      </c>
      <c r="AG56" s="173">
        <f t="shared" si="41"/>
        <v>6.2876449255475836E-2</v>
      </c>
      <c r="AH56" s="178">
        <f t="shared" si="41"/>
        <v>6.277316533084662E-2</v>
      </c>
      <c r="AI56" s="127"/>
    </row>
    <row r="57" spans="1:35">
      <c r="A57" s="9" t="s">
        <v>59</v>
      </c>
      <c r="B57" s="37"/>
      <c r="C57" s="336">
        <f t="shared" ref="C57:M57" si="42">C32/C$49</f>
        <v>0.43726443166038487</v>
      </c>
      <c r="D57" s="336">
        <f t="shared" si="42"/>
        <v>0.43349563302705435</v>
      </c>
      <c r="E57" s="336">
        <f t="shared" si="42"/>
        <v>0.42972683439372367</v>
      </c>
      <c r="F57" s="336">
        <f t="shared" si="42"/>
        <v>0.42595803576039315</v>
      </c>
      <c r="G57" s="336">
        <f t="shared" si="42"/>
        <v>0.42218923712706258</v>
      </c>
      <c r="H57" s="396">
        <f t="shared" si="42"/>
        <v>0.4548069588533451</v>
      </c>
      <c r="I57" s="116">
        <f t="shared" si="42"/>
        <v>0.44497374016007907</v>
      </c>
      <c r="J57" s="116">
        <f t="shared" si="42"/>
        <v>0.43514052146681304</v>
      </c>
      <c r="K57" s="116">
        <f t="shared" si="42"/>
        <v>0.425307302773547</v>
      </c>
      <c r="L57" s="116">
        <f t="shared" si="42"/>
        <v>0.41547408408028097</v>
      </c>
      <c r="M57" s="116">
        <f t="shared" si="42"/>
        <v>0.40564086538701499</v>
      </c>
      <c r="N57" s="178">
        <f>N18</f>
        <v>0.39580764669374879</v>
      </c>
      <c r="O57" s="116">
        <f t="shared" ref="O57:AH57" si="43">O32/O$49</f>
        <v>0.39604517332598416</v>
      </c>
      <c r="P57" s="116">
        <f t="shared" si="43"/>
        <v>0.39628269995821952</v>
      </c>
      <c r="Q57" s="116">
        <f t="shared" si="43"/>
        <v>0.39652022659045488</v>
      </c>
      <c r="R57" s="116">
        <f t="shared" si="43"/>
        <v>0.39675775322269025</v>
      </c>
      <c r="S57" s="116">
        <f t="shared" si="43"/>
        <v>0.39699527985492561</v>
      </c>
      <c r="T57" s="116">
        <f t="shared" si="43"/>
        <v>0.39723280648716097</v>
      </c>
      <c r="U57" s="116">
        <f t="shared" si="43"/>
        <v>0.39747033311939628</v>
      </c>
      <c r="V57" s="116">
        <f t="shared" si="43"/>
        <v>0.3977078597516317</v>
      </c>
      <c r="W57" s="116">
        <f>W32/W$49</f>
        <v>0.39794538638386712</v>
      </c>
      <c r="X57" s="178">
        <f t="shared" si="43"/>
        <v>0.39818291301610226</v>
      </c>
      <c r="Y57" s="173">
        <f t="shared" si="43"/>
        <v>0.39753836718927682</v>
      </c>
      <c r="Z57" s="173">
        <f t="shared" si="43"/>
        <v>0.39689382136245133</v>
      </c>
      <c r="AA57" s="173">
        <f t="shared" si="43"/>
        <v>0.39624927553562583</v>
      </c>
      <c r="AB57" s="173">
        <f t="shared" si="43"/>
        <v>0.39560472970880034</v>
      </c>
      <c r="AC57" s="173">
        <f t="shared" si="43"/>
        <v>0.3949601838819749</v>
      </c>
      <c r="AD57" s="173">
        <f t="shared" si="43"/>
        <v>0.39431563805514935</v>
      </c>
      <c r="AE57" s="173">
        <f t="shared" si="43"/>
        <v>0.3936710922283238</v>
      </c>
      <c r="AF57" s="173">
        <f t="shared" si="43"/>
        <v>0.39302654640149837</v>
      </c>
      <c r="AG57" s="173">
        <f t="shared" si="43"/>
        <v>0.39238200057467287</v>
      </c>
      <c r="AH57" s="178">
        <f t="shared" si="43"/>
        <v>0.39173745474784766</v>
      </c>
      <c r="AI57" s="127"/>
    </row>
    <row r="58" spans="1:35">
      <c r="A58" s="9" t="s">
        <v>121</v>
      </c>
      <c r="B58" s="37"/>
      <c r="C58" s="336">
        <f>C34/C$49</f>
        <v>4.8799841301329104E-2</v>
      </c>
      <c r="D58" s="336">
        <f t="shared" ref="D58:G59" si="44">C58*($N71)</f>
        <v>5.4406223159363422E-2</v>
      </c>
      <c r="E58" s="336">
        <f t="shared" si="44"/>
        <v>6.065669558613572E-2</v>
      </c>
      <c r="F58" s="336">
        <f t="shared" si="44"/>
        <v>6.7625255086208508E-2</v>
      </c>
      <c r="G58" s="336">
        <f t="shared" si="44"/>
        <v>7.539439927090355E-2</v>
      </c>
      <c r="H58" s="396">
        <f>H34/H$49</f>
        <v>3.7439657539314643E-2</v>
      </c>
      <c r="I58" s="116">
        <f t="shared" ref="I58:N59" si="45">H58*($N71)</f>
        <v>4.1740921871371281E-2</v>
      </c>
      <c r="J58" s="116">
        <f t="shared" si="45"/>
        <v>4.6536338021851878E-2</v>
      </c>
      <c r="K58" s="116">
        <f t="shared" si="45"/>
        <v>5.1882676744841885E-2</v>
      </c>
      <c r="L58" s="116">
        <f t="shared" si="45"/>
        <v>5.7843230916574777E-2</v>
      </c>
      <c r="M58" s="116">
        <f t="shared" si="45"/>
        <v>6.4488564831050893E-2</v>
      </c>
      <c r="N58" s="178">
        <f t="shared" si="45"/>
        <v>7.1897349578669043E-2</v>
      </c>
      <c r="O58" s="116">
        <f t="shared" ref="O58:W58" si="46">N58*$X71</f>
        <v>7.2475144761836793E-2</v>
      </c>
      <c r="P58" s="116">
        <f t="shared" si="46"/>
        <v>7.3057583332774026E-2</v>
      </c>
      <c r="Q58" s="116">
        <f t="shared" si="46"/>
        <v>7.3644702607558496E-2</v>
      </c>
      <c r="R58" s="116">
        <f t="shared" si="46"/>
        <v>7.4236540202154519E-2</v>
      </c>
      <c r="S58" s="116">
        <f t="shared" si="46"/>
        <v>7.4833134034823001E-2</v>
      </c>
      <c r="T58" s="116">
        <f t="shared" si="46"/>
        <v>7.5434522328550815E-2</v>
      </c>
      <c r="U58" s="116">
        <f t="shared" si="46"/>
        <v>7.6040743613499662E-2</v>
      </c>
      <c r="V58" s="116">
        <f t="shared" si="46"/>
        <v>7.665183672947469E-2</v>
      </c>
      <c r="W58" s="116">
        <f t="shared" si="46"/>
        <v>7.726784082841287E-2</v>
      </c>
      <c r="X58" s="178">
        <f t="shared" ref="X58:X66" si="47">X34/X$49</f>
        <v>7.7888795376891515E-2</v>
      </c>
      <c r="Y58" s="173">
        <f>X58*$AH71</f>
        <v>7.9011403762999158E-2</v>
      </c>
      <c r="Z58" s="173">
        <f t="shared" ref="Z58:AG58" si="48">Y58*$AH71</f>
        <v>8.0150192263107295E-2</v>
      </c>
      <c r="AA58" s="173">
        <f t="shared" si="48"/>
        <v>8.1305394080612867E-2</v>
      </c>
      <c r="AB58" s="173">
        <f t="shared" si="48"/>
        <v>8.2477245780064906E-2</v>
      </c>
      <c r="AC58" s="173">
        <f t="shared" si="48"/>
        <v>8.3665987335608746E-2</v>
      </c>
      <c r="AD58" s="173">
        <f t="shared" si="48"/>
        <v>8.4871862180128377E-2</v>
      </c>
      <c r="AE58" s="173">
        <f t="shared" si="48"/>
        <v>8.6095117255097123E-2</v>
      </c>
      <c r="AF58" s="173">
        <f t="shared" si="48"/>
        <v>8.7336003061146805E-2</v>
      </c>
      <c r="AG58" s="173">
        <f t="shared" si="48"/>
        <v>8.8594773709365804E-2</v>
      </c>
      <c r="AH58" s="178">
        <f t="shared" ref="AH58:AH66" si="49">AH34/AH$49</f>
        <v>8.9871686973336348E-2</v>
      </c>
      <c r="AI58" s="127"/>
    </row>
    <row r="59" spans="1:35">
      <c r="A59" s="9" t="s">
        <v>50</v>
      </c>
      <c r="B59" s="37"/>
      <c r="C59" s="336">
        <f t="shared" ref="C59:C65" si="50">C35/C$49</f>
        <v>0</v>
      </c>
      <c r="D59" s="336">
        <f t="shared" si="44"/>
        <v>0</v>
      </c>
      <c r="E59" s="336">
        <f t="shared" si="44"/>
        <v>0</v>
      </c>
      <c r="F59" s="336">
        <f t="shared" si="44"/>
        <v>0</v>
      </c>
      <c r="G59" s="336">
        <f t="shared" si="44"/>
        <v>0</v>
      </c>
      <c r="H59" s="396">
        <f>H35/H$49</f>
        <v>4.8452114947678877E-12</v>
      </c>
      <c r="I59" s="116">
        <f t="shared" si="45"/>
        <v>5.0517405189516727E-12</v>
      </c>
      <c r="J59" s="116">
        <f t="shared" si="45"/>
        <v>5.2670729231068713E-12</v>
      </c>
      <c r="K59" s="116">
        <f t="shared" si="45"/>
        <v>5.4915839547282494E-12</v>
      </c>
      <c r="L59" s="116">
        <f t="shared" si="45"/>
        <v>5.7256648563809618E-12</v>
      </c>
      <c r="M59" s="116">
        <f t="shared" si="45"/>
        <v>5.9697235474966519E-12</v>
      </c>
      <c r="N59" s="178">
        <f t="shared" si="45"/>
        <v>6.2241853352313708E-12</v>
      </c>
      <c r="O59" s="116">
        <f t="shared" ref="O59:V59" si="51">N59*$X72</f>
        <v>6.2742053196524243E-12</v>
      </c>
      <c r="P59" s="116">
        <f t="shared" si="51"/>
        <v>6.3246272842052903E-12</v>
      </c>
      <c r="Q59" s="116">
        <f t="shared" si="51"/>
        <v>6.3754544593593156E-12</v>
      </c>
      <c r="R59" s="116">
        <f t="shared" si="51"/>
        <v>6.4266901015451593E-12</v>
      </c>
      <c r="S59" s="116">
        <f t="shared" si="51"/>
        <v>6.4783374933634296E-12</v>
      </c>
      <c r="T59" s="116">
        <f t="shared" si="51"/>
        <v>6.5303999437949964E-12</v>
      </c>
      <c r="U59" s="116">
        <f t="shared" si="51"/>
        <v>6.5828807884129901E-12</v>
      </c>
      <c r="V59" s="116">
        <f t="shared" si="51"/>
        <v>6.635783389596512E-12</v>
      </c>
      <c r="W59" s="116">
        <f>V59*$X72</f>
        <v>6.6891111367460534E-12</v>
      </c>
      <c r="X59" s="178">
        <f t="shared" si="47"/>
        <v>6.7428674465006513E-12</v>
      </c>
      <c r="Y59" s="173">
        <f>X59*$AH72</f>
        <v>6.8400521507347554E-12</v>
      </c>
      <c r="Z59" s="173">
        <f t="shared" ref="Z59:AG59" si="52">Y59*$AH72</f>
        <v>6.9386375745902978E-12</v>
      </c>
      <c r="AA59" s="173">
        <f t="shared" si="52"/>
        <v>7.0386439065884385E-12</v>
      </c>
      <c r="AB59" s="173">
        <f t="shared" si="52"/>
        <v>7.1400916262267616E-12</v>
      </c>
      <c r="AC59" s="173">
        <f t="shared" si="52"/>
        <v>7.2430015081731089E-12</v>
      </c>
      <c r="AD59" s="173">
        <f t="shared" si="52"/>
        <v>7.3473946265198556E-12</v>
      </c>
      <c r="AE59" s="173">
        <f t="shared" si="52"/>
        <v>7.45329235909951E-12</v>
      </c>
      <c r="AF59" s="173">
        <f t="shared" si="52"/>
        <v>7.5607163918625017E-12</v>
      </c>
      <c r="AG59" s="173">
        <f t="shared" si="52"/>
        <v>7.66968872331808E-12</v>
      </c>
      <c r="AH59" s="178">
        <f t="shared" si="49"/>
        <v>7.7802316690392137E-12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7.4885935330291607E-3</v>
      </c>
      <c r="D61" s="336">
        <f t="shared" ref="D61:M61" si="56">C61*($N74)</f>
        <v>7.8077054291005414E-3</v>
      </c>
      <c r="E61" s="336">
        <f t="shared" si="56"/>
        <v>8.14041565999476E-3</v>
      </c>
      <c r="F61" s="336">
        <f t="shared" si="56"/>
        <v>8.4873036923886497E-3</v>
      </c>
      <c r="G61" s="336">
        <f t="shared" si="56"/>
        <v>8.8489736858081234E-3</v>
      </c>
      <c r="H61" s="396">
        <f t="shared" si="53"/>
        <v>8.4465770034773974E-3</v>
      </c>
      <c r="I61" s="116">
        <f t="shared" si="56"/>
        <v>8.806511508001413E-3</v>
      </c>
      <c r="J61" s="116">
        <f t="shared" si="56"/>
        <v>9.1817839236690325E-3</v>
      </c>
      <c r="K61" s="116">
        <f t="shared" si="56"/>
        <v>9.5730478458296662E-3</v>
      </c>
      <c r="L61" s="116">
        <f t="shared" si="56"/>
        <v>9.9809847215314839E-3</v>
      </c>
      <c r="M61" s="116">
        <f t="shared" si="56"/>
        <v>1.0406305036367565E-2</v>
      </c>
      <c r="N61" s="178">
        <f>M61*($N74)</f>
        <v>1.0849749551897192E-2</v>
      </c>
      <c r="O61" s="116">
        <f t="shared" ref="O61:W61" si="57">N61*$X74</f>
        <v>1.0936942377034693E-2</v>
      </c>
      <c r="P61" s="116">
        <f t="shared" si="57"/>
        <v>1.1024835917771121E-2</v>
      </c>
      <c r="Q61" s="116">
        <f t="shared" si="57"/>
        <v>1.1113435805330717E-2</v>
      </c>
      <c r="R61" s="116">
        <f t="shared" si="57"/>
        <v>1.1202747716192439E-2</v>
      </c>
      <c r="S61" s="116">
        <f t="shared" si="57"/>
        <v>1.1292777372453648E-2</v>
      </c>
      <c r="T61" s="116">
        <f t="shared" si="57"/>
        <v>1.1383530542196714E-2</v>
      </c>
      <c r="U61" s="116">
        <f t="shared" si="57"/>
        <v>1.147501303985857E-2</v>
      </c>
      <c r="V61" s="116">
        <f t="shared" si="57"/>
        <v>1.1567230726603237E-2</v>
      </c>
      <c r="W61" s="116">
        <f t="shared" si="57"/>
        <v>1.1660189510697335E-2</v>
      </c>
      <c r="X61" s="178">
        <f t="shared" si="47"/>
        <v>1.175389534788863E-2</v>
      </c>
      <c r="Y61" s="173">
        <f t="shared" si="55"/>
        <v>1.1923303815732082E-2</v>
      </c>
      <c r="Z61" s="173">
        <f t="shared" si="55"/>
        <v>1.209515396168544E-2</v>
      </c>
      <c r="AA61" s="173">
        <f t="shared" si="55"/>
        <v>1.226948097756685E-2</v>
      </c>
      <c r="AB61" s="173">
        <f t="shared" si="55"/>
        <v>1.2446320562412853E-2</v>
      </c>
      <c r="AC61" s="173">
        <f t="shared" si="55"/>
        <v>1.2625708929788914E-2</v>
      </c>
      <c r="AD61" s="173">
        <f t="shared" si="55"/>
        <v>1.2807682815205305E-2</v>
      </c>
      <c r="AE61" s="173">
        <f t="shared" si="55"/>
        <v>1.2992279483639877E-2</v>
      </c>
      <c r="AF61" s="173">
        <f t="shared" si="55"/>
        <v>1.3179536737169255E-2</v>
      </c>
      <c r="AG61" s="173">
        <f t="shared" si="55"/>
        <v>1.3369492922710027E-2</v>
      </c>
      <c r="AH61" s="178">
        <f t="shared" si="49"/>
        <v>1.3562186939871494E-2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3.0048452114947678E-3</v>
      </c>
      <c r="I62" s="116">
        <f t="shared" si="58"/>
        <v>3.1538599261488253E-3</v>
      </c>
      <c r="J62" s="116">
        <f t="shared" si="58"/>
        <v>3.3102645007192892E-3</v>
      </c>
      <c r="K62" s="116">
        <f t="shared" si="58"/>
        <v>3.474425409280286E-3</v>
      </c>
      <c r="L62" s="116">
        <f t="shared" si="58"/>
        <v>3.6467272998968606E-3</v>
      </c>
      <c r="M62" s="116">
        <f t="shared" si="58"/>
        <v>3.8275738959000433E-3</v>
      </c>
      <c r="N62" s="178">
        <f t="shared" si="58"/>
        <v>4.0173889418574802E-3</v>
      </c>
      <c r="O62" s="116">
        <f t="shared" ref="O62:W62" si="59">N62*$X75</f>
        <v>4.0496742485220437E-3</v>
      </c>
      <c r="P62" s="116">
        <f t="shared" si="59"/>
        <v>4.0822190125210872E-3</v>
      </c>
      <c r="Q62" s="116">
        <f t="shared" si="59"/>
        <v>4.1150253189550911E-3</v>
      </c>
      <c r="R62" s="116">
        <f t="shared" si="59"/>
        <v>4.1480952696812167E-3</v>
      </c>
      <c r="S62" s="116">
        <f t="shared" si="59"/>
        <v>4.1814309834479705E-3</v>
      </c>
      <c r="T62" s="116">
        <f t="shared" si="59"/>
        <v>4.2150345960309497E-3</v>
      </c>
      <c r="U62" s="116">
        <f t="shared" si="59"/>
        <v>4.248908260369679E-3</v>
      </c>
      <c r="V62" s="116">
        <f t="shared" si="59"/>
        <v>4.2830541467055458E-3</v>
      </c>
      <c r="W62" s="116">
        <f t="shared" si="59"/>
        <v>4.3174744427208435E-3</v>
      </c>
      <c r="X62" s="178">
        <f t="shared" si="47"/>
        <v>4.3521713536789405E-3</v>
      </c>
      <c r="Y62" s="173">
        <f t="shared" si="55"/>
        <v>4.4148990417344032E-3</v>
      </c>
      <c r="Z62" s="173">
        <f t="shared" si="55"/>
        <v>4.4785308216853878E-3</v>
      </c>
      <c r="AA62" s="173">
        <f t="shared" si="55"/>
        <v>4.543079724175632E-3</v>
      </c>
      <c r="AB62" s="173">
        <f t="shared" si="55"/>
        <v>4.6085589676590696E-3</v>
      </c>
      <c r="AC62" s="173">
        <f t="shared" si="55"/>
        <v>4.6749819611067332E-3</v>
      </c>
      <c r="AD62" s="173">
        <f t="shared" si="55"/>
        <v>4.7423623067526675E-3</v>
      </c>
      <c r="AE62" s="173">
        <f t="shared" si="55"/>
        <v>4.8107138028794239E-3</v>
      </c>
      <c r="AF62" s="173">
        <f t="shared" si="55"/>
        <v>4.8800504466437016E-3</v>
      </c>
      <c r="AG62" s="173">
        <f t="shared" si="55"/>
        <v>4.9503864369427105E-3</v>
      </c>
      <c r="AH62" s="178">
        <f t="shared" si="49"/>
        <v>5.021736177321854E-3</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4.8452114947678881E-6</v>
      </c>
      <c r="I63" s="116">
        <f t="shared" si="60"/>
        <v>5.0517405189516729E-6</v>
      </c>
      <c r="J63" s="116">
        <f t="shared" si="60"/>
        <v>5.2670729231068719E-6</v>
      </c>
      <c r="K63" s="116">
        <f t="shared" si="60"/>
        <v>5.4915839547282494E-6</v>
      </c>
      <c r="L63" s="116">
        <f t="shared" si="60"/>
        <v>5.725664856380962E-6</v>
      </c>
      <c r="M63" s="116">
        <f t="shared" si="60"/>
        <v>5.9697235474966524E-6</v>
      </c>
      <c r="N63" s="178">
        <f t="shared" si="60"/>
        <v>6.2241853352313708E-6</v>
      </c>
      <c r="O63" s="116">
        <f t="shared" ref="O63:W63" si="61">N63*$X76</f>
        <v>6.2742053196524241E-6</v>
      </c>
      <c r="P63" s="116">
        <f t="shared" si="61"/>
        <v>6.3246272842052901E-6</v>
      </c>
      <c r="Q63" s="116">
        <f t="shared" si="61"/>
        <v>6.375454459359315E-6</v>
      </c>
      <c r="R63" s="116">
        <f t="shared" si="61"/>
        <v>6.4266901015451582E-6</v>
      </c>
      <c r="S63" s="116">
        <f t="shared" si="61"/>
        <v>6.4783374933634286E-6</v>
      </c>
      <c r="T63" s="116">
        <f t="shared" si="61"/>
        <v>6.5303999437949951E-6</v>
      </c>
      <c r="U63" s="116">
        <f t="shared" si="61"/>
        <v>6.582880788412989E-6</v>
      </c>
      <c r="V63" s="116">
        <f t="shared" si="61"/>
        <v>6.6357833895965109E-6</v>
      </c>
      <c r="W63" s="116">
        <f t="shared" si="61"/>
        <v>6.6891111367460528E-6</v>
      </c>
      <c r="X63" s="178">
        <f t="shared" si="47"/>
        <v>6.7428674465006517E-6</v>
      </c>
      <c r="Y63" s="173">
        <f t="shared" si="55"/>
        <v>6.8400521507347556E-6</v>
      </c>
      <c r="Z63" s="173">
        <f t="shared" si="55"/>
        <v>6.9386375745902982E-6</v>
      </c>
      <c r="AA63" s="173">
        <f t="shared" si="55"/>
        <v>7.0386439065884394E-6</v>
      </c>
      <c r="AB63" s="173">
        <f t="shared" si="55"/>
        <v>7.140091626226763E-6</v>
      </c>
      <c r="AC63" s="173">
        <f t="shared" si="55"/>
        <v>7.2430015081731106E-6</v>
      </c>
      <c r="AD63" s="173">
        <f t="shared" si="55"/>
        <v>7.3473946265198579E-6</v>
      </c>
      <c r="AE63" s="173">
        <f t="shared" si="55"/>
        <v>7.4532923590995113E-6</v>
      </c>
      <c r="AF63" s="173">
        <f t="shared" si="55"/>
        <v>7.5607163918625025E-6</v>
      </c>
      <c r="AG63" s="173">
        <f t="shared" si="55"/>
        <v>7.6696887233180807E-6</v>
      </c>
      <c r="AH63" s="178">
        <f t="shared" si="49"/>
        <v>7.7802316690392109E-6</v>
      </c>
      <c r="AI63" s="127"/>
    </row>
    <row r="64" spans="1:35">
      <c r="A64" s="9" t="s">
        <v>344</v>
      </c>
      <c r="B64" s="37"/>
      <c r="C64" s="336">
        <f t="shared" si="50"/>
        <v>4.9593334655822259E-7</v>
      </c>
      <c r="D64" s="336">
        <f t="shared" ref="D64:N64" si="62">C64*($N77)</f>
        <v>5.170726983152041E-7</v>
      </c>
      <c r="E64" s="336">
        <f t="shared" si="62"/>
        <v>5.3911312316155673E-7</v>
      </c>
      <c r="F64" s="336">
        <f t="shared" si="62"/>
        <v>5.6209302968812682E-7</v>
      </c>
      <c r="G64" s="336">
        <f t="shared" si="62"/>
        <v>5.8605246366688177E-7</v>
      </c>
      <c r="H64" s="396">
        <f t="shared" si="53"/>
        <v>4.8452114947678874E-7</v>
      </c>
      <c r="I64" s="116">
        <f t="shared" si="62"/>
        <v>5.0517405189516723E-7</v>
      </c>
      <c r="J64" s="116">
        <f t="shared" si="62"/>
        <v>5.2670729231068709E-7</v>
      </c>
      <c r="K64" s="116">
        <f t="shared" si="62"/>
        <v>5.4915839547282483E-7</v>
      </c>
      <c r="L64" s="116">
        <f t="shared" si="62"/>
        <v>5.7256648563809608E-7</v>
      </c>
      <c r="M64" s="116">
        <f t="shared" si="62"/>
        <v>5.9697235474966518E-7</v>
      </c>
      <c r="N64" s="178">
        <f t="shared" si="62"/>
        <v>6.2241853352313703E-7</v>
      </c>
      <c r="O64" s="116">
        <f t="shared" ref="O64:W64" si="63">N64*$X77</f>
        <v>6.2742053196524239E-7</v>
      </c>
      <c r="P64" s="116">
        <f t="shared" si="63"/>
        <v>6.3246272842052897E-7</v>
      </c>
      <c r="Q64" s="116">
        <f t="shared" si="63"/>
        <v>6.3754544593593153E-7</v>
      </c>
      <c r="R64" s="116">
        <f t="shared" si="63"/>
        <v>6.4266901015451589E-7</v>
      </c>
      <c r="S64" s="116">
        <f t="shared" si="63"/>
        <v>6.4783374933634291E-7</v>
      </c>
      <c r="T64" s="116">
        <f t="shared" si="63"/>
        <v>6.5303999437949951E-7</v>
      </c>
      <c r="U64" s="116">
        <f t="shared" si="63"/>
        <v>6.5828807884129892E-7</v>
      </c>
      <c r="V64" s="116">
        <f t="shared" si="63"/>
        <v>6.6357833895965114E-7</v>
      </c>
      <c r="W64" s="116">
        <f t="shared" si="63"/>
        <v>6.6891111367460535E-7</v>
      </c>
      <c r="X64" s="178">
        <f t="shared" si="47"/>
        <v>6.742867446500651E-7</v>
      </c>
      <c r="Y64" s="173">
        <f t="shared" si="55"/>
        <v>6.8400521507347556E-7</v>
      </c>
      <c r="Z64" s="173">
        <f t="shared" si="55"/>
        <v>6.9386375745902978E-7</v>
      </c>
      <c r="AA64" s="173">
        <f t="shared" si="55"/>
        <v>7.0386439065884387E-7</v>
      </c>
      <c r="AB64" s="173">
        <f t="shared" si="55"/>
        <v>7.1400916262267621E-7</v>
      </c>
      <c r="AC64" s="173">
        <f t="shared" si="55"/>
        <v>7.2430015081731099E-7</v>
      </c>
      <c r="AD64" s="173">
        <f t="shared" si="55"/>
        <v>7.3473946265198575E-7</v>
      </c>
      <c r="AE64" s="173">
        <f t="shared" si="55"/>
        <v>7.4532923590995113E-7</v>
      </c>
      <c r="AF64" s="173">
        <f t="shared" si="55"/>
        <v>7.5607163918625025E-7</v>
      </c>
      <c r="AG64" s="173">
        <f t="shared" si="55"/>
        <v>7.6696887233180809E-7</v>
      </c>
      <c r="AH64" s="178">
        <f t="shared" si="49"/>
        <v>7.7802316690392113E-7</v>
      </c>
      <c r="AI64" s="127"/>
    </row>
    <row r="65" spans="1:35">
      <c r="A65" s="9" t="s">
        <v>120</v>
      </c>
      <c r="B65" s="37"/>
      <c r="C65" s="336">
        <f t="shared" si="50"/>
        <v>0</v>
      </c>
      <c r="D65" s="336">
        <v>0</v>
      </c>
      <c r="E65" s="336">
        <v>0</v>
      </c>
      <c r="F65" s="336">
        <v>0</v>
      </c>
      <c r="G65" s="336">
        <v>0</v>
      </c>
      <c r="H65" s="396">
        <f t="shared" si="53"/>
        <v>4.8452114947678874E-5</v>
      </c>
      <c r="I65" s="173">
        <v>0</v>
      </c>
      <c r="J65" s="173">
        <v>0</v>
      </c>
      <c r="K65" s="173">
        <v>0</v>
      </c>
      <c r="L65" s="173">
        <v>0</v>
      </c>
      <c r="M65" s="173">
        <v>0</v>
      </c>
      <c r="N65" s="178">
        <v>0</v>
      </c>
      <c r="O65" s="116">
        <f t="shared" ref="O65:AG65" si="64">O41/O$49</f>
        <v>3.722127859481879E-4</v>
      </c>
      <c r="P65" s="116">
        <f t="shared" si="64"/>
        <v>4.2224242672015663E-4</v>
      </c>
      <c r="Q65" s="116">
        <f t="shared" si="64"/>
        <v>4.7072944996281091E-4</v>
      </c>
      <c r="R65" s="116">
        <f t="shared" si="64"/>
        <v>5.1867522471008758E-4</v>
      </c>
      <c r="S65" s="116">
        <f t="shared" si="64"/>
        <v>5.6598625914011799E-4</v>
      </c>
      <c r="T65" s="116">
        <f t="shared" si="64"/>
        <v>6.1821549914191116E-4</v>
      </c>
      <c r="U65" s="116">
        <f t="shared" si="64"/>
        <v>6.5605490117762828E-4</v>
      </c>
      <c r="V65" s="116">
        <f t="shared" si="64"/>
        <v>6.9476609101778715E-4</v>
      </c>
      <c r="W65" s="116">
        <f t="shared" si="64"/>
        <v>7.4699642557421626E-4</v>
      </c>
      <c r="X65" s="178">
        <f t="shared" si="47"/>
        <v>7.8913159417215537E-4</v>
      </c>
      <c r="Y65" s="173">
        <f t="shared" si="64"/>
        <v>8.3145844301200369E-4</v>
      </c>
      <c r="Z65" s="173">
        <f t="shared" si="64"/>
        <v>8.7730787722388708E-4</v>
      </c>
      <c r="AA65" s="173">
        <f t="shared" si="64"/>
        <v>9.1522812837276839E-4</v>
      </c>
      <c r="AB65" s="173">
        <f t="shared" si="64"/>
        <v>9.5677852808220159E-4</v>
      </c>
      <c r="AC65" s="173">
        <f t="shared" si="64"/>
        <v>1.0059225250344738E-3</v>
      </c>
      <c r="AD65" s="173">
        <f t="shared" si="64"/>
        <v>1.0403997850098334E-3</v>
      </c>
      <c r="AE65" s="173">
        <f t="shared" si="64"/>
        <v>1.0841431517761581E-3</v>
      </c>
      <c r="AF65" s="173">
        <f t="shared" si="64"/>
        <v>1.1303546547758829E-3</v>
      </c>
      <c r="AG65" s="173">
        <f t="shared" si="64"/>
        <v>1.1779798202033456E-3</v>
      </c>
      <c r="AH65" s="178">
        <f t="shared" si="49"/>
        <v>1.2321443408413459E-3</v>
      </c>
      <c r="AI65" s="127"/>
    </row>
    <row r="66" spans="1:35">
      <c r="A66" s="9" t="s">
        <v>53</v>
      </c>
      <c r="B66" s="37"/>
      <c r="C66" s="336">
        <f>C42/C$49</f>
        <v>3.0747867486609799E-3</v>
      </c>
      <c r="D66" s="336">
        <f t="shared" ref="D66:N66" si="65">C66*($N79)</f>
        <v>3.9437419196402595E-3</v>
      </c>
      <c r="E66" s="336">
        <f t="shared" si="65"/>
        <v>5.0582695972333572E-3</v>
      </c>
      <c r="F66" s="336">
        <f t="shared" si="65"/>
        <v>6.4877702039461095E-3</v>
      </c>
      <c r="G66" s="336">
        <f t="shared" si="65"/>
        <v>8.3212571829372022E-3</v>
      </c>
      <c r="H66" s="396">
        <f t="shared" si="53"/>
        <v>7.4636623031405008E-3</v>
      </c>
      <c r="I66" s="116">
        <f t="shared" si="65"/>
        <v>9.5729428753887798E-3</v>
      </c>
      <c r="J66" s="116">
        <f t="shared" si="65"/>
        <v>1.2278320156164719E-2</v>
      </c>
      <c r="K66" s="116">
        <f t="shared" si="65"/>
        <v>1.5748255037107198E-2</v>
      </c>
      <c r="L66" s="116">
        <f t="shared" si="65"/>
        <v>2.0198816577465785E-2</v>
      </c>
      <c r="M66" s="116">
        <f t="shared" si="65"/>
        <v>2.5907136388683406E-2</v>
      </c>
      <c r="N66" s="178">
        <f t="shared" si="65"/>
        <v>3.3228665317483287E-2</v>
      </c>
      <c r="O66" s="116">
        <f t="shared" ref="O66:W66" si="66">N66*$X79</f>
        <v>3.3495703850559222E-2</v>
      </c>
      <c r="P66" s="116">
        <f t="shared" si="66"/>
        <v>3.3764888409587926E-2</v>
      </c>
      <c r="Q66" s="116">
        <f t="shared" si="66"/>
        <v>3.4036236240872167E-2</v>
      </c>
      <c r="R66" s="116">
        <f t="shared" si="66"/>
        <v>3.4309764729312728E-2</v>
      </c>
      <c r="S66" s="116">
        <f t="shared" si="66"/>
        <v>3.4585491399522245E-2</v>
      </c>
      <c r="T66" s="116">
        <f t="shared" si="66"/>
        <v>3.4863433916947982E-2</v>
      </c>
      <c r="U66" s="116">
        <f t="shared" si="66"/>
        <v>3.514361008900365E-2</v>
      </c>
      <c r="V66" s="116">
        <f t="shared" si="66"/>
        <v>3.5426037866210285E-2</v>
      </c>
      <c r="W66" s="116">
        <f t="shared" si="66"/>
        <v>3.5710735343346324E-2</v>
      </c>
      <c r="X66" s="178">
        <f t="shared" si="47"/>
        <v>3.5997720760606887E-2</v>
      </c>
      <c r="Y66" s="173">
        <f t="shared" si="55"/>
        <v>3.6516554605848357E-2</v>
      </c>
      <c r="Z66" s="173">
        <f t="shared" si="55"/>
        <v>3.7042866384505616E-2</v>
      </c>
      <c r="AA66" s="173">
        <f t="shared" si="55"/>
        <v>3.7576763875762087E-2</v>
      </c>
      <c r="AB66" s="173">
        <f t="shared" si="55"/>
        <v>3.8118356412218654E-2</v>
      </c>
      <c r="AC66" s="173">
        <f t="shared" si="55"/>
        <v>3.8667754902283025E-2</v>
      </c>
      <c r="AD66" s="173">
        <f t="shared" si="55"/>
        <v>3.9225071852881759E-2</v>
      </c>
      <c r="AE66" s="173">
        <f t="shared" si="55"/>
        <v>3.9790421392499678E-2</v>
      </c>
      <c r="AF66" s="173">
        <f t="shared" si="55"/>
        <v>4.0363919294551319E-2</v>
      </c>
      <c r="AG66" s="173">
        <f t="shared" si="55"/>
        <v>4.0945683001089257E-2</v>
      </c>
      <c r="AH66" s="178">
        <f t="shared" si="49"/>
        <v>4.1535831646854093E-2</v>
      </c>
      <c r="AI66" s="127"/>
    </row>
    <row r="67" spans="1:35" s="1" customFormat="1">
      <c r="A67" s="11" t="s">
        <v>540</v>
      </c>
      <c r="B67" s="36"/>
      <c r="C67" s="340">
        <f t="shared" ref="C67:AG67" si="67">SUM(C58:C66)</f>
        <v>5.9363717516365794E-2</v>
      </c>
      <c r="D67" s="340">
        <f t="shared" si="67"/>
        <v>6.6158187580802538E-2</v>
      </c>
      <c r="E67" s="340">
        <f t="shared" si="67"/>
        <v>7.3855919956486993E-2</v>
      </c>
      <c r="F67" s="340">
        <f t="shared" si="67"/>
        <v>8.260089107557296E-2</v>
      </c>
      <c r="G67" s="340">
        <f t="shared" si="67"/>
        <v>9.2565216192112554E-2</v>
      </c>
      <c r="H67" s="403">
        <f t="shared" si="67"/>
        <v>5.640852390986445E-2</v>
      </c>
      <c r="I67" s="85">
        <f t="shared" si="67"/>
        <v>6.3279793100532888E-2</v>
      </c>
      <c r="J67" s="85">
        <f t="shared" si="67"/>
        <v>7.1312500387887418E-2</v>
      </c>
      <c r="K67" s="85">
        <f t="shared" si="67"/>
        <v>8.0684445784900818E-2</v>
      </c>
      <c r="L67" s="85">
        <f t="shared" si="67"/>
        <v>9.1676057752536594E-2</v>
      </c>
      <c r="M67" s="85">
        <f t="shared" si="67"/>
        <v>0.10463614685387387</v>
      </c>
      <c r="N67" s="183">
        <f>SUM(N58:N66)</f>
        <v>0.11999999999999994</v>
      </c>
      <c r="O67" s="85">
        <f t="shared" si="67"/>
        <v>0.12133657965602676</v>
      </c>
      <c r="P67" s="85">
        <f t="shared" si="67"/>
        <v>0.12235872619571157</v>
      </c>
      <c r="Q67" s="85">
        <f t="shared" si="67"/>
        <v>0.12338714242896003</v>
      </c>
      <c r="R67" s="85">
        <f t="shared" si="67"/>
        <v>0.12442289250758938</v>
      </c>
      <c r="S67" s="85">
        <f t="shared" si="67"/>
        <v>0.12546594622710799</v>
      </c>
      <c r="T67" s="85">
        <f t="shared" si="67"/>
        <v>0.12652192032933696</v>
      </c>
      <c r="U67" s="85">
        <f t="shared" si="67"/>
        <v>0.12757157107935932</v>
      </c>
      <c r="V67" s="85">
        <f t="shared" si="67"/>
        <v>0.12863022492837589</v>
      </c>
      <c r="W67" s="85">
        <f t="shared" si="67"/>
        <v>0.12971059457969111</v>
      </c>
      <c r="X67" s="183">
        <f t="shared" si="67"/>
        <v>0.13078913159417216</v>
      </c>
      <c r="Y67" s="85">
        <f t="shared" si="67"/>
        <v>0.13270514373353187</v>
      </c>
      <c r="Z67" s="85">
        <f t="shared" si="67"/>
        <v>0.1346516838164783</v>
      </c>
      <c r="AA67" s="85">
        <f t="shared" si="67"/>
        <v>0.13661768930182611</v>
      </c>
      <c r="AB67" s="85">
        <f t="shared" si="67"/>
        <v>0.13861511435836665</v>
      </c>
      <c r="AC67" s="85">
        <f t="shared" si="67"/>
        <v>0.14064832296272389</v>
      </c>
      <c r="AD67" s="85">
        <f t="shared" si="67"/>
        <v>0.14269546108141451</v>
      </c>
      <c r="AE67" s="85">
        <f t="shared" si="67"/>
        <v>0.14478087371494056</v>
      </c>
      <c r="AF67" s="85">
        <f t="shared" si="67"/>
        <v>0.14689818098987872</v>
      </c>
      <c r="AG67" s="85">
        <f t="shared" si="67"/>
        <v>0.14904675255557648</v>
      </c>
      <c r="AH67" s="183">
        <f>SUM(AH58:AH66)</f>
        <v>0.15123214434084131</v>
      </c>
      <c r="AI67" s="196"/>
    </row>
    <row r="68" spans="1:35" s="252" customFormat="1">
      <c r="A68" s="10" t="s">
        <v>548</v>
      </c>
      <c r="B68" s="37"/>
      <c r="C68" s="332"/>
      <c r="D68" s="332">
        <f>D67/C67-1</f>
        <v>0.11445492884712949</v>
      </c>
      <c r="E68" s="332">
        <f t="shared" ref="E68:W68" si="68">E67/D67-1</f>
        <v>0.11635343495894301</v>
      </c>
      <c r="F68" s="332">
        <f t="shared" si="68"/>
        <v>0.11840582480372808</v>
      </c>
      <c r="G68" s="332">
        <f t="shared" si="68"/>
        <v>0.12063217462657949</v>
      </c>
      <c r="H68" s="284"/>
      <c r="I68" s="284">
        <f t="shared" si="68"/>
        <v>0.12181260409593575</v>
      </c>
      <c r="J68" s="284">
        <f t="shared" si="68"/>
        <v>0.12693953146453762</v>
      </c>
      <c r="K68" s="284">
        <f t="shared" si="68"/>
        <v>0.13142079363417247</v>
      </c>
      <c r="L68" s="284">
        <f t="shared" si="68"/>
        <v>0.13622962716926446</v>
      </c>
      <c r="M68" s="284">
        <f t="shared" si="68"/>
        <v>0.14136830726644867</v>
      </c>
      <c r="N68" s="283">
        <f t="shared" si="68"/>
        <v>0.14683122045369212</v>
      </c>
      <c r="O68" s="284">
        <f t="shared" si="68"/>
        <v>1.1138163800223477E-2</v>
      </c>
      <c r="P68" s="284">
        <f t="shared" si="68"/>
        <v>8.4240592785989055E-3</v>
      </c>
      <c r="Q68" s="284">
        <f t="shared" si="68"/>
        <v>8.4049275864763739E-3</v>
      </c>
      <c r="R68" s="284">
        <f t="shared" si="68"/>
        <v>8.3943112567477218E-3</v>
      </c>
      <c r="S68" s="284">
        <f t="shared" si="68"/>
        <v>8.3831335094142201E-3</v>
      </c>
      <c r="T68" s="284">
        <f t="shared" si="68"/>
        <v>8.4164200245819831E-3</v>
      </c>
      <c r="U68" s="284">
        <f t="shared" si="68"/>
        <v>8.2961967957024818E-3</v>
      </c>
      <c r="V68" s="284">
        <f t="shared" si="68"/>
        <v>8.2985091432166147E-3</v>
      </c>
      <c r="W68" s="284">
        <f t="shared" si="68"/>
        <v>8.399034145488038E-3</v>
      </c>
      <c r="X68" s="284">
        <f>X67/W67-1</f>
        <v>8.3149492759315713E-3</v>
      </c>
      <c r="Y68" s="289">
        <f t="shared" ref="Y68:AG68" si="69">Y67/X67-1</f>
        <v>1.4649628115162905E-2</v>
      </c>
      <c r="Z68" s="289">
        <f t="shared" si="69"/>
        <v>1.4668158506764506E-2</v>
      </c>
      <c r="AA68" s="289">
        <f t="shared" si="69"/>
        <v>1.460067508719276E-2</v>
      </c>
      <c r="AB68" s="289">
        <f t="shared" si="69"/>
        <v>1.4620544870493912E-2</v>
      </c>
      <c r="AC68" s="289">
        <f t="shared" si="69"/>
        <v>1.4668015199992723E-2</v>
      </c>
      <c r="AD68" s="289">
        <f t="shared" si="69"/>
        <v>1.4555012641232601E-2</v>
      </c>
      <c r="AE68" s="289">
        <f t="shared" si="69"/>
        <v>1.4614428642101052E-2</v>
      </c>
      <c r="AF68" s="289">
        <f t="shared" si="69"/>
        <v>1.4624219488459156E-2</v>
      </c>
      <c r="AG68" s="289">
        <f t="shared" si="69"/>
        <v>1.4626263927977279E-2</v>
      </c>
      <c r="AH68" s="283">
        <f>AH67/AG67-1</f>
        <v>1.4662458240745302E-2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1.1148852477493942</v>
      </c>
      <c r="O71" s="164"/>
      <c r="P71" s="164"/>
      <c r="Q71" s="164"/>
      <c r="R71" s="164"/>
      <c r="S71" s="164"/>
      <c r="T71" s="164"/>
      <c r="U71" s="164"/>
      <c r="V71" s="164"/>
      <c r="W71" s="164"/>
      <c r="X71" s="186">
        <f>(X86/N86)^(1/10)</f>
        <v>1.0080363905839886</v>
      </c>
      <c r="Y71" s="20"/>
      <c r="Z71" s="20"/>
      <c r="AA71" s="20"/>
      <c r="AB71" s="20"/>
      <c r="AC71" s="20"/>
      <c r="AD71" s="20"/>
      <c r="AE71" s="20"/>
      <c r="AF71" s="20"/>
      <c r="AG71" s="20"/>
      <c r="AH71" s="186">
        <f>(AH86/X86)^(1/10)</f>
        <v>1.0144129637732298</v>
      </c>
      <c r="AI71" s="127"/>
    </row>
    <row r="72" spans="1:35">
      <c r="A72" s="9" t="s">
        <v>50</v>
      </c>
      <c r="B72" s="37"/>
      <c r="C72" s="332"/>
      <c r="D72" s="332"/>
      <c r="E72" s="332"/>
      <c r="F72" s="332"/>
      <c r="G72" s="332"/>
      <c r="H72" s="284"/>
      <c r="I72" s="164"/>
      <c r="J72" s="164"/>
      <c r="K72" s="395"/>
      <c r="L72" s="395"/>
      <c r="M72" s="164"/>
      <c r="N72" s="186">
        <f>(N87/H87)^(1/6)</f>
        <v>1.0426253888827774</v>
      </c>
      <c r="O72" s="164"/>
      <c r="P72" s="164"/>
      <c r="Q72" s="164"/>
      <c r="R72" s="164"/>
      <c r="S72" s="164"/>
      <c r="T72" s="164"/>
      <c r="U72" s="164"/>
      <c r="V72" s="164"/>
      <c r="W72" s="164"/>
      <c r="X72" s="186">
        <f>(X87/N87)^(1/10)</f>
        <v>1.0080363905839886</v>
      </c>
      <c r="Y72" s="20"/>
      <c r="Z72" s="20"/>
      <c r="AA72" s="20"/>
      <c r="AB72" s="20"/>
      <c r="AC72" s="20"/>
      <c r="AD72" s="20"/>
      <c r="AE72" s="20"/>
      <c r="AF72" s="20"/>
      <c r="AG72" s="20"/>
      <c r="AH72" s="186">
        <f>(AH87/X87)^(1/10)</f>
        <v>1.0144129637732298</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1.0426130614065121</v>
      </c>
      <c r="O74" s="164"/>
      <c r="P74" s="164"/>
      <c r="Q74" s="164"/>
      <c r="R74" s="164"/>
      <c r="S74" s="164"/>
      <c r="T74" s="164"/>
      <c r="U74" s="164"/>
      <c r="V74" s="164"/>
      <c r="W74" s="164"/>
      <c r="X74" s="186">
        <f>(X89/N89)^(1/10)</f>
        <v>1.0080363905839886</v>
      </c>
      <c r="AH74" s="186">
        <f>(AH89/X89)^(1/10)</f>
        <v>1.0144129637732298</v>
      </c>
      <c r="AI74" s="127"/>
    </row>
    <row r="75" spans="1:35">
      <c r="A75" s="9" t="s">
        <v>347</v>
      </c>
      <c r="B75" s="37"/>
      <c r="C75" s="332"/>
      <c r="D75" s="332"/>
      <c r="E75" s="332"/>
      <c r="F75" s="332"/>
      <c r="G75" s="332"/>
      <c r="H75" s="284"/>
      <c r="I75" s="164"/>
      <c r="J75" s="164"/>
      <c r="K75" s="395"/>
      <c r="L75" s="395"/>
      <c r="M75" s="164"/>
      <c r="N75" s="179">
        <f>(N90/H90)^(1/6)</f>
        <v>1.0495914778185629</v>
      </c>
      <c r="O75" s="164"/>
      <c r="P75" s="164"/>
      <c r="Q75" s="164"/>
      <c r="R75" s="164"/>
      <c r="S75" s="164"/>
      <c r="T75" s="164"/>
      <c r="U75" s="164"/>
      <c r="V75" s="164"/>
      <c r="W75" s="164"/>
      <c r="X75" s="186">
        <f>(X90/N90)^(1/10)</f>
        <v>1.0080363905839886</v>
      </c>
      <c r="AH75" s="186">
        <f>(AH90/X90)^(1/10)</f>
        <v>1.0144129637732298</v>
      </c>
      <c r="AI75" s="127"/>
    </row>
    <row r="76" spans="1:35">
      <c r="A76" s="9" t="s">
        <v>348</v>
      </c>
      <c r="B76" s="37"/>
      <c r="C76" s="332"/>
      <c r="D76" s="332"/>
      <c r="E76" s="332"/>
      <c r="F76" s="332"/>
      <c r="G76" s="332"/>
      <c r="H76" s="284"/>
      <c r="I76" s="164"/>
      <c r="J76" s="164"/>
      <c r="K76" s="395"/>
      <c r="L76" s="395"/>
      <c r="M76" s="164"/>
      <c r="N76" s="179">
        <f>(N91/H91)^(1/6)</f>
        <v>1.0426253888827774</v>
      </c>
      <c r="O76" s="164"/>
      <c r="P76" s="164"/>
      <c r="Q76" s="164"/>
      <c r="R76" s="164"/>
      <c r="S76" s="164"/>
      <c r="T76" s="164"/>
      <c r="U76" s="164"/>
      <c r="V76" s="164"/>
      <c r="W76" s="164"/>
      <c r="X76" s="186">
        <f>(X91/N91)^(1/10)</f>
        <v>1.0080363905839886</v>
      </c>
      <c r="AH76" s="186">
        <f>(AH91/X91)^(1/10)</f>
        <v>1.0144129637732298</v>
      </c>
      <c r="AI76" s="127"/>
    </row>
    <row r="77" spans="1:35">
      <c r="A77" s="9" t="s">
        <v>344</v>
      </c>
      <c r="B77" s="37"/>
      <c r="C77" s="332"/>
      <c r="D77" s="332"/>
      <c r="E77" s="332"/>
      <c r="F77" s="332"/>
      <c r="G77" s="332"/>
      <c r="H77" s="284"/>
      <c r="I77" s="164"/>
      <c r="J77" s="164"/>
      <c r="K77" s="395"/>
      <c r="L77" s="395"/>
      <c r="M77" s="164"/>
      <c r="N77" s="179">
        <f>(N92/H92)^(1/6)</f>
        <v>1.0426253888827774</v>
      </c>
      <c r="O77" s="164"/>
      <c r="P77" s="164"/>
      <c r="Q77" s="164"/>
      <c r="R77" s="164"/>
      <c r="S77" s="164"/>
      <c r="T77" s="164"/>
      <c r="U77" s="164"/>
      <c r="V77" s="164"/>
      <c r="W77" s="164"/>
      <c r="X77" s="186">
        <f>(X92/N92)^(1/10)</f>
        <v>1.0080363905839886</v>
      </c>
      <c r="AH77" s="186">
        <f>(AH92/X92)^(1/10)</f>
        <v>1.0144129637732298</v>
      </c>
      <c r="AI77" s="127"/>
    </row>
    <row r="78" spans="1:35">
      <c r="A78" s="9" t="s">
        <v>120</v>
      </c>
      <c r="B78" s="37"/>
      <c r="C78" s="332"/>
      <c r="D78" s="332"/>
      <c r="E78" s="332"/>
      <c r="F78" s="332"/>
      <c r="G78" s="332"/>
      <c r="H78" s="284"/>
      <c r="I78" s="164"/>
      <c r="J78" s="164"/>
      <c r="K78" s="395"/>
      <c r="L78" s="395"/>
      <c r="M78" s="164"/>
      <c r="N78" s="186">
        <f t="shared" ref="N78:N79" si="70">(N93/H93)^(1/6)</f>
        <v>1.3738935832848205</v>
      </c>
      <c r="O78" s="164"/>
      <c r="P78" s="164"/>
      <c r="Q78" s="164"/>
      <c r="R78" s="164"/>
      <c r="S78" s="164"/>
      <c r="T78" s="164"/>
      <c r="U78" s="164"/>
      <c r="V78" s="164"/>
      <c r="W78" s="164"/>
      <c r="X78" s="186">
        <f t="shared" ref="X78:X79" si="71">(X93/N93)^(1/10)</f>
        <v>1.0924757664926907</v>
      </c>
      <c r="AH78" s="186">
        <f t="shared" ref="AH78:AH79" si="72">(AH93/X93)^(1/10)</f>
        <v>1.045565429978603</v>
      </c>
      <c r="AI78" s="127"/>
    </row>
    <row r="79" spans="1:35">
      <c r="A79" s="9" t="s">
        <v>53</v>
      </c>
      <c r="B79" s="37"/>
      <c r="C79" s="332"/>
      <c r="D79" s="332"/>
      <c r="E79" s="332"/>
      <c r="F79" s="332"/>
      <c r="G79" s="332"/>
      <c r="H79" s="284"/>
      <c r="I79" s="164"/>
      <c r="J79" s="164"/>
      <c r="K79" s="395"/>
      <c r="L79" s="395"/>
      <c r="M79" s="164"/>
      <c r="N79" s="186">
        <f t="shared" si="70"/>
        <v>1.2826066462520354</v>
      </c>
      <c r="O79" s="164"/>
      <c r="P79" s="164"/>
      <c r="Q79" s="164"/>
      <c r="R79" s="164"/>
      <c r="S79" s="164"/>
      <c r="T79" s="164"/>
      <c r="U79" s="164"/>
      <c r="V79" s="164"/>
      <c r="W79" s="164"/>
      <c r="X79" s="186">
        <f t="shared" si="71"/>
        <v>1.0080363905839886</v>
      </c>
      <c r="AH79" s="186">
        <f t="shared" si="72"/>
        <v>1.0144129637732298</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8.3316306288434838E-2</v>
      </c>
      <c r="D84" s="336">
        <f t="shared" si="73"/>
        <v>8.1508040707201912E-2</v>
      </c>
      <c r="E84" s="336">
        <f t="shared" si="73"/>
        <v>7.9699775125968986E-2</v>
      </c>
      <c r="F84" s="336">
        <f t="shared" si="73"/>
        <v>7.7891509544736059E-2</v>
      </c>
      <c r="G84" s="336">
        <f t="shared" si="73"/>
        <v>7.6083243963503133E-2</v>
      </c>
      <c r="H84" s="396">
        <f t="shared" si="73"/>
        <v>6.2855376807729596E-2</v>
      </c>
      <c r="I84" s="116">
        <f t="shared" si="73"/>
        <v>6.2950378155586781E-2</v>
      </c>
      <c r="J84" s="116">
        <f t="shared" si="73"/>
        <v>6.3045379503443966E-2</v>
      </c>
      <c r="K84" s="116">
        <f t="shared" si="73"/>
        <v>6.3140380851301151E-2</v>
      </c>
      <c r="L84" s="116">
        <f t="shared" si="73"/>
        <v>6.3235382199158335E-2</v>
      </c>
      <c r="M84" s="116">
        <f t="shared" si="73"/>
        <v>6.333038354701552E-2</v>
      </c>
      <c r="N84" s="178">
        <f t="shared" si="73"/>
        <v>6.3425384894872719E-2</v>
      </c>
      <c r="O84" s="116">
        <f t="shared" si="73"/>
        <v>6.3463446863099335E-2</v>
      </c>
      <c r="P84" s="116">
        <f t="shared" si="73"/>
        <v>6.3501508831325951E-2</v>
      </c>
      <c r="Q84" s="116">
        <f t="shared" si="73"/>
        <v>6.3539570799552567E-2</v>
      </c>
      <c r="R84" s="116">
        <f t="shared" si="73"/>
        <v>6.3577632767779182E-2</v>
      </c>
      <c r="S84" s="116">
        <f t="shared" si="73"/>
        <v>6.3615694736005798E-2</v>
      </c>
      <c r="T84" s="116">
        <f t="shared" si="73"/>
        <v>6.3653756704232414E-2</v>
      </c>
      <c r="U84" s="116">
        <f t="shared" si="73"/>
        <v>6.369181867245903E-2</v>
      </c>
      <c r="V84" s="116">
        <f t="shared" si="73"/>
        <v>6.3729880640685646E-2</v>
      </c>
      <c r="W84" s="116">
        <f t="shared" si="73"/>
        <v>6.3767942608912262E-2</v>
      </c>
      <c r="X84" s="178">
        <f t="shared" si="73"/>
        <v>6.3806004577138906E-2</v>
      </c>
      <c r="Y84" s="173">
        <f t="shared" si="73"/>
        <v>6.3702720652509676E-2</v>
      </c>
      <c r="Z84" s="173">
        <f t="shared" si="73"/>
        <v>6.3599436727880446E-2</v>
      </c>
      <c r="AA84" s="173">
        <f t="shared" si="73"/>
        <v>6.3496152803251216E-2</v>
      </c>
      <c r="AB84" s="173">
        <f t="shared" si="73"/>
        <v>6.3392868878621986E-2</v>
      </c>
      <c r="AC84" s="173">
        <f t="shared" si="73"/>
        <v>6.3289584953992756E-2</v>
      </c>
      <c r="AD84" s="173">
        <f t="shared" si="73"/>
        <v>6.3186301029363526E-2</v>
      </c>
      <c r="AE84" s="173">
        <f t="shared" si="73"/>
        <v>6.3083017104734296E-2</v>
      </c>
      <c r="AF84" s="173">
        <f t="shared" si="73"/>
        <v>6.2979733180105066E-2</v>
      </c>
      <c r="AG84" s="173">
        <f t="shared" si="73"/>
        <v>6.2876449255475836E-2</v>
      </c>
      <c r="AH84" s="178">
        <f t="shared" si="73"/>
        <v>6.277316533084662E-2</v>
      </c>
      <c r="AI84" s="127"/>
    </row>
    <row r="85" spans="1:35">
      <c r="A85" s="9" t="s">
        <v>59</v>
      </c>
      <c r="B85" s="37"/>
      <c r="C85" s="336">
        <f t="shared" ref="C85:AH85" si="74">C32/C$49</f>
        <v>0.43726443166038487</v>
      </c>
      <c r="D85" s="336">
        <f t="shared" si="74"/>
        <v>0.43349563302705435</v>
      </c>
      <c r="E85" s="336">
        <f t="shared" si="74"/>
        <v>0.42972683439372367</v>
      </c>
      <c r="F85" s="336">
        <f t="shared" si="74"/>
        <v>0.42595803576039315</v>
      </c>
      <c r="G85" s="336">
        <f t="shared" si="74"/>
        <v>0.42218923712706258</v>
      </c>
      <c r="H85" s="396">
        <f t="shared" si="74"/>
        <v>0.4548069588533451</v>
      </c>
      <c r="I85" s="116">
        <f t="shared" si="74"/>
        <v>0.44497374016007907</v>
      </c>
      <c r="J85" s="116">
        <f t="shared" si="74"/>
        <v>0.43514052146681304</v>
      </c>
      <c r="K85" s="116">
        <f t="shared" si="74"/>
        <v>0.425307302773547</v>
      </c>
      <c r="L85" s="116">
        <f t="shared" si="74"/>
        <v>0.41547408408028097</v>
      </c>
      <c r="M85" s="116">
        <f t="shared" si="74"/>
        <v>0.40564086538701499</v>
      </c>
      <c r="N85" s="178">
        <f t="shared" si="74"/>
        <v>0.39580764669374879</v>
      </c>
      <c r="O85" s="116">
        <f t="shared" si="74"/>
        <v>0.39604517332598416</v>
      </c>
      <c r="P85" s="116">
        <f t="shared" si="74"/>
        <v>0.39628269995821952</v>
      </c>
      <c r="Q85" s="116">
        <f t="shared" si="74"/>
        <v>0.39652022659045488</v>
      </c>
      <c r="R85" s="116">
        <f t="shared" si="74"/>
        <v>0.39675775322269025</v>
      </c>
      <c r="S85" s="116">
        <f t="shared" si="74"/>
        <v>0.39699527985492561</v>
      </c>
      <c r="T85" s="116">
        <f t="shared" si="74"/>
        <v>0.39723280648716097</v>
      </c>
      <c r="U85" s="116">
        <f t="shared" si="74"/>
        <v>0.39747033311939628</v>
      </c>
      <c r="V85" s="116">
        <f t="shared" si="74"/>
        <v>0.3977078597516317</v>
      </c>
      <c r="W85" s="116">
        <f t="shared" si="74"/>
        <v>0.39794538638386712</v>
      </c>
      <c r="X85" s="178">
        <f t="shared" si="74"/>
        <v>0.39818291301610226</v>
      </c>
      <c r="Y85" s="173">
        <f t="shared" si="74"/>
        <v>0.39753836718927682</v>
      </c>
      <c r="Z85" s="173">
        <f t="shared" si="74"/>
        <v>0.39689382136245133</v>
      </c>
      <c r="AA85" s="173">
        <f t="shared" si="74"/>
        <v>0.39624927553562583</v>
      </c>
      <c r="AB85" s="173">
        <f t="shared" si="74"/>
        <v>0.39560472970880034</v>
      </c>
      <c r="AC85" s="173">
        <f t="shared" si="74"/>
        <v>0.3949601838819749</v>
      </c>
      <c r="AD85" s="173">
        <f t="shared" si="74"/>
        <v>0.39431563805514935</v>
      </c>
      <c r="AE85" s="173">
        <f t="shared" si="74"/>
        <v>0.3936710922283238</v>
      </c>
      <c r="AF85" s="173">
        <f t="shared" si="74"/>
        <v>0.39302654640149837</v>
      </c>
      <c r="AG85" s="173">
        <f t="shared" si="74"/>
        <v>0.39238200057467287</v>
      </c>
      <c r="AH85" s="178">
        <f t="shared" si="74"/>
        <v>0.39173745474784766</v>
      </c>
      <c r="AI85" s="127"/>
    </row>
    <row r="86" spans="1:35" s="252" customFormat="1">
      <c r="A86" s="10" t="s">
        <v>121</v>
      </c>
      <c r="B86" s="37"/>
      <c r="C86" s="410">
        <f t="shared" ref="C86:AH86" si="75">C34/C$49</f>
        <v>4.8799841301329104E-2</v>
      </c>
      <c r="D86" s="336">
        <f t="shared" si="75"/>
        <v>5.4406223159363415E-2</v>
      </c>
      <c r="E86" s="336">
        <f t="shared" si="75"/>
        <v>6.065669558613572E-2</v>
      </c>
      <c r="F86" s="336">
        <f t="shared" si="75"/>
        <v>6.7625255086208508E-2</v>
      </c>
      <c r="G86" s="336">
        <f t="shared" si="75"/>
        <v>7.539439927090355E-2</v>
      </c>
      <c r="H86" s="409">
        <f t="shared" si="75"/>
        <v>3.7439657539314643E-2</v>
      </c>
      <c r="I86" s="396">
        <f t="shared" si="75"/>
        <v>4.1740921871371281E-2</v>
      </c>
      <c r="J86" s="396">
        <f t="shared" si="75"/>
        <v>5.1413452420967995E-2</v>
      </c>
      <c r="K86" s="396">
        <f t="shared" si="75"/>
        <v>5.1882676744841892E-2</v>
      </c>
      <c r="L86" s="396">
        <f t="shared" si="75"/>
        <v>5.784323091657477E-2</v>
      </c>
      <c r="M86" s="396">
        <f t="shared" si="75"/>
        <v>6.4488564831050893E-2</v>
      </c>
      <c r="N86" s="397">
        <f>N34/N$49</f>
        <v>7.1897349578669084E-2</v>
      </c>
      <c r="O86" s="396">
        <f t="shared" si="75"/>
        <v>7.2475144761836793E-2</v>
      </c>
      <c r="P86" s="396">
        <f t="shared" si="75"/>
        <v>7.3057583332774026E-2</v>
      </c>
      <c r="Q86" s="396">
        <f t="shared" si="75"/>
        <v>7.3644702607558496E-2</v>
      </c>
      <c r="R86" s="396">
        <f t="shared" si="75"/>
        <v>7.4236540202154519E-2</v>
      </c>
      <c r="S86" s="396">
        <f t="shared" si="75"/>
        <v>7.4833134034823001E-2</v>
      </c>
      <c r="T86" s="396">
        <f t="shared" si="75"/>
        <v>7.5434522328550815E-2</v>
      </c>
      <c r="U86" s="396">
        <f t="shared" si="75"/>
        <v>7.6040743613499662E-2</v>
      </c>
      <c r="V86" s="396">
        <f t="shared" si="75"/>
        <v>7.665183672947469E-2</v>
      </c>
      <c r="W86" s="396">
        <f t="shared" si="75"/>
        <v>7.726784082841287E-2</v>
      </c>
      <c r="X86" s="397">
        <f t="shared" si="75"/>
        <v>7.7888795376891515E-2</v>
      </c>
      <c r="Y86" s="396">
        <f>Y34/Y$49</f>
        <v>7.9011403762999158E-2</v>
      </c>
      <c r="Z86" s="396">
        <f t="shared" si="75"/>
        <v>8.0150192263107295E-2</v>
      </c>
      <c r="AA86" s="396">
        <f t="shared" si="75"/>
        <v>8.1305394080612867E-2</v>
      </c>
      <c r="AB86" s="396">
        <f t="shared" si="75"/>
        <v>8.2477245780064906E-2</v>
      </c>
      <c r="AC86" s="396">
        <f t="shared" si="75"/>
        <v>8.3665987335608746E-2</v>
      </c>
      <c r="AD86" s="396">
        <f t="shared" si="75"/>
        <v>8.4871862180128377E-2</v>
      </c>
      <c r="AE86" s="396">
        <f t="shared" si="75"/>
        <v>8.6095117255097123E-2</v>
      </c>
      <c r="AF86" s="396">
        <f t="shared" si="75"/>
        <v>8.7336003061146805E-2</v>
      </c>
      <c r="AG86" s="396">
        <f t="shared" si="75"/>
        <v>8.8594773709365804E-2</v>
      </c>
      <c r="AH86" s="397">
        <f t="shared" si="75"/>
        <v>8.9871686973336348E-2</v>
      </c>
      <c r="AI86" s="292"/>
    </row>
    <row r="87" spans="1:35">
      <c r="A87" s="9" t="s">
        <v>50</v>
      </c>
      <c r="B87" s="37"/>
      <c r="C87" s="410">
        <f t="shared" ref="C87:AH87" si="76">C35/C$49</f>
        <v>0</v>
      </c>
      <c r="D87" s="336">
        <f t="shared" si="76"/>
        <v>0</v>
      </c>
      <c r="E87" s="336">
        <f t="shared" si="76"/>
        <v>4.7589993505692859E-12</v>
      </c>
      <c r="F87" s="336">
        <f t="shared" si="76"/>
        <v>4.8325260404575802E-12</v>
      </c>
      <c r="G87" s="336">
        <f t="shared" si="76"/>
        <v>4.9315633638192844E-12</v>
      </c>
      <c r="H87" s="409">
        <f t="shared" si="76"/>
        <v>4.8452114947678877E-12</v>
      </c>
      <c r="I87" s="116">
        <f t="shared" si="76"/>
        <v>5.0517405189516727E-12</v>
      </c>
      <c r="J87" s="116">
        <f>J35/J$49</f>
        <v>5.2670729231068713E-12</v>
      </c>
      <c r="K87" s="116">
        <f t="shared" si="76"/>
        <v>5.4915839547282494E-12</v>
      </c>
      <c r="L87" s="116">
        <f t="shared" si="76"/>
        <v>5.7256648563809618E-12</v>
      </c>
      <c r="M87" s="116">
        <f t="shared" si="76"/>
        <v>5.9697235474966511E-12</v>
      </c>
      <c r="N87" s="178">
        <f t="shared" si="76"/>
        <v>6.2241853352313708E-12</v>
      </c>
      <c r="O87" s="116">
        <f t="shared" si="76"/>
        <v>6.2742053196524235E-12</v>
      </c>
      <c r="P87" s="116">
        <f t="shared" si="76"/>
        <v>6.3246272842052903E-12</v>
      </c>
      <c r="Q87" s="116">
        <f t="shared" si="76"/>
        <v>6.3754544593593156E-12</v>
      </c>
      <c r="R87" s="116">
        <f t="shared" si="76"/>
        <v>6.4266901015451593E-12</v>
      </c>
      <c r="S87" s="116">
        <f t="shared" si="76"/>
        <v>6.4783374933634304E-12</v>
      </c>
      <c r="T87" s="116">
        <f t="shared" si="76"/>
        <v>6.5303999437949964E-12</v>
      </c>
      <c r="U87" s="116">
        <f t="shared" si="76"/>
        <v>6.5828807884129901E-12</v>
      </c>
      <c r="V87" s="116">
        <f t="shared" si="76"/>
        <v>6.635783389596512E-12</v>
      </c>
      <c r="W87" s="116">
        <f t="shared" si="76"/>
        <v>6.6891111367460534E-12</v>
      </c>
      <c r="X87" s="178">
        <f t="shared" si="76"/>
        <v>6.7428674465006513E-12</v>
      </c>
      <c r="Y87" s="173">
        <f t="shared" si="76"/>
        <v>6.8400521507347554E-12</v>
      </c>
      <c r="Z87" s="173">
        <f t="shared" si="76"/>
        <v>6.9386375745902978E-12</v>
      </c>
      <c r="AA87" s="173">
        <f t="shared" si="76"/>
        <v>7.0386439065884385E-12</v>
      </c>
      <c r="AB87" s="173">
        <f t="shared" si="76"/>
        <v>7.1400916262267616E-12</v>
      </c>
      <c r="AC87" s="173">
        <f t="shared" si="76"/>
        <v>7.2430015081731089E-12</v>
      </c>
      <c r="AD87" s="173">
        <f t="shared" si="76"/>
        <v>7.3473946265198556E-12</v>
      </c>
      <c r="AE87" s="173">
        <f t="shared" si="76"/>
        <v>7.45329235909951E-12</v>
      </c>
      <c r="AF87" s="173">
        <f t="shared" si="76"/>
        <v>7.5607163918625017E-12</v>
      </c>
      <c r="AG87" s="173">
        <f t="shared" si="76"/>
        <v>7.66968872331808E-12</v>
      </c>
      <c r="AH87" s="178">
        <f t="shared" si="76"/>
        <v>7.7802316690392137E-12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7.4885935330291607E-3</v>
      </c>
      <c r="D89" s="336">
        <f t="shared" si="78"/>
        <v>7.8077054291005423E-3</v>
      </c>
      <c r="E89" s="336">
        <f t="shared" si="78"/>
        <v>8.14041565999476E-3</v>
      </c>
      <c r="F89" s="336">
        <f t="shared" si="78"/>
        <v>8.4873036923886497E-3</v>
      </c>
      <c r="G89" s="336">
        <f t="shared" si="78"/>
        <v>8.8489736858081234E-3</v>
      </c>
      <c r="H89" s="409">
        <f t="shared" si="78"/>
        <v>8.4465770034773974E-3</v>
      </c>
      <c r="I89" s="116">
        <f t="shared" si="78"/>
        <v>8.806511508001413E-3</v>
      </c>
      <c r="J89" s="116">
        <f t="shared" si="78"/>
        <v>9.1817839236690325E-3</v>
      </c>
      <c r="K89" s="116">
        <f t="shared" si="78"/>
        <v>9.5730478458296662E-3</v>
      </c>
      <c r="L89" s="116">
        <f t="shared" si="78"/>
        <v>9.9809847215314839E-3</v>
      </c>
      <c r="M89" s="116">
        <f t="shared" si="78"/>
        <v>1.0406305036367565E-2</v>
      </c>
      <c r="N89" s="178">
        <f t="shared" si="78"/>
        <v>1.0849749551897197E-2</v>
      </c>
      <c r="O89" s="116">
        <f t="shared" si="78"/>
        <v>1.0936942377034693E-2</v>
      </c>
      <c r="P89" s="116">
        <f t="shared" si="78"/>
        <v>1.1024835917771121E-2</v>
      </c>
      <c r="Q89" s="116">
        <f t="shared" si="78"/>
        <v>1.1113435805330717E-2</v>
      </c>
      <c r="R89" s="116">
        <f t="shared" si="78"/>
        <v>1.1202747716192439E-2</v>
      </c>
      <c r="S89" s="116">
        <f t="shared" si="78"/>
        <v>1.1292777372453648E-2</v>
      </c>
      <c r="T89" s="116">
        <f t="shared" si="78"/>
        <v>1.1383530542196714E-2</v>
      </c>
      <c r="U89" s="116">
        <f t="shared" si="78"/>
        <v>1.147501303985857E-2</v>
      </c>
      <c r="V89" s="116">
        <f t="shared" si="78"/>
        <v>1.1567230726603237E-2</v>
      </c>
      <c r="W89" s="116">
        <f t="shared" si="78"/>
        <v>1.1660189510697335E-2</v>
      </c>
      <c r="X89" s="178">
        <f t="shared" si="78"/>
        <v>1.175389534788863E-2</v>
      </c>
      <c r="Y89" s="173">
        <f t="shared" si="78"/>
        <v>1.1923303815732082E-2</v>
      </c>
      <c r="Z89" s="173">
        <f t="shared" si="78"/>
        <v>1.209515396168544E-2</v>
      </c>
      <c r="AA89" s="173">
        <f t="shared" si="78"/>
        <v>1.2269480977566851E-2</v>
      </c>
      <c r="AB89" s="173">
        <f t="shared" si="78"/>
        <v>1.2446320562412853E-2</v>
      </c>
      <c r="AC89" s="173">
        <f t="shared" si="78"/>
        <v>1.2625708929788914E-2</v>
      </c>
      <c r="AD89" s="173">
        <f t="shared" si="78"/>
        <v>1.2807682815205305E-2</v>
      </c>
      <c r="AE89" s="173">
        <f t="shared" si="78"/>
        <v>1.2992279483639877E-2</v>
      </c>
      <c r="AF89" s="173">
        <f t="shared" si="78"/>
        <v>1.3179536737169255E-2</v>
      </c>
      <c r="AG89" s="173">
        <f t="shared" si="78"/>
        <v>1.3369492922710027E-2</v>
      </c>
      <c r="AH89" s="178">
        <f t="shared" si="78"/>
        <v>1.3562186939871494E-2</v>
      </c>
      <c r="AI89" s="127"/>
    </row>
    <row r="90" spans="1:35" s="252" customFormat="1">
      <c r="A90" s="10" t="s">
        <v>347</v>
      </c>
      <c r="B90" s="37"/>
      <c r="C90" s="410">
        <f t="shared" ref="C90:AH90" si="79">C38/C$49</f>
        <v>0</v>
      </c>
      <c r="D90" s="336">
        <f t="shared" si="79"/>
        <v>4.0000000000000007E-4</v>
      </c>
      <c r="E90" s="336">
        <f t="shared" si="79"/>
        <v>8.0475899935056935E-4</v>
      </c>
      <c r="F90" s="336">
        <f t="shared" si="79"/>
        <v>1.5048325260404577E-3</v>
      </c>
      <c r="G90" s="336">
        <f t="shared" si="79"/>
        <v>2.0049315633638197E-3</v>
      </c>
      <c r="H90" s="409">
        <f t="shared" si="79"/>
        <v>3.0048452114947678E-3</v>
      </c>
      <c r="I90" s="396">
        <f t="shared" si="79"/>
        <v>3.1538599261488253E-3</v>
      </c>
      <c r="J90" s="396">
        <f t="shared" si="79"/>
        <v>3.3102645007192888E-3</v>
      </c>
      <c r="K90" s="396">
        <f t="shared" si="79"/>
        <v>3.4744254092802856E-3</v>
      </c>
      <c r="L90" s="396">
        <f t="shared" si="79"/>
        <v>3.6467272998968602E-3</v>
      </c>
      <c r="M90" s="396">
        <f t="shared" si="79"/>
        <v>3.8275738959000437E-3</v>
      </c>
      <c r="N90" s="397">
        <f t="shared" si="79"/>
        <v>4.0173889418574828E-3</v>
      </c>
      <c r="O90" s="396">
        <f t="shared" si="79"/>
        <v>4.0496742485220437E-3</v>
      </c>
      <c r="P90" s="396">
        <f t="shared" si="79"/>
        <v>4.0822190125210872E-3</v>
      </c>
      <c r="Q90" s="396">
        <f t="shared" si="79"/>
        <v>4.1150253189550911E-3</v>
      </c>
      <c r="R90" s="396">
        <f t="shared" si="79"/>
        <v>4.1480952696812167E-3</v>
      </c>
      <c r="S90" s="396">
        <f t="shared" si="79"/>
        <v>4.1814309834479705E-3</v>
      </c>
      <c r="T90" s="396">
        <f t="shared" si="79"/>
        <v>4.2150345960309497E-3</v>
      </c>
      <c r="U90" s="396">
        <f t="shared" si="79"/>
        <v>4.248908260369679E-3</v>
      </c>
      <c r="V90" s="396">
        <f t="shared" si="79"/>
        <v>4.2830541467055458E-3</v>
      </c>
      <c r="W90" s="396">
        <f t="shared" si="79"/>
        <v>4.3174744427208435E-3</v>
      </c>
      <c r="X90" s="397">
        <f t="shared" si="79"/>
        <v>4.3521713536789405E-3</v>
      </c>
      <c r="Y90" s="396">
        <f t="shared" si="79"/>
        <v>4.4148990417344032E-3</v>
      </c>
      <c r="Z90" s="396">
        <f t="shared" si="79"/>
        <v>4.4785308216853878E-3</v>
      </c>
      <c r="AA90" s="396">
        <f t="shared" si="79"/>
        <v>4.543079724175632E-3</v>
      </c>
      <c r="AB90" s="396">
        <f t="shared" si="79"/>
        <v>4.6085589676590696E-3</v>
      </c>
      <c r="AC90" s="396">
        <f t="shared" si="79"/>
        <v>4.6749819611067332E-3</v>
      </c>
      <c r="AD90" s="396">
        <f t="shared" si="79"/>
        <v>4.7423623067526675E-3</v>
      </c>
      <c r="AE90" s="396">
        <f t="shared" si="79"/>
        <v>4.8107138028794239E-3</v>
      </c>
      <c r="AF90" s="396">
        <f t="shared" si="79"/>
        <v>4.8800504466437016E-3</v>
      </c>
      <c r="AG90" s="396">
        <f t="shared" si="79"/>
        <v>4.9503864369427105E-3</v>
      </c>
      <c r="AH90" s="397">
        <f t="shared" si="79"/>
        <v>5.021736177321854E-3</v>
      </c>
      <c r="AI90" s="292"/>
    </row>
    <row r="91" spans="1:35" s="252" customFormat="1">
      <c r="A91" s="10" t="s">
        <v>348</v>
      </c>
      <c r="B91" s="37"/>
      <c r="C91" s="410">
        <f t="shared" ref="C91:AH91" si="80">C39/C$49</f>
        <v>0</v>
      </c>
      <c r="D91" s="336">
        <f t="shared" si="80"/>
        <v>0</v>
      </c>
      <c r="E91" s="336">
        <f t="shared" si="80"/>
        <v>4.7589993505692858E-6</v>
      </c>
      <c r="F91" s="336">
        <f t="shared" si="80"/>
        <v>4.8325260404575802E-6</v>
      </c>
      <c r="G91" s="336">
        <f t="shared" si="80"/>
        <v>4.9315633638192847E-6</v>
      </c>
      <c r="H91" s="409">
        <f t="shared" si="80"/>
        <v>4.8452114947678881E-6</v>
      </c>
      <c r="I91" s="396">
        <f t="shared" si="80"/>
        <v>5.0517405189516729E-6</v>
      </c>
      <c r="J91" s="396">
        <f t="shared" si="80"/>
        <v>5.2670729231068719E-6</v>
      </c>
      <c r="K91" s="396">
        <f t="shared" si="80"/>
        <v>5.4915839547282494E-6</v>
      </c>
      <c r="L91" s="396">
        <f t="shared" si="80"/>
        <v>5.725664856380962E-6</v>
      </c>
      <c r="M91" s="396">
        <f t="shared" si="80"/>
        <v>5.9697235474966524E-6</v>
      </c>
      <c r="N91" s="397">
        <f t="shared" si="80"/>
        <v>6.2241853352313708E-6</v>
      </c>
      <c r="O91" s="396">
        <f t="shared" si="80"/>
        <v>6.2742053196524241E-6</v>
      </c>
      <c r="P91" s="396">
        <f t="shared" si="80"/>
        <v>6.3246272842052901E-6</v>
      </c>
      <c r="Q91" s="396">
        <f t="shared" si="80"/>
        <v>6.3754544593593142E-6</v>
      </c>
      <c r="R91" s="396">
        <f t="shared" si="80"/>
        <v>6.4266901015451582E-6</v>
      </c>
      <c r="S91" s="396">
        <f t="shared" si="80"/>
        <v>6.4783374933634286E-6</v>
      </c>
      <c r="T91" s="396">
        <f t="shared" si="80"/>
        <v>6.5303999437949951E-6</v>
      </c>
      <c r="U91" s="396">
        <f t="shared" si="80"/>
        <v>6.582880788412989E-6</v>
      </c>
      <c r="V91" s="396">
        <f t="shared" si="80"/>
        <v>6.6357833895965118E-6</v>
      </c>
      <c r="W91" s="396">
        <f t="shared" si="80"/>
        <v>6.6891111367460528E-6</v>
      </c>
      <c r="X91" s="397">
        <f t="shared" si="80"/>
        <v>6.7428674465006517E-6</v>
      </c>
      <c r="Y91" s="396">
        <f t="shared" si="80"/>
        <v>6.8400521507347556E-6</v>
      </c>
      <c r="Z91" s="396">
        <f t="shared" si="80"/>
        <v>6.9386375745902973E-6</v>
      </c>
      <c r="AA91" s="396">
        <f t="shared" si="80"/>
        <v>7.0386439065884402E-6</v>
      </c>
      <c r="AB91" s="396">
        <f t="shared" si="80"/>
        <v>7.140091626226763E-6</v>
      </c>
      <c r="AC91" s="396">
        <f t="shared" si="80"/>
        <v>7.2430015081731106E-6</v>
      </c>
      <c r="AD91" s="396">
        <f t="shared" si="80"/>
        <v>7.3473946265198579E-6</v>
      </c>
      <c r="AE91" s="396">
        <f t="shared" si="80"/>
        <v>7.4532923590995113E-6</v>
      </c>
      <c r="AF91" s="396">
        <f t="shared" si="80"/>
        <v>7.5607163918625025E-6</v>
      </c>
      <c r="AG91" s="396">
        <f t="shared" si="80"/>
        <v>7.6696887233180807E-6</v>
      </c>
      <c r="AH91" s="397">
        <f t="shared" si="80"/>
        <v>7.7802316690392109E-6</v>
      </c>
      <c r="AI91" s="292"/>
    </row>
    <row r="92" spans="1:35">
      <c r="A92" s="9" t="s">
        <v>344</v>
      </c>
      <c r="B92" s="37"/>
      <c r="C92" s="410">
        <f t="shared" ref="C92:AH92" si="81">C40/C$49</f>
        <v>4.9593334655822259E-7</v>
      </c>
      <c r="D92" s="336">
        <f t="shared" si="81"/>
        <v>5.170726983152041E-7</v>
      </c>
      <c r="E92" s="336">
        <f t="shared" si="81"/>
        <v>5.3911312316155673E-7</v>
      </c>
      <c r="F92" s="336">
        <f t="shared" si="81"/>
        <v>5.6209302968812682E-7</v>
      </c>
      <c r="G92" s="336">
        <f t="shared" si="81"/>
        <v>5.8605246366688177E-7</v>
      </c>
      <c r="H92" s="409">
        <f t="shared" si="81"/>
        <v>4.8452114947678874E-7</v>
      </c>
      <c r="I92" s="116">
        <f t="shared" si="81"/>
        <v>5.0517405189516723E-7</v>
      </c>
      <c r="J92" s="116">
        <f t="shared" si="81"/>
        <v>5.2670729231068709E-7</v>
      </c>
      <c r="K92" s="116">
        <f t="shared" si="81"/>
        <v>5.4915839547282483E-7</v>
      </c>
      <c r="L92" s="116">
        <f t="shared" si="81"/>
        <v>5.7256648563809608E-7</v>
      </c>
      <c r="M92" s="116">
        <f t="shared" si="81"/>
        <v>5.9697235474966518E-7</v>
      </c>
      <c r="N92" s="178">
        <f t="shared" si="81"/>
        <v>6.2241853352313714E-7</v>
      </c>
      <c r="O92" s="116">
        <f t="shared" si="81"/>
        <v>6.2742053196524239E-7</v>
      </c>
      <c r="P92" s="116">
        <f t="shared" si="81"/>
        <v>6.3246272842052897E-7</v>
      </c>
      <c r="Q92" s="116">
        <f t="shared" si="81"/>
        <v>6.3754544593593153E-7</v>
      </c>
      <c r="R92" s="116">
        <f t="shared" si="81"/>
        <v>6.4266901015451589E-7</v>
      </c>
      <c r="S92" s="116">
        <f t="shared" si="81"/>
        <v>6.4783374933634291E-7</v>
      </c>
      <c r="T92" s="116">
        <f t="shared" si="81"/>
        <v>6.5303999437949951E-7</v>
      </c>
      <c r="U92" s="116">
        <f t="shared" si="81"/>
        <v>6.5828807884129892E-7</v>
      </c>
      <c r="V92" s="116">
        <f t="shared" si="81"/>
        <v>6.6357833895965114E-7</v>
      </c>
      <c r="W92" s="116">
        <f t="shared" si="81"/>
        <v>6.6891111367460535E-7</v>
      </c>
      <c r="X92" s="178">
        <f t="shared" si="81"/>
        <v>6.742867446500651E-7</v>
      </c>
      <c r="Y92" s="173">
        <f t="shared" si="81"/>
        <v>6.8400521507347556E-7</v>
      </c>
      <c r="Z92" s="173">
        <f t="shared" si="81"/>
        <v>6.9386375745902978E-7</v>
      </c>
      <c r="AA92" s="173">
        <f t="shared" si="81"/>
        <v>7.0386439065884387E-7</v>
      </c>
      <c r="AB92" s="173">
        <f t="shared" si="81"/>
        <v>7.140091626226761E-7</v>
      </c>
      <c r="AC92" s="173">
        <f t="shared" si="81"/>
        <v>7.2430015081731099E-7</v>
      </c>
      <c r="AD92" s="173">
        <f t="shared" si="81"/>
        <v>7.3473946265198575E-7</v>
      </c>
      <c r="AE92" s="173">
        <f t="shared" si="81"/>
        <v>7.4532923590995113E-7</v>
      </c>
      <c r="AF92" s="173">
        <f t="shared" si="81"/>
        <v>7.5607163918625025E-7</v>
      </c>
      <c r="AG92" s="173">
        <f t="shared" si="81"/>
        <v>7.6696887233180809E-7</v>
      </c>
      <c r="AH92" s="178">
        <f t="shared" si="81"/>
        <v>7.7802316690392113E-7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4.8452114947678874E-5</v>
      </c>
      <c r="I93" s="116">
        <f t="shared" si="82"/>
        <v>9.882949034547989E-5</v>
      </c>
      <c r="J93" s="116">
        <f t="shared" si="82"/>
        <v>1.4667381765271487E-4</v>
      </c>
      <c r="K93" s="116">
        <f t="shared" si="82"/>
        <v>1.9070098833651248E-4</v>
      </c>
      <c r="L93" s="116">
        <f t="shared" si="82"/>
        <v>2.3360165557132572E-4</v>
      </c>
      <c r="M93" s="116">
        <f t="shared" si="82"/>
        <v>2.7819930885000408E-4</v>
      </c>
      <c r="N93" s="178">
        <f t="shared" si="82"/>
        <v>3.258601926717783E-4</v>
      </c>
      <c r="O93" s="116">
        <f t="shared" si="82"/>
        <v>3.722127859481879E-4</v>
      </c>
      <c r="P93" s="116">
        <f t="shared" si="82"/>
        <v>4.2224242672015663E-4</v>
      </c>
      <c r="Q93" s="116">
        <f t="shared" si="82"/>
        <v>4.7072944996281091E-4</v>
      </c>
      <c r="R93" s="116">
        <f t="shared" si="82"/>
        <v>5.1867522471008758E-4</v>
      </c>
      <c r="S93" s="116">
        <f t="shared" si="82"/>
        <v>5.6598625914011799E-4</v>
      </c>
      <c r="T93" s="116">
        <f t="shared" si="82"/>
        <v>6.1821549914191116E-4</v>
      </c>
      <c r="U93" s="116">
        <f t="shared" si="82"/>
        <v>6.5605490117762828E-4</v>
      </c>
      <c r="V93" s="116">
        <f t="shared" si="82"/>
        <v>6.9476609101778715E-4</v>
      </c>
      <c r="W93" s="116">
        <f t="shared" si="82"/>
        <v>7.4699642557421626E-4</v>
      </c>
      <c r="X93" s="178">
        <f t="shared" si="82"/>
        <v>7.8913159417215537E-4</v>
      </c>
      <c r="Y93" s="173">
        <f t="shared" si="82"/>
        <v>8.3145844301200369E-4</v>
      </c>
      <c r="Z93" s="173">
        <f t="shared" si="82"/>
        <v>8.7730787722388708E-4</v>
      </c>
      <c r="AA93" s="173">
        <f t="shared" si="82"/>
        <v>9.1522812837276839E-4</v>
      </c>
      <c r="AB93" s="173">
        <f t="shared" si="82"/>
        <v>9.5677852808220159E-4</v>
      </c>
      <c r="AC93" s="173">
        <f t="shared" si="82"/>
        <v>1.0059225250344738E-3</v>
      </c>
      <c r="AD93" s="173">
        <f t="shared" si="82"/>
        <v>1.0403997850098334E-3</v>
      </c>
      <c r="AE93" s="173">
        <f t="shared" si="82"/>
        <v>1.0841431517761581E-3</v>
      </c>
      <c r="AF93" s="173">
        <f t="shared" si="82"/>
        <v>1.1303546547758829E-3</v>
      </c>
      <c r="AG93" s="173">
        <f t="shared" si="82"/>
        <v>1.1779798202033456E-3</v>
      </c>
      <c r="AH93" s="178">
        <f t="shared" si="82"/>
        <v>1.2321443408413459E-3</v>
      </c>
      <c r="AI93" s="127"/>
    </row>
    <row r="94" spans="1:35">
      <c r="A94" s="9" t="s">
        <v>53</v>
      </c>
      <c r="B94" s="37"/>
      <c r="C94" s="410">
        <f t="shared" ref="C94:AH94" si="83">C42/C$49</f>
        <v>3.0747867486609799E-3</v>
      </c>
      <c r="D94" s="336">
        <f t="shared" si="83"/>
        <v>3.9437419196402595E-3</v>
      </c>
      <c r="E94" s="336">
        <f t="shared" si="83"/>
        <v>5.0582695972333572E-3</v>
      </c>
      <c r="F94" s="336">
        <f t="shared" si="83"/>
        <v>6.4877702039461103E-3</v>
      </c>
      <c r="G94" s="336">
        <f t="shared" si="83"/>
        <v>8.3212571829372022E-3</v>
      </c>
      <c r="H94" s="409">
        <f t="shared" si="83"/>
        <v>7.4636623031405008E-3</v>
      </c>
      <c r="I94" s="116">
        <f t="shared" si="83"/>
        <v>1.8816565502319475E-2</v>
      </c>
      <c r="J94" s="116">
        <f t="shared" si="83"/>
        <v>2.6103209921653957E-2</v>
      </c>
      <c r="K94" s="116">
        <f t="shared" si="83"/>
        <v>2.5453396889038495E-2</v>
      </c>
      <c r="L94" s="116">
        <f t="shared" si="83"/>
        <v>2.4935874274834329E-2</v>
      </c>
      <c r="M94" s="116">
        <f t="shared" si="83"/>
        <v>2.5907136388683406E-2</v>
      </c>
      <c r="N94" s="178">
        <f t="shared" si="83"/>
        <v>3.322866531748328E-2</v>
      </c>
      <c r="O94" s="116">
        <f t="shared" si="83"/>
        <v>3.3495703850559222E-2</v>
      </c>
      <c r="P94" s="116">
        <f t="shared" si="83"/>
        <v>3.3764888409587926E-2</v>
      </c>
      <c r="Q94" s="116">
        <f t="shared" si="83"/>
        <v>3.4036236240872167E-2</v>
      </c>
      <c r="R94" s="116">
        <f t="shared" si="83"/>
        <v>3.4309764729312728E-2</v>
      </c>
      <c r="S94" s="116">
        <f t="shared" si="83"/>
        <v>3.4585491399522245E-2</v>
      </c>
      <c r="T94" s="116">
        <f t="shared" si="83"/>
        <v>3.4863433916947982E-2</v>
      </c>
      <c r="U94" s="116">
        <f t="shared" si="83"/>
        <v>3.514361008900365E-2</v>
      </c>
      <c r="V94" s="116">
        <f t="shared" si="83"/>
        <v>3.5426037866210285E-2</v>
      </c>
      <c r="W94" s="116">
        <f t="shared" si="83"/>
        <v>3.5710735343346324E-2</v>
      </c>
      <c r="X94" s="178">
        <f t="shared" si="83"/>
        <v>3.5997720760606887E-2</v>
      </c>
      <c r="Y94" s="173">
        <f t="shared" si="83"/>
        <v>3.6516554605848357E-2</v>
      </c>
      <c r="Z94" s="173">
        <f t="shared" si="83"/>
        <v>3.7042866384505616E-2</v>
      </c>
      <c r="AA94" s="173">
        <f t="shared" si="83"/>
        <v>3.7576763875762087E-2</v>
      </c>
      <c r="AB94" s="173">
        <f t="shared" si="83"/>
        <v>3.8118356412218654E-2</v>
      </c>
      <c r="AC94" s="173">
        <f t="shared" si="83"/>
        <v>3.8667754902283025E-2</v>
      </c>
      <c r="AD94" s="173">
        <f t="shared" si="83"/>
        <v>3.9225071852881759E-2</v>
      </c>
      <c r="AE94" s="173">
        <f t="shared" si="83"/>
        <v>3.9790421392499678E-2</v>
      </c>
      <c r="AF94" s="173">
        <f t="shared" si="83"/>
        <v>4.0363919294551319E-2</v>
      </c>
      <c r="AG94" s="173">
        <f t="shared" si="83"/>
        <v>4.0945683001089257E-2</v>
      </c>
      <c r="AH94" s="178">
        <f t="shared" si="83"/>
        <v>4.1535831646854093E-2</v>
      </c>
      <c r="AI94" s="127"/>
    </row>
    <row r="95" spans="1:35" s="378" customFormat="1">
      <c r="A95" s="373" t="s">
        <v>540</v>
      </c>
      <c r="B95" s="374"/>
      <c r="C95" s="375">
        <f>SUM(C86:C94)</f>
        <v>5.9363717516365794E-2</v>
      </c>
      <c r="D95" s="375">
        <f>SUM(D86:D94)</f>
        <v>6.6558187580802522E-2</v>
      </c>
      <c r="E95" s="375">
        <f>SUM(E86:E94)</f>
        <v>7.4665437959947123E-2</v>
      </c>
      <c r="F95" s="375">
        <f>SUM(F86:F94)</f>
        <v>8.41105561324864E-2</v>
      </c>
      <c r="G95" s="375">
        <f t="shared" ref="G95:AH95" si="84">SUM(G86:G94)</f>
        <v>9.4575079323771752E-2</v>
      </c>
      <c r="H95" s="375">
        <f t="shared" si="84"/>
        <v>5.640852390986445E-2</v>
      </c>
      <c r="I95" s="375">
        <f t="shared" si="84"/>
        <v>7.2622245217809064E-2</v>
      </c>
      <c r="J95" s="375">
        <f t="shared" si="84"/>
        <v>9.0161178370145478E-2</v>
      </c>
      <c r="K95" s="375">
        <f t="shared" si="84"/>
        <v>9.0580288625168648E-2</v>
      </c>
      <c r="L95" s="375">
        <f t="shared" si="84"/>
        <v>9.664671710547644E-2</v>
      </c>
      <c r="M95" s="375">
        <f t="shared" si="84"/>
        <v>0.10491434616272388</v>
      </c>
      <c r="N95" s="376">
        <f t="shared" si="84"/>
        <v>0.12032586019267176</v>
      </c>
      <c r="O95" s="375">
        <f t="shared" si="84"/>
        <v>0.12133657965602676</v>
      </c>
      <c r="P95" s="375">
        <f t="shared" si="84"/>
        <v>0.12235872619571157</v>
      </c>
      <c r="Q95" s="375">
        <f t="shared" si="84"/>
        <v>0.12338714242896003</v>
      </c>
      <c r="R95" s="375">
        <f t="shared" si="84"/>
        <v>0.12442289250758938</v>
      </c>
      <c r="S95" s="375">
        <f t="shared" si="84"/>
        <v>0.12546594622710799</v>
      </c>
      <c r="T95" s="375">
        <f t="shared" si="84"/>
        <v>0.12652192032933696</v>
      </c>
      <c r="U95" s="375">
        <f t="shared" si="84"/>
        <v>0.12757157107935932</v>
      </c>
      <c r="V95" s="375">
        <f t="shared" si="84"/>
        <v>0.12863022492837589</v>
      </c>
      <c r="W95" s="375">
        <f t="shared" si="84"/>
        <v>0.12971059457969111</v>
      </c>
      <c r="X95" s="376">
        <f t="shared" si="84"/>
        <v>0.13078913159417216</v>
      </c>
      <c r="Y95" s="375">
        <f t="shared" si="84"/>
        <v>0.13270514373353187</v>
      </c>
      <c r="Z95" s="375">
        <f t="shared" si="84"/>
        <v>0.1346516838164783</v>
      </c>
      <c r="AA95" s="375">
        <f t="shared" si="84"/>
        <v>0.13661768930182611</v>
      </c>
      <c r="AB95" s="375">
        <f t="shared" si="84"/>
        <v>0.13861511435836665</v>
      </c>
      <c r="AC95" s="375">
        <f t="shared" si="84"/>
        <v>0.14064832296272389</v>
      </c>
      <c r="AD95" s="375">
        <f t="shared" si="84"/>
        <v>0.14269546108141451</v>
      </c>
      <c r="AE95" s="375">
        <f t="shared" si="84"/>
        <v>0.14478087371494056</v>
      </c>
      <c r="AF95" s="375">
        <f t="shared" si="84"/>
        <v>0.14689818098987872</v>
      </c>
      <c r="AG95" s="375">
        <f t="shared" si="84"/>
        <v>0.14904675255557648</v>
      </c>
      <c r="AH95" s="376">
        <f t="shared" si="84"/>
        <v>0.15123214434084131</v>
      </c>
      <c r="AI95" s="377"/>
    </row>
    <row r="96" spans="1:35">
      <c r="A96" s="10" t="s">
        <v>543</v>
      </c>
      <c r="B96" s="37"/>
      <c r="C96" s="332"/>
      <c r="D96" s="332">
        <f>D95/C95-1</f>
        <v>0.12119305133566316</v>
      </c>
      <c r="E96" s="332">
        <f t="shared" ref="E96:O96" si="85">E95/D95-1</f>
        <v>0.12180695829949229</v>
      </c>
      <c r="F96" s="332">
        <f t="shared" si="85"/>
        <v>0.12649920003959436</v>
      </c>
      <c r="G96" s="332">
        <f t="shared" si="85"/>
        <v>0.12441391036342941</v>
      </c>
      <c r="H96" s="284"/>
      <c r="I96" s="164">
        <f t="shared" si="85"/>
        <v>0.28743388736519027</v>
      </c>
      <c r="J96" s="164">
        <f t="shared" si="85"/>
        <v>0.2415091009611936</v>
      </c>
      <c r="K96" s="164">
        <f t="shared" si="85"/>
        <v>4.6484558276576049E-3</v>
      </c>
      <c r="L96" s="164">
        <f t="shared" si="85"/>
        <v>6.6972942705132654E-2</v>
      </c>
      <c r="M96" s="164">
        <f t="shared" si="85"/>
        <v>8.5544851443060121E-2</v>
      </c>
      <c r="N96" s="164">
        <f t="shared" si="85"/>
        <v>0.14689615475508333</v>
      </c>
      <c r="O96" s="172">
        <f t="shared" si="85"/>
        <v>8.3998523819948101E-3</v>
      </c>
      <c r="P96" s="172">
        <f t="shared" ref="P96:AH96" si="86">P95/O95-1</f>
        <v>8.4240592785989055E-3</v>
      </c>
      <c r="Q96" s="172">
        <f t="shared" si="86"/>
        <v>8.4049275864763739E-3</v>
      </c>
      <c r="R96" s="172">
        <f t="shared" si="86"/>
        <v>8.3943112567477218E-3</v>
      </c>
      <c r="S96" s="172">
        <f t="shared" si="86"/>
        <v>8.3831335094142201E-3</v>
      </c>
      <c r="T96" s="172">
        <f t="shared" si="86"/>
        <v>8.4164200245819831E-3</v>
      </c>
      <c r="U96" s="172">
        <f t="shared" si="86"/>
        <v>8.2961967957024818E-3</v>
      </c>
      <c r="V96" s="172">
        <f t="shared" si="86"/>
        <v>8.2985091432166147E-3</v>
      </c>
      <c r="W96" s="172">
        <f t="shared" si="86"/>
        <v>8.399034145488038E-3</v>
      </c>
      <c r="X96" s="185">
        <f t="shared" si="86"/>
        <v>8.3149492759315713E-3</v>
      </c>
      <c r="Y96" s="172">
        <f t="shared" si="86"/>
        <v>1.4649628115162905E-2</v>
      </c>
      <c r="Z96" s="172">
        <f t="shared" si="86"/>
        <v>1.4668158506764506E-2</v>
      </c>
      <c r="AA96" s="172">
        <f t="shared" si="86"/>
        <v>1.460067508719276E-2</v>
      </c>
      <c r="AB96" s="172">
        <f t="shared" si="86"/>
        <v>1.4620544870493912E-2</v>
      </c>
      <c r="AC96" s="172">
        <f t="shared" si="86"/>
        <v>1.4668015199992723E-2</v>
      </c>
      <c r="AD96" s="172">
        <f t="shared" si="86"/>
        <v>1.4555012641232601E-2</v>
      </c>
      <c r="AE96" s="172">
        <f t="shared" si="86"/>
        <v>1.4614428642101052E-2</v>
      </c>
      <c r="AF96" s="172">
        <f t="shared" si="86"/>
        <v>1.4624219488459156E-2</v>
      </c>
      <c r="AG96" s="172">
        <f t="shared" si="86"/>
        <v>1.4626263927977279E-2</v>
      </c>
      <c r="AH96" s="185">
        <f t="shared" si="86"/>
        <v>1.4662458240745302E-2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251.99849999999998</v>
      </c>
      <c r="D102" s="331">
        <f>D31*Inputs!$C$48</f>
        <v>271.38509693666413</v>
      </c>
      <c r="E102" s="331">
        <f>E31*Inputs!$C$48</f>
        <v>251.20756251973978</v>
      </c>
      <c r="F102" s="331">
        <f>F31*Inputs!$C$48</f>
        <v>241.77265334723586</v>
      </c>
      <c r="G102" s="331">
        <f>G31*Inputs!$C$48</f>
        <v>231.41721504085041</v>
      </c>
      <c r="H102" s="402">
        <f>H31*Inputs!$C$48</f>
        <v>194.59019552274691</v>
      </c>
      <c r="I102" s="14">
        <f>I31*Inputs!$C$48</f>
        <v>191.08783603617735</v>
      </c>
      <c r="J102" s="14">
        <f>J31*Inputs!$C$48</f>
        <v>193.4252563311845</v>
      </c>
      <c r="K102" s="14">
        <f>K31*Inputs!$C$48</f>
        <v>198.65774604130462</v>
      </c>
      <c r="L102" s="14">
        <f>L31*Inputs!$C$48</f>
        <v>203.02311870768389</v>
      </c>
      <c r="M102" s="14">
        <f>M31*Inputs!$C$48</f>
        <v>204.87953556723269</v>
      </c>
      <c r="N102" s="182">
        <f>N31*Inputs!$C$48</f>
        <v>204.37186142185715</v>
      </c>
      <c r="O102" s="14">
        <f>O31*Inputs!$C$48</f>
        <v>204.60376190924336</v>
      </c>
      <c r="P102" s="14">
        <f>P31*Inputs!$C$48</f>
        <v>203.02800357650008</v>
      </c>
      <c r="Q102" s="14">
        <f>Q31*Inputs!$C$48</f>
        <v>202.47162400155457</v>
      </c>
      <c r="R102" s="14">
        <f>R31*Inputs!$C$48</f>
        <v>202.25198557627465</v>
      </c>
      <c r="S102" s="14">
        <f>S31*Inputs!$C$48</f>
        <v>202.31630834780086</v>
      </c>
      <c r="T102" s="14">
        <f>T31*Inputs!$C$48</f>
        <v>200.77921977941284</v>
      </c>
      <c r="U102" s="14">
        <f>U31*Inputs!$C$48</f>
        <v>203.87443028331268</v>
      </c>
      <c r="V102" s="14">
        <f>V31*Inputs!$C$48</f>
        <v>206.38921976097367</v>
      </c>
      <c r="W102" s="14">
        <f>W31*Inputs!$C$48</f>
        <v>204.87790439391352</v>
      </c>
      <c r="X102" s="187">
        <f>X31*Inputs!$C$48</f>
        <v>206.18273666053312</v>
      </c>
      <c r="Y102" s="158">
        <f>Y31*Inputs!$C$48</f>
        <v>206.86222770040837</v>
      </c>
      <c r="Z102" s="158">
        <f>Z31*Inputs!$C$48</f>
        <v>206.60750847014509</v>
      </c>
      <c r="AA102" s="158">
        <f>AA31*Inputs!$C$48</f>
        <v>208.13221589728997</v>
      </c>
      <c r="AB102" s="158">
        <f>AB31*Inputs!$C$48</f>
        <v>208.70821314094448</v>
      </c>
      <c r="AC102" s="158">
        <f>AC31*Inputs!$C$48</f>
        <v>207.625960399901</v>
      </c>
      <c r="AD102" s="158">
        <f>AD31*Inputs!$C$48</f>
        <v>209.52785812930918</v>
      </c>
      <c r="AE102" s="158">
        <f>AE31*Inputs!$C$48</f>
        <v>209.4731320351801</v>
      </c>
      <c r="AF102" s="158">
        <f>AF31*Inputs!$C$48</f>
        <v>208.93796334409799</v>
      </c>
      <c r="AG102" s="158">
        <f>AG31*Inputs!$C$48</f>
        <v>208.16838106278053</v>
      </c>
      <c r="AH102" s="187">
        <f>AH31*Inputs!$C$48</f>
        <v>206.33241671696666</v>
      </c>
    </row>
    <row r="103" spans="1:36">
      <c r="A103" s="10" t="s">
        <v>59</v>
      </c>
      <c r="B103" s="35">
        <v>0</v>
      </c>
      <c r="C103" s="331">
        <f>C32*Inputs!$C$53</f>
        <v>1234.3800000000001</v>
      </c>
      <c r="D103" s="331">
        <f>D32*Inputs!$C$53</f>
        <v>1347.1223592822137</v>
      </c>
      <c r="E103" s="331">
        <f>E32*Inputs!$C$53</f>
        <v>1264.1682081323377</v>
      </c>
      <c r="F103" s="331">
        <f>F32*Inputs!$C$53</f>
        <v>1234.0155957195511</v>
      </c>
      <c r="G103" s="331">
        <f>G32*Inputs!$C$53</f>
        <v>1198.5345992191271</v>
      </c>
      <c r="H103" s="402">
        <f>H32*Inputs!$C$53</f>
        <v>1314.1423095405789</v>
      </c>
      <c r="I103" s="14">
        <f>I32*Inputs!$C$53</f>
        <v>1260.6828873576253</v>
      </c>
      <c r="J103" s="14">
        <f>J32*Inputs!$C$53</f>
        <v>1246.0234685428786</v>
      </c>
      <c r="K103" s="14">
        <f>K32*Inputs!$C$53</f>
        <v>1248.9294975907833</v>
      </c>
      <c r="L103" s="14">
        <f>L32*Inputs!$C$53</f>
        <v>1244.9905722838375</v>
      </c>
      <c r="M103" s="14">
        <f>M32*Inputs!$C$53</f>
        <v>1224.7993294217979</v>
      </c>
      <c r="N103" s="182">
        <f>N32*Inputs!$C$53</f>
        <v>1190.3617026047007</v>
      </c>
      <c r="O103" s="14">
        <f>O32*Inputs!$C$53</f>
        <v>1191.7124044923257</v>
      </c>
      <c r="P103" s="14">
        <f>P32*Inputs!$C$53</f>
        <v>1182.534417078559</v>
      </c>
      <c r="Q103" s="14">
        <f>Q32*Inputs!$C$53</f>
        <v>1179.2937902451054</v>
      </c>
      <c r="R103" s="14">
        <f>R32*Inputs!$C$53</f>
        <v>1178.0145086059665</v>
      </c>
      <c r="S103" s="14">
        <f>S32*Inputs!$C$53</f>
        <v>1178.3891558949695</v>
      </c>
      <c r="T103" s="14">
        <f>T32*Inputs!$C$53</f>
        <v>1169.4364001066187</v>
      </c>
      <c r="U103" s="14">
        <f>U32*Inputs!$C$53</f>
        <v>1187.4644203032781</v>
      </c>
      <c r="V103" s="14">
        <f>V32*Inputs!$C$53</f>
        <v>1202.1117844927244</v>
      </c>
      <c r="W103" s="14">
        <f>W32*Inputs!$C$53</f>
        <v>1193.3091444375318</v>
      </c>
      <c r="X103" s="187">
        <f>X32*Inputs!$C$53</f>
        <v>1200.9091259012253</v>
      </c>
      <c r="Y103" s="158">
        <f>Y32*Inputs!$C$53</f>
        <v>1204.8668141343474</v>
      </c>
      <c r="Z103" s="158">
        <f>Z32*Inputs!$C$53</f>
        <v>1203.3832047249459</v>
      </c>
      <c r="AA103" s="158">
        <f>AA32*Inputs!$C$53</f>
        <v>1212.2638466896626</v>
      </c>
      <c r="AB103" s="158">
        <f>AB32*Inputs!$C$53</f>
        <v>1215.6187364229263</v>
      </c>
      <c r="AC103" s="158">
        <f>AC32*Inputs!$C$53</f>
        <v>1209.3151670053248</v>
      </c>
      <c r="AD103" s="158">
        <f>AD32*Inputs!$C$53</f>
        <v>1220.3927498173987</v>
      </c>
      <c r="AE103" s="158">
        <f>AE32*Inputs!$C$53</f>
        <v>1220.0739982723903</v>
      </c>
      <c r="AF103" s="158">
        <f>AF32*Inputs!$C$53</f>
        <v>1216.9569140032295</v>
      </c>
      <c r="AG103" s="158">
        <f>AG32*Inputs!$C$53</f>
        <v>1212.4744903060036</v>
      </c>
      <c r="AH103" s="187">
        <f>AH32*Inputs!$C$53</f>
        <v>1201.7809357755525</v>
      </c>
    </row>
    <row r="104" spans="1:36">
      <c r="A104" s="10" t="s">
        <v>121</v>
      </c>
      <c r="B104" s="35">
        <v>1</v>
      </c>
      <c r="C104" s="331">
        <f>C34*Inputs!$C$46</f>
        <v>206.64</v>
      </c>
      <c r="D104" s="331">
        <f>D34*Inputs!$C$46</f>
        <v>253.60753644836186</v>
      </c>
      <c r="E104" s="331">
        <f>E34*Inputs!$C$46</f>
        <v>267.65933623346166</v>
      </c>
      <c r="F104" s="331">
        <f>F34*Inputs!$C$46</f>
        <v>293.86915764574127</v>
      </c>
      <c r="G104" s="331">
        <f>G34*Inputs!$C$46</f>
        <v>321.05080435644862</v>
      </c>
      <c r="H104" s="402">
        <f>H34*Inputs!$C$46</f>
        <v>162.2700699803554</v>
      </c>
      <c r="I104" s="14">
        <f>I34*Inputs!$C$46</f>
        <v>177.38821807834762</v>
      </c>
      <c r="J104" s="14">
        <f>J34*Inputs!$C$46</f>
        <v>220.83338078716943</v>
      </c>
      <c r="K104" s="14">
        <f>K34*Inputs!$C$46</f>
        <v>228.53289249221413</v>
      </c>
      <c r="L104" s="14">
        <f>L34*Inputs!$C$46</f>
        <v>259.99555659766776</v>
      </c>
      <c r="M104" s="14">
        <f>M34*Inputs!$C$46</f>
        <v>292.0768999139911</v>
      </c>
      <c r="N104" s="182">
        <f>N34*Inputs!$C$46</f>
        <v>324.33880006662423</v>
      </c>
      <c r="O104" s="14">
        <f>O34*Inputs!$C$46</f>
        <v>327.11999102802071</v>
      </c>
      <c r="P104" s="14">
        <f>P34*Inputs!$C$46</f>
        <v>327.01316533133553</v>
      </c>
      <c r="Q104" s="14">
        <f>Q34*Inputs!$C$46</f>
        <v>328.54089644931071</v>
      </c>
      <c r="R104" s="14">
        <f>R34*Inputs!$C$46</f>
        <v>330.62386575882601</v>
      </c>
      <c r="S104" s="14">
        <f>S34*Inputs!$C$46</f>
        <v>333.18741351469527</v>
      </c>
      <c r="T104" s="14">
        <f>T34*Inputs!$C$46</f>
        <v>333.11401322481424</v>
      </c>
      <c r="U104" s="14">
        <f>U34*Inputs!$C$46</f>
        <v>340.76383824340894</v>
      </c>
      <c r="V104" s="14">
        <f>V34*Inputs!$C$46</f>
        <v>347.53176474708476</v>
      </c>
      <c r="W104" s="14">
        <f>W34*Inputs!$C$46</f>
        <v>347.55179047061347</v>
      </c>
      <c r="X104" s="187">
        <f>X34*Inputs!$C$46</f>
        <v>352.36581775338351</v>
      </c>
      <c r="Y104" s="158">
        <f>Y34*Inputs!$C$46</f>
        <v>359.20388894267927</v>
      </c>
      <c r="Z104" s="158">
        <f>Z34*Inputs!$C$46</f>
        <v>364.52341923767545</v>
      </c>
      <c r="AA104" s="158">
        <f>AA34*Inputs!$C$46</f>
        <v>373.11206305002207</v>
      </c>
      <c r="AB104" s="158">
        <f>AB34*Inputs!$C$46</f>
        <v>380.15553570077282</v>
      </c>
      <c r="AC104" s="158">
        <f>AC34*Inputs!$C$46</f>
        <v>384.26106570907672</v>
      </c>
      <c r="AD104" s="158">
        <f>AD34*Inputs!$C$46</f>
        <v>394.01305174831953</v>
      </c>
      <c r="AE104" s="158">
        <f>AE34*Inputs!$C$46</f>
        <v>400.24178564869106</v>
      </c>
      <c r="AF104" s="158">
        <f>AF34*Inputs!$C$46</f>
        <v>405.63730518890191</v>
      </c>
      <c r="AG104" s="158">
        <f>AG34*Inputs!$C$46</f>
        <v>410.64155442801649</v>
      </c>
      <c r="AH104" s="187">
        <f>AH34*Inputs!$C$46</f>
        <v>413.56556066383047</v>
      </c>
    </row>
    <row r="105" spans="1:36">
      <c r="A105" s="10" t="s">
        <v>50</v>
      </c>
      <c r="B105" s="35">
        <v>1</v>
      </c>
      <c r="C105" s="331">
        <f>C35*Inputs!$C$49</f>
        <v>0</v>
      </c>
      <c r="D105" s="331">
        <f>D35*Inputs!$C$49</f>
        <v>0</v>
      </c>
      <c r="E105" s="331">
        <f>E35*Inputs!$C$49</f>
        <v>2.5000000000000002E-8</v>
      </c>
      <c r="F105" s="331">
        <f>F35*Inputs!$C$49</f>
        <v>2.5000000000000002E-8</v>
      </c>
      <c r="G105" s="331">
        <f>G35*Inputs!$C$49</f>
        <v>2.5000000000000002E-8</v>
      </c>
      <c r="H105" s="402">
        <f>H35*Inputs!$C$49</f>
        <v>2.5000000000000002E-8</v>
      </c>
      <c r="I105" s="14">
        <f>I35*Inputs!$C$49</f>
        <v>2.5557859811338798E-8</v>
      </c>
      <c r="J105" s="14">
        <f>J35*Inputs!$C$49</f>
        <v>2.693258248505837E-8</v>
      </c>
      <c r="K105" s="14">
        <f>K35*Inputs!$C$49</f>
        <v>2.8796830066961986E-8</v>
      </c>
      <c r="L105" s="14">
        <f>L35*Inputs!$C$49</f>
        <v>3.0637972376402645E-8</v>
      </c>
      <c r="M105" s="14">
        <f>M35*Inputs!$C$49</f>
        <v>3.2187661997654336E-8</v>
      </c>
      <c r="N105" s="182">
        <f>N35*Inputs!$C$49</f>
        <v>3.3426372971018768E-8</v>
      </c>
      <c r="O105" s="14">
        <f>O35*Inputs!$C$49</f>
        <v>3.3713002650724604E-8</v>
      </c>
      <c r="P105" s="14">
        <f>P35*Inputs!$C$49</f>
        <v>3.3701993189076621E-8</v>
      </c>
      <c r="Q105" s="14">
        <f>Q35*Inputs!$C$49</f>
        <v>3.38594412345722E-8</v>
      </c>
      <c r="R105" s="14">
        <f>R35*Inputs!$C$49</f>
        <v>3.4074112155882703E-8</v>
      </c>
      <c r="S105" s="14">
        <f>S35*Inputs!$C$49</f>
        <v>3.4338311515931827E-8</v>
      </c>
      <c r="T105" s="14">
        <f>T35*Inputs!$C$49</f>
        <v>3.4330746878382328E-8</v>
      </c>
      <c r="U105" s="14">
        <f>U35*Inputs!$C$49</f>
        <v>3.5119138227743095E-8</v>
      </c>
      <c r="V105" s="14">
        <f>V35*Inputs!$C$49</f>
        <v>3.5816641072009147E-8</v>
      </c>
      <c r="W105" s="14">
        <f>W35*Inputs!$C$49</f>
        <v>3.5818704924078491E-8</v>
      </c>
      <c r="X105" s="187">
        <f>X35*Inputs!$C$49</f>
        <v>3.6314838816827269E-8</v>
      </c>
      <c r="Y105" s="158">
        <f>Y35*Inputs!$C$49</f>
        <v>3.7019570775904704E-8</v>
      </c>
      <c r="Z105" s="158">
        <f>Z35*Inputs!$C$49</f>
        <v>3.7567801834398632E-8</v>
      </c>
      <c r="AA105" s="158">
        <f>AA35*Inputs!$C$49</f>
        <v>3.8452947895640012E-8</v>
      </c>
      <c r="AB105" s="158">
        <f>AB35*Inputs!$C$49</f>
        <v>3.9178848539617242E-8</v>
      </c>
      <c r="AC105" s="158">
        <f>AC35*Inputs!$C$49</f>
        <v>3.9601964667792743E-8</v>
      </c>
      <c r="AD105" s="158">
        <f>AD35*Inputs!$C$49</f>
        <v>4.0607004837174068E-8</v>
      </c>
      <c r="AE105" s="158">
        <f>AE35*Inputs!$C$49</f>
        <v>4.1248938464752017E-8</v>
      </c>
      <c r="AF105" s="158">
        <f>AF35*Inputs!$C$49</f>
        <v>4.1805000978661731E-8</v>
      </c>
      <c r="AG105" s="158">
        <f>AG35*Inputs!$C$49</f>
        <v>4.2320739155753773E-8</v>
      </c>
      <c r="AH105" s="187">
        <f>AH35*Inputs!$C$49</f>
        <v>4.26220873847903E-8</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22.65</v>
      </c>
      <c r="D107" s="331">
        <f>D37*Inputs!$C$52</f>
        <v>25.99614561146171</v>
      </c>
      <c r="E107" s="331">
        <f>E37*Inputs!$C$52</f>
        <v>25.657964186381889</v>
      </c>
      <c r="F107" s="331">
        <f>F37*Inputs!$C$52</f>
        <v>26.344308198238931</v>
      </c>
      <c r="G107" s="331">
        <f>G37*Inputs!$C$52</f>
        <v>26.915319847847314</v>
      </c>
      <c r="H107" s="402">
        <f>H37*Inputs!$C$52</f>
        <v>26.149251728015752</v>
      </c>
      <c r="I107" s="14">
        <f>I37*Inputs!$C$52</f>
        <v>26.73244031882491</v>
      </c>
      <c r="J107" s="14">
        <f>J37*Inputs!$C$52</f>
        <v>28.170009015747379</v>
      </c>
      <c r="K107" s="14">
        <f>K37*Inputs!$C$52</f>
        <v>30.119553955127877</v>
      </c>
      <c r="L107" s="14">
        <f>L37*Inputs!$C$52</f>
        <v>32.044886509218202</v>
      </c>
      <c r="M107" s="14">
        <f>M37*Inputs!$C$52</f>
        <v>33.665340763950184</v>
      </c>
      <c r="N107" s="182">
        <f>N37*Inputs!$C$52</f>
        <v>34.960505412107366</v>
      </c>
      <c r="O107" s="14">
        <f>O37*Inputs!$C$52</f>
        <v>35.260290210096493</v>
      </c>
      <c r="P107" s="14">
        <f>P37*Inputs!$C$52</f>
        <v>35.24877545963696</v>
      </c>
      <c r="Q107" s="14">
        <f>Q37*Inputs!$C$52</f>
        <v>35.413449720031473</v>
      </c>
      <c r="R107" s="14">
        <f>R37*Inputs!$C$52</f>
        <v>35.637973149863512</v>
      </c>
      <c r="S107" s="14">
        <f>S37*Inputs!$C$52</f>
        <v>35.914298169179268</v>
      </c>
      <c r="T107" s="14">
        <f>T37*Inputs!$C$52</f>
        <v>35.906386346014393</v>
      </c>
      <c r="U107" s="14">
        <f>U37*Inputs!$C$52</f>
        <v>36.730961601609216</v>
      </c>
      <c r="V107" s="14">
        <f>V37*Inputs!$C$52</f>
        <v>37.460476945169404</v>
      </c>
      <c r="W107" s="14">
        <f>W37*Inputs!$C$52</f>
        <v>37.462635519523332</v>
      </c>
      <c r="X107" s="187">
        <f>X37*Inputs!$C$52</f>
        <v>37.981539908510214</v>
      </c>
      <c r="Y107" s="158">
        <f>Y37*Inputs!$C$52</f>
        <v>38.718616153389462</v>
      </c>
      <c r="Z107" s="158">
        <f>Z37*Inputs!$C$52</f>
        <v>39.292008752825247</v>
      </c>
      <c r="AA107" s="158">
        <f>AA37*Inputs!$C$52</f>
        <v>40.217779361899851</v>
      </c>
      <c r="AB107" s="158">
        <f>AB37*Inputs!$C$52</f>
        <v>40.976995846871795</v>
      </c>
      <c r="AC107" s="158">
        <f>AC37*Inputs!$C$52</f>
        <v>41.419531257514606</v>
      </c>
      <c r="AD107" s="158">
        <f>AD37*Inputs!$C$52</f>
        <v>42.470698619031978</v>
      </c>
      <c r="AE107" s="158">
        <f>AE37*Inputs!$C$52</f>
        <v>43.142094348404427</v>
      </c>
      <c r="AF107" s="158">
        <f>AF37*Inputs!$C$52</f>
        <v>43.723677834709257</v>
      </c>
      <c r="AG107" s="158">
        <f>AG37*Inputs!$C$52</f>
        <v>44.263086263708992</v>
      </c>
      <c r="AH107" s="187">
        <f>AH37*Inputs!$C$52</f>
        <v>44.578265131643427</v>
      </c>
    </row>
    <row r="108" spans="1:36">
      <c r="A108" s="9" t="s">
        <v>347</v>
      </c>
      <c r="B108" s="35">
        <v>1</v>
      </c>
      <c r="C108" s="331">
        <f>C38*Inputs!$C$54</f>
        <v>0</v>
      </c>
      <c r="D108" s="331">
        <f>D38*Inputs!$C$54</f>
        <v>7.0142520000000017</v>
      </c>
      <c r="E108" s="331">
        <f>E38*Inputs!$C$54</f>
        <v>13.359102673777384</v>
      </c>
      <c r="F108" s="331">
        <f>F38*Inputs!$C$54</f>
        <v>24.60033708290986</v>
      </c>
      <c r="G108" s="331">
        <f>G38*Inputs!$C$54</f>
        <v>32.117521731095799</v>
      </c>
      <c r="H108" s="402">
        <f>H38*Inputs!$C$54</f>
        <v>48.993273454507609</v>
      </c>
      <c r="I108" s="14">
        <f>I38*Inputs!$C$54</f>
        <v>50.421171513640751</v>
      </c>
      <c r="J108" s="14">
        <f>J38*Inputs!$C$54</f>
        <v>53.488257088121834</v>
      </c>
      <c r="K108" s="14">
        <f>K38*Inputs!$C$54</f>
        <v>57.572770802591478</v>
      </c>
      <c r="L108" s="14">
        <f>L38*Inputs!$C$54</f>
        <v>61.662974088787834</v>
      </c>
      <c r="M108" s="14">
        <f>M38*Inputs!$C$54</f>
        <v>65.21475679275737</v>
      </c>
      <c r="N108" s="182">
        <f>N38*Inputs!$C$54</f>
        <v>68.176970823954065</v>
      </c>
      <c r="O108" s="14">
        <f>O38*Inputs!$C$54</f>
        <v>68.76158535355097</v>
      </c>
      <c r="P108" s="14">
        <f>P38*Inputs!$C$54</f>
        <v>68.739130277548171</v>
      </c>
      <c r="Q108" s="14">
        <f>Q38*Inputs!$C$54</f>
        <v>69.060263857112645</v>
      </c>
      <c r="R108" s="14">
        <f>R38*Inputs!$C$54</f>
        <v>69.498110139496518</v>
      </c>
      <c r="S108" s="14">
        <f>S38*Inputs!$C$54</f>
        <v>70.03697542641811</v>
      </c>
      <c r="T108" s="14">
        <f>T38*Inputs!$C$54</f>
        <v>70.021546469350199</v>
      </c>
      <c r="U108" s="14">
        <f>U38*Inputs!$C$54</f>
        <v>71.629562213978815</v>
      </c>
      <c r="V108" s="14">
        <f>V38*Inputs!$C$54</f>
        <v>73.052200293927882</v>
      </c>
      <c r="W108" s="14">
        <f>W38*Inputs!$C$54</f>
        <v>73.056409759981491</v>
      </c>
      <c r="X108" s="187">
        <f>X38*Inputs!$C$54</f>
        <v>74.068332470232988</v>
      </c>
      <c r="Y108" s="158">
        <f>Y38*Inputs!$C$54</f>
        <v>75.505715169647829</v>
      </c>
      <c r="Z108" s="158">
        <f>Z38*Inputs!$C$54</f>
        <v>76.623896101576406</v>
      </c>
      <c r="AA108" s="158">
        <f>AA38*Inputs!$C$54</f>
        <v>78.429254321103045</v>
      </c>
      <c r="AB108" s="158">
        <f>AB38*Inputs!$C$54</f>
        <v>79.909813012542074</v>
      </c>
      <c r="AC108" s="158">
        <f>AC38*Inputs!$C$54</f>
        <v>80.772807509455532</v>
      </c>
      <c r="AD108" s="158">
        <f>AD38*Inputs!$C$54</f>
        <v>82.822703690660148</v>
      </c>
      <c r="AE108" s="158">
        <f>AE38*Inputs!$C$54</f>
        <v>84.132001897684944</v>
      </c>
      <c r="AF108" s="158">
        <f>AF38*Inputs!$C$54</f>
        <v>85.266155992716023</v>
      </c>
      <c r="AG108" s="158">
        <f>AG38*Inputs!$C$54</f>
        <v>86.318063918319822</v>
      </c>
      <c r="AH108" s="187">
        <f>AH38*Inputs!$C$54</f>
        <v>86.932698639134017</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2.3513231026431696E-2</v>
      </c>
      <c r="J109" s="14">
        <f>J39*Inputs!$C$55</f>
        <v>2.4777975886253703E-2</v>
      </c>
      <c r="K109" s="14">
        <f>K39*Inputs!$C$55</f>
        <v>2.6493083661605028E-2</v>
      </c>
      <c r="L109" s="14">
        <f>L39*Inputs!$C$55</f>
        <v>2.8186934586290433E-2</v>
      </c>
      <c r="M109" s="14">
        <f>M39*Inputs!$C$55</f>
        <v>2.9612649037841995E-2</v>
      </c>
      <c r="N109" s="182">
        <f>N39*Inputs!$C$55</f>
        <v>3.0752263133337267E-2</v>
      </c>
      <c r="O109" s="14">
        <f>O39*Inputs!$C$55</f>
        <v>3.1015962438666639E-2</v>
      </c>
      <c r="P109" s="14">
        <f>P39*Inputs!$C$55</f>
        <v>3.1005833733950494E-2</v>
      </c>
      <c r="Q109" s="14">
        <f>Q39*Inputs!$C$55</f>
        <v>3.1150685935806419E-2</v>
      </c>
      <c r="R109" s="14">
        <f>R39*Inputs!$C$55</f>
        <v>3.1348183183412086E-2</v>
      </c>
      <c r="S109" s="14">
        <f>S39*Inputs!$C$55</f>
        <v>3.1591246594657278E-2</v>
      </c>
      <c r="T109" s="14">
        <f>T39*Inputs!$C$55</f>
        <v>3.1584287128111739E-2</v>
      </c>
      <c r="U109" s="14">
        <f>U39*Inputs!$C$55</f>
        <v>3.2309607169523642E-2</v>
      </c>
      <c r="V109" s="14">
        <f>V39*Inputs!$C$55</f>
        <v>3.2951309786248412E-2</v>
      </c>
      <c r="W109" s="14">
        <f>W39*Inputs!$C$55</f>
        <v>3.2953208530152212E-2</v>
      </c>
      <c r="X109" s="187">
        <f>X39*Inputs!$C$55</f>
        <v>3.3409651711481088E-2</v>
      </c>
      <c r="Y109" s="158">
        <f>Y39*Inputs!$C$55</f>
        <v>3.4058005113832328E-2</v>
      </c>
      <c r="Z109" s="158">
        <f>Z39*Inputs!$C$55</f>
        <v>3.4562377687646743E-2</v>
      </c>
      <c r="AA109" s="158">
        <f>AA39*Inputs!$C$55</f>
        <v>3.5376712063988819E-2</v>
      </c>
      <c r="AB109" s="158">
        <f>AB39*Inputs!$C$55</f>
        <v>3.6044540656447868E-2</v>
      </c>
      <c r="AC109" s="158">
        <f>AC39*Inputs!$C$55</f>
        <v>3.6433807494369336E-2</v>
      </c>
      <c r="AD109" s="158">
        <f>AD39*Inputs!$C$55</f>
        <v>3.7358444450200159E-2</v>
      </c>
      <c r="AE109" s="158">
        <f>AE39*Inputs!$C$55</f>
        <v>3.7949023387571869E-2</v>
      </c>
      <c r="AF109" s="158">
        <f>AF39*Inputs!$C$55</f>
        <v>3.8460600900368798E-2</v>
      </c>
      <c r="AG109" s="158">
        <f>AG39*Inputs!$C$55</f>
        <v>3.8935080023293475E-2</v>
      </c>
      <c r="AH109" s="187">
        <f>AH39*Inputs!$C$55</f>
        <v>3.9212320394007065E-2</v>
      </c>
    </row>
    <row r="110" spans="1:36">
      <c r="A110" s="9" t="s">
        <v>344</v>
      </c>
      <c r="B110" s="35">
        <v>1</v>
      </c>
      <c r="C110" s="331">
        <f>C40*Inputs!$C$51</f>
        <v>2.7000000000000001E-3</v>
      </c>
      <c r="D110" s="331">
        <f>D40*Inputs!$C$51</f>
        <v>3.0989149248156983E-3</v>
      </c>
      <c r="E110" s="331">
        <f>E40*Inputs!$C$51</f>
        <v>3.0586375943969808E-3</v>
      </c>
      <c r="F110" s="331">
        <f>F40*Inputs!$C$51</f>
        <v>3.1404925032007479E-3</v>
      </c>
      <c r="G110" s="331">
        <f>G40*Inputs!$C$51</f>
        <v>3.2086004683819476E-3</v>
      </c>
      <c r="H110" s="402">
        <f>H40*Inputs!$C$51</f>
        <v>2.7000000000000001E-3</v>
      </c>
      <c r="I110" s="14">
        <f>I40*Inputs!$C$51</f>
        <v>2.7602488596245901E-3</v>
      </c>
      <c r="J110" s="14">
        <f>J40*Inputs!$C$51</f>
        <v>2.9087189083863039E-3</v>
      </c>
      <c r="K110" s="14">
        <f>K40*Inputs!$C$51</f>
        <v>3.1100576472318938E-3</v>
      </c>
      <c r="L110" s="14">
        <f>L40*Inputs!$C$51</f>
        <v>3.3089010166514853E-3</v>
      </c>
      <c r="M110" s="14">
        <f>M40*Inputs!$C$51</f>
        <v>3.4762674957466689E-3</v>
      </c>
      <c r="N110" s="182">
        <f>N40*Inputs!$C$51</f>
        <v>3.6100482808700276E-3</v>
      </c>
      <c r="O110" s="14">
        <f>O40*Inputs!$C$51</f>
        <v>3.6410042862782574E-3</v>
      </c>
      <c r="P110" s="14">
        <f>P40*Inputs!$C$51</f>
        <v>3.639815264420275E-3</v>
      </c>
      <c r="Q110" s="14">
        <f>Q40*Inputs!$C$51</f>
        <v>3.6568196533337972E-3</v>
      </c>
      <c r="R110" s="14">
        <f>R40*Inputs!$C$51</f>
        <v>3.680004112835332E-3</v>
      </c>
      <c r="S110" s="14">
        <f>S40*Inputs!$C$51</f>
        <v>3.7085376437206367E-3</v>
      </c>
      <c r="T110" s="14">
        <f>T40*Inputs!$C$51</f>
        <v>3.7077206628652907E-3</v>
      </c>
      <c r="U110" s="14">
        <f>U40*Inputs!$C$51</f>
        <v>3.7928669285962539E-3</v>
      </c>
      <c r="V110" s="14">
        <f>V40*Inputs!$C$51</f>
        <v>3.8681972357769876E-3</v>
      </c>
      <c r="W110" s="14">
        <f>W40*Inputs!$C$51</f>
        <v>3.8684201318004777E-3</v>
      </c>
      <c r="X110" s="187">
        <f>X40*Inputs!$C$51</f>
        <v>3.9220025922173446E-3</v>
      </c>
      <c r="Y110" s="158">
        <f>Y40*Inputs!$C$51</f>
        <v>3.9981136437977089E-3</v>
      </c>
      <c r="Z110" s="158">
        <f>Z40*Inputs!$C$51</f>
        <v>4.0573225981150526E-3</v>
      </c>
      <c r="AA110" s="158">
        <f>AA40*Inputs!$C$51</f>
        <v>4.1529183727291221E-3</v>
      </c>
      <c r="AB110" s="158">
        <f>AB40*Inputs!$C$51</f>
        <v>4.2313156422786628E-3</v>
      </c>
      <c r="AC110" s="158">
        <f>AC40*Inputs!$C$51</f>
        <v>4.2770121841216174E-3</v>
      </c>
      <c r="AD110" s="158">
        <f>AD40*Inputs!$C$51</f>
        <v>4.3855565224148003E-3</v>
      </c>
      <c r="AE110" s="158">
        <f>AE40*Inputs!$C$51</f>
        <v>4.4548853541932195E-3</v>
      </c>
      <c r="AF110" s="158">
        <f>AF40*Inputs!$C$51</f>
        <v>4.5149401056954683E-3</v>
      </c>
      <c r="AG110" s="158">
        <f>AG40*Inputs!$C$51</f>
        <v>4.5706398288214087E-3</v>
      </c>
      <c r="AH110" s="187">
        <f>AH40*Inputs!$C$51</f>
        <v>4.6031854375573516E-3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10.540000000000001</v>
      </c>
      <c r="D112" s="331">
        <f>D42*Inputs!$C$57</f>
        <v>14.881670696343322</v>
      </c>
      <c r="E112" s="331">
        <f>E42*Inputs!$C$57</f>
        <v>18.069047045085355</v>
      </c>
      <c r="F112" s="331">
        <f>F42*Inputs!$C$57</f>
        <v>22.822865835326276</v>
      </c>
      <c r="G112" s="331">
        <f>G42*Inputs!$C$57</f>
        <v>28.684893952244927</v>
      </c>
      <c r="H112" s="402">
        <f>H42*Inputs!$C$57</f>
        <v>26.187145657192183</v>
      </c>
      <c r="I112" s="14">
        <f>I42*Inputs!$C$57</f>
        <v>64.734040906457295</v>
      </c>
      <c r="J112" s="14">
        <f>J42*Inputs!$C$57</f>
        <v>90.763554621345932</v>
      </c>
      <c r="K112" s="14">
        <f>K42*Inputs!$C$57</f>
        <v>90.761511177927389</v>
      </c>
      <c r="L112" s="14">
        <f>L42*Inputs!$C$57</f>
        <v>90.733488518181971</v>
      </c>
      <c r="M112" s="14">
        <f>M42*Inputs!$C$57</f>
        <v>94.986861130933718</v>
      </c>
      <c r="N112" s="182">
        <f>N42*Inputs!$C$57</f>
        <v>121.34686168197838</v>
      </c>
      <c r="O112" s="14">
        <f>O42*Inputs!$C$57</f>
        <v>122.3874056897704</v>
      </c>
      <c r="P112" s="14">
        <f>P42*Inputs!$C$57</f>
        <v>122.3474383376156</v>
      </c>
      <c r="Q112" s="14">
        <f>Q42*Inputs!$C$57</f>
        <v>122.91901773737321</v>
      </c>
      <c r="R112" s="14">
        <f>R42*Inputs!$C$57</f>
        <v>123.69833180228819</v>
      </c>
      <c r="S112" s="14">
        <f>S42*Inputs!$C$57</f>
        <v>124.65744762464034</v>
      </c>
      <c r="T112" s="14">
        <f>T42*Inputs!$C$57</f>
        <v>124.62998592464707</v>
      </c>
      <c r="U112" s="14">
        <f>U42*Inputs!$C$57</f>
        <v>127.49206181020891</v>
      </c>
      <c r="V112" s="14">
        <f>V42*Inputs!$C$57</f>
        <v>130.02418760319648</v>
      </c>
      <c r="W112" s="14">
        <f>W42*Inputs!$C$57</f>
        <v>130.03167994978784</v>
      </c>
      <c r="X112" s="187">
        <f>X42*Inputs!$C$57</f>
        <v>131.83278146060161</v>
      </c>
      <c r="Y112" s="158">
        <f>Y42*Inputs!$C$57</f>
        <v>134.39115091442133</v>
      </c>
      <c r="Z112" s="158">
        <f>Z42*Inputs!$C$57</f>
        <v>136.38137936315272</v>
      </c>
      <c r="AA112" s="158">
        <f>AA42*Inputs!$C$57</f>
        <v>139.59470127381684</v>
      </c>
      <c r="AB112" s="158">
        <f>AB42*Inputs!$C$57</f>
        <v>142.22991883439201</v>
      </c>
      <c r="AC112" s="158">
        <f>AC42*Inputs!$C$57</f>
        <v>143.76594592071825</v>
      </c>
      <c r="AD112" s="158">
        <f>AD42*Inputs!$C$57</f>
        <v>147.41451618362078</v>
      </c>
      <c r="AE112" s="158">
        <f>AE42*Inputs!$C$57</f>
        <v>149.74491054564893</v>
      </c>
      <c r="AF112" s="158">
        <f>AF42*Inputs!$C$57</f>
        <v>151.76356931608859</v>
      </c>
      <c r="AG112" s="158">
        <f>AG42*Inputs!$C$57</f>
        <v>153.63583973244408</v>
      </c>
      <c r="AH112" s="187">
        <f>AH42*Inputs!$C$57</f>
        <v>154.72981609352601</v>
      </c>
      <c r="AI112" s="31" t="s">
        <v>0</v>
      </c>
    </row>
    <row r="113" spans="1:35" s="20" customFormat="1">
      <c r="A113" s="10" t="s">
        <v>383</v>
      </c>
      <c r="B113" s="37"/>
      <c r="C113" s="334">
        <f>SUM(C100:C112)</f>
        <v>1726.2112000000002</v>
      </c>
      <c r="D113" s="334">
        <f t="shared" ref="D113:AH113" si="87">SUM(D100:D112)</f>
        <v>1920.0101598899694</v>
      </c>
      <c r="E113" s="334">
        <f t="shared" si="87"/>
        <v>1840.1472794533779</v>
      </c>
      <c r="F113" s="334">
        <f t="shared" si="87"/>
        <v>1843.4510583465064</v>
      </c>
      <c r="G113" s="334">
        <f t="shared" si="87"/>
        <v>1838.7465627730824</v>
      </c>
      <c r="H113" s="404">
        <f t="shared" si="87"/>
        <v>1772.3579459083965</v>
      </c>
      <c r="I113" s="19">
        <f t="shared" si="87"/>
        <v>1771.0728677165173</v>
      </c>
      <c r="J113" s="19">
        <f t="shared" si="87"/>
        <v>1832.7316131081752</v>
      </c>
      <c r="K113" s="19">
        <f t="shared" si="87"/>
        <v>1854.6035752300545</v>
      </c>
      <c r="L113" s="19">
        <f t="shared" si="87"/>
        <v>1892.4820925716181</v>
      </c>
      <c r="M113" s="19">
        <f t="shared" si="87"/>
        <v>1915.655812539384</v>
      </c>
      <c r="N113" s="182">
        <f t="shared" si="87"/>
        <v>1943.5910643560624</v>
      </c>
      <c r="O113" s="19">
        <f t="shared" si="87"/>
        <v>1949.8800956834455</v>
      </c>
      <c r="P113" s="19">
        <f t="shared" si="87"/>
        <v>1938.9455757438959</v>
      </c>
      <c r="Q113" s="19">
        <f t="shared" si="87"/>
        <v>1937.7338495499364</v>
      </c>
      <c r="R113" s="19">
        <f t="shared" si="87"/>
        <v>1939.7598032540857</v>
      </c>
      <c r="S113" s="19">
        <f t="shared" si="87"/>
        <v>1944.53689879628</v>
      </c>
      <c r="T113" s="19">
        <f t="shared" si="87"/>
        <v>1933.922843892979</v>
      </c>
      <c r="U113" s="19">
        <f t="shared" si="87"/>
        <v>1967.9913769650138</v>
      </c>
      <c r="V113" s="19">
        <f t="shared" si="87"/>
        <v>1996.6064533859151</v>
      </c>
      <c r="W113" s="19">
        <f t="shared" si="87"/>
        <v>1986.3263861958319</v>
      </c>
      <c r="X113" s="182">
        <f t="shared" si="87"/>
        <v>2003.377665845105</v>
      </c>
      <c r="Y113" s="206">
        <f t="shared" si="87"/>
        <v>2019.5864691706706</v>
      </c>
      <c r="Z113" s="206">
        <f t="shared" si="87"/>
        <v>2026.8500363881747</v>
      </c>
      <c r="AA113" s="206">
        <f t="shared" si="87"/>
        <v>2051.7893902626843</v>
      </c>
      <c r="AB113" s="206">
        <f t="shared" si="87"/>
        <v>2067.6394888539271</v>
      </c>
      <c r="AC113" s="206">
        <f t="shared" si="87"/>
        <v>2067.2011886612713</v>
      </c>
      <c r="AD113" s="206">
        <f t="shared" si="87"/>
        <v>2096.6833222299197</v>
      </c>
      <c r="AE113" s="206">
        <f t="shared" si="87"/>
        <v>2106.8503266979906</v>
      </c>
      <c r="AF113" s="206">
        <f t="shared" si="87"/>
        <v>2112.3285612625541</v>
      </c>
      <c r="AG113" s="206">
        <f t="shared" si="87"/>
        <v>2115.5449214734467</v>
      </c>
      <c r="AH113" s="182">
        <f t="shared" si="87"/>
        <v>2107.9635085691066</v>
      </c>
      <c r="AI113" s="31" t="s">
        <v>0</v>
      </c>
    </row>
    <row r="114" spans="1:35" s="20" customFormat="1">
      <c r="A114" s="10" t="s">
        <v>384</v>
      </c>
      <c r="B114" s="37"/>
      <c r="C114" s="334">
        <f>SUM(C101:C103)</f>
        <v>1486.3785</v>
      </c>
      <c r="D114" s="334">
        <f t="shared" ref="D114:AH114" si="88">SUM(D101:D103)</f>
        <v>1618.5074562188779</v>
      </c>
      <c r="E114" s="334">
        <f t="shared" si="88"/>
        <v>1515.3757706520773</v>
      </c>
      <c r="F114" s="334">
        <f t="shared" si="88"/>
        <v>1475.7882490667871</v>
      </c>
      <c r="G114" s="334">
        <f t="shared" si="88"/>
        <v>1429.9518142599775</v>
      </c>
      <c r="H114" s="404">
        <f t="shared" si="88"/>
        <v>1508.7325050633258</v>
      </c>
      <c r="I114" s="19">
        <f t="shared" si="88"/>
        <v>1451.7707233938027</v>
      </c>
      <c r="J114" s="19">
        <f t="shared" si="88"/>
        <v>1439.4487248740631</v>
      </c>
      <c r="K114" s="19">
        <f t="shared" si="88"/>
        <v>1447.5872436320878</v>
      </c>
      <c r="L114" s="19">
        <f t="shared" si="88"/>
        <v>1448.0136909915213</v>
      </c>
      <c r="M114" s="19">
        <f t="shared" si="88"/>
        <v>1429.6788649890307</v>
      </c>
      <c r="N114" s="182">
        <f t="shared" si="88"/>
        <v>1394.7335640265578</v>
      </c>
      <c r="O114" s="19">
        <f t="shared" si="88"/>
        <v>1396.316166401569</v>
      </c>
      <c r="P114" s="19">
        <f t="shared" si="88"/>
        <v>1385.5624206550592</v>
      </c>
      <c r="Q114" s="19">
        <f t="shared" si="88"/>
        <v>1381.7654142466599</v>
      </c>
      <c r="R114" s="19">
        <f t="shared" si="88"/>
        <v>1380.2664941822411</v>
      </c>
      <c r="S114" s="19">
        <f t="shared" si="88"/>
        <v>1380.7054642427704</v>
      </c>
      <c r="T114" s="19">
        <f t="shared" si="88"/>
        <v>1370.2156198860316</v>
      </c>
      <c r="U114" s="19">
        <f t="shared" si="88"/>
        <v>1391.3388505865908</v>
      </c>
      <c r="V114" s="19">
        <f t="shared" si="88"/>
        <v>1408.5010042536981</v>
      </c>
      <c r="W114" s="19">
        <f t="shared" si="88"/>
        <v>1398.1870488314453</v>
      </c>
      <c r="X114" s="182">
        <f t="shared" si="88"/>
        <v>1407.0918625617583</v>
      </c>
      <c r="Y114" s="206">
        <f t="shared" si="88"/>
        <v>1411.7290418347557</v>
      </c>
      <c r="Z114" s="206">
        <f t="shared" si="88"/>
        <v>1409.9907131950911</v>
      </c>
      <c r="AA114" s="206">
        <f t="shared" si="88"/>
        <v>1420.3960625869527</v>
      </c>
      <c r="AB114" s="206">
        <f t="shared" si="88"/>
        <v>1424.3269495638708</v>
      </c>
      <c r="AC114" s="206">
        <f t="shared" si="88"/>
        <v>1416.9411274052259</v>
      </c>
      <c r="AD114" s="206">
        <f t="shared" si="88"/>
        <v>1429.9206079467078</v>
      </c>
      <c r="AE114" s="206">
        <f t="shared" si="88"/>
        <v>1429.5471303075703</v>
      </c>
      <c r="AF114" s="206">
        <f t="shared" si="88"/>
        <v>1425.8948773473276</v>
      </c>
      <c r="AG114" s="206">
        <f t="shared" si="88"/>
        <v>1420.6428713687842</v>
      </c>
      <c r="AH114" s="182">
        <f t="shared" si="88"/>
        <v>1408.1133524925192</v>
      </c>
      <c r="AI114" s="31"/>
    </row>
    <row r="115" spans="1:35" s="20" customFormat="1">
      <c r="A115" s="10" t="s">
        <v>385</v>
      </c>
      <c r="B115" s="37"/>
      <c r="C115" s="334">
        <f>SUMPRODUCT($B104:$B112,C104:C112)</f>
        <v>239.83269999999999</v>
      </c>
      <c r="D115" s="334">
        <f t="shared" ref="D115:AH115" si="89">SUMPRODUCT($B104:$B112,D104:D112)</f>
        <v>301.50270367109169</v>
      </c>
      <c r="E115" s="334">
        <f t="shared" si="89"/>
        <v>324.77150880130074</v>
      </c>
      <c r="F115" s="334">
        <f t="shared" si="89"/>
        <v>367.66280927971957</v>
      </c>
      <c r="G115" s="334">
        <f t="shared" si="89"/>
        <v>408.79474851310505</v>
      </c>
      <c r="H115" s="404">
        <f t="shared" si="89"/>
        <v>263.6254408450709</v>
      </c>
      <c r="I115" s="19">
        <f t="shared" si="89"/>
        <v>319.30214432271453</v>
      </c>
      <c r="J115" s="19">
        <f t="shared" si="89"/>
        <v>393.28288823411179</v>
      </c>
      <c r="K115" s="19">
        <f t="shared" si="89"/>
        <v>407.01633159796654</v>
      </c>
      <c r="L115" s="19">
        <f t="shared" si="89"/>
        <v>444.46840158009667</v>
      </c>
      <c r="M115" s="19">
        <f t="shared" si="89"/>
        <v>485.97694755035366</v>
      </c>
      <c r="N115" s="182">
        <f t="shared" si="89"/>
        <v>548.85750032950466</v>
      </c>
      <c r="O115" s="19">
        <f t="shared" si="89"/>
        <v>553.56392928187654</v>
      </c>
      <c r="P115" s="19">
        <f t="shared" si="89"/>
        <v>553.3831550888367</v>
      </c>
      <c r="Q115" s="19">
        <f t="shared" si="89"/>
        <v>555.96843530327658</v>
      </c>
      <c r="R115" s="19">
        <f t="shared" si="89"/>
        <v>559.49330907184458</v>
      </c>
      <c r="S115" s="19">
        <f t="shared" si="89"/>
        <v>563.83143455350967</v>
      </c>
      <c r="T115" s="19">
        <f t="shared" si="89"/>
        <v>563.70722400694763</v>
      </c>
      <c r="U115" s="19">
        <f t="shared" si="89"/>
        <v>576.6525263784232</v>
      </c>
      <c r="V115" s="19">
        <f t="shared" si="89"/>
        <v>588.10544913221713</v>
      </c>
      <c r="W115" s="19">
        <f t="shared" si="89"/>
        <v>588.13933736438673</v>
      </c>
      <c r="X115" s="182">
        <f t="shared" si="89"/>
        <v>596.28580328334692</v>
      </c>
      <c r="Y115" s="206">
        <f t="shared" si="89"/>
        <v>607.85742733591508</v>
      </c>
      <c r="Z115" s="206">
        <f t="shared" si="89"/>
        <v>616.85932319308336</v>
      </c>
      <c r="AA115" s="206">
        <f t="shared" si="89"/>
        <v>631.39332767573137</v>
      </c>
      <c r="AB115" s="206">
        <f t="shared" si="89"/>
        <v>643.31253929005629</v>
      </c>
      <c r="AC115" s="206">
        <f t="shared" si="89"/>
        <v>650.26006125604545</v>
      </c>
      <c r="AD115" s="206">
        <f t="shared" si="89"/>
        <v>666.76271428321195</v>
      </c>
      <c r="AE115" s="206">
        <f t="shared" si="89"/>
        <v>677.30319639042011</v>
      </c>
      <c r="AF115" s="206">
        <f t="shared" si="89"/>
        <v>686.43368391522677</v>
      </c>
      <c r="AG115" s="206">
        <f t="shared" si="89"/>
        <v>694.90205010466218</v>
      </c>
      <c r="AH115" s="182">
        <f t="shared" si="89"/>
        <v>699.8501560765875</v>
      </c>
    </row>
    <row r="116" spans="1:35" s="20" customFormat="1">
      <c r="A116" s="10" t="s">
        <v>142</v>
      </c>
      <c r="B116" s="37"/>
      <c r="C116" s="334">
        <f>C47*Inputs!$C$60</f>
        <v>633.63299999999992</v>
      </c>
      <c r="D116" s="334">
        <f>D47*Inputs!$C$60</f>
        <v>367.67470073454763</v>
      </c>
      <c r="E116" s="334">
        <f>E47*Inputs!$C$60</f>
        <v>141.12819094721601</v>
      </c>
      <c r="F116" s="334">
        <f>F47*Inputs!$C$60</f>
        <v>78.158890055035116</v>
      </c>
      <c r="G116" s="334">
        <f>G47*Inputs!$C$60</f>
        <v>83.570132197438326</v>
      </c>
      <c r="H116" s="404">
        <f>H47*Inputs!$C$60</f>
        <v>86.336152684233696</v>
      </c>
      <c r="I116" s="19">
        <f>I47*Inputs!$C$60</f>
        <v>83.366348363829943</v>
      </c>
      <c r="J116" s="19">
        <f>J47*Inputs!$C$60</f>
        <v>11.951482479786163</v>
      </c>
      <c r="K116" s="19">
        <f>K47*Inputs!$C$60</f>
        <v>45.069548998078382</v>
      </c>
      <c r="L116" s="19">
        <f>L47*Inputs!$C$60</f>
        <v>84.144914826867947</v>
      </c>
      <c r="M116" s="19">
        <f>M47*Inputs!$C$60</f>
        <v>100.47211912042148</v>
      </c>
      <c r="N116" s="182">
        <f>N47*Inputs!$C$60</f>
        <v>103.39678222987982</v>
      </c>
      <c r="O116" s="19">
        <f>O47*Inputs!$C$60</f>
        <v>106.49088591844209</v>
      </c>
      <c r="P116" s="19">
        <f>P47*Inputs!$C$60</f>
        <v>109.36818852953024</v>
      </c>
      <c r="Q116" s="19">
        <f>Q47*Inputs!$C$60</f>
        <v>111.84720413629302</v>
      </c>
      <c r="R116" s="19">
        <f>R47*Inputs!$C$60</f>
        <v>112.65339715776828</v>
      </c>
      <c r="S116" s="19">
        <f>S47*Inputs!$C$60</f>
        <v>113.10185596330315</v>
      </c>
      <c r="T116" s="19">
        <f>T47*Inputs!$C$60</f>
        <v>114.74506793716584</v>
      </c>
      <c r="U116" s="19">
        <f>U47*Inputs!$C$60</f>
        <v>173.9810140772108</v>
      </c>
      <c r="V116" s="19">
        <f>V47*Inputs!$C$60</f>
        <v>188.48045772017977</v>
      </c>
      <c r="W116" s="19">
        <f>W47*Inputs!$C$60</f>
        <v>193.69497306417841</v>
      </c>
      <c r="X116" s="182">
        <f>X47*Inputs!$C$60</f>
        <v>192.6337713838445</v>
      </c>
      <c r="Y116" s="206">
        <f>Y47*Inputs!$C$60</f>
        <v>190.10581386873477</v>
      </c>
      <c r="Z116" s="206">
        <f>Z47*Inputs!$C$60</f>
        <v>168.25404695493881</v>
      </c>
      <c r="AA116" s="206">
        <f>AA47*Inputs!$C$60</f>
        <v>163.1971421652656</v>
      </c>
      <c r="AB116" s="206">
        <f>AB47*Inputs!$C$60</f>
        <v>156.16225717129052</v>
      </c>
      <c r="AC116" s="206">
        <f>AC47*Inputs!$C$60</f>
        <v>153.32086717533531</v>
      </c>
      <c r="AD116" s="206">
        <f>AD47*Inputs!$C$60</f>
        <v>173.05274379839759</v>
      </c>
      <c r="AE116" s="206">
        <f>AE47*Inputs!$C$60</f>
        <v>171.42135493404999</v>
      </c>
      <c r="AF116" s="206">
        <f>AF47*Inputs!$C$60</f>
        <v>174.73565090944254</v>
      </c>
      <c r="AG116" s="206">
        <f>AG47*Inputs!$C$60</f>
        <v>175.54620030530211</v>
      </c>
      <c r="AH116" s="182">
        <f>AH47*Inputs!$C$60</f>
        <v>178.06968414276497</v>
      </c>
      <c r="AI116" s="31"/>
    </row>
    <row r="117" spans="1:35" s="20" customFormat="1">
      <c r="A117" s="10" t="s">
        <v>222</v>
      </c>
      <c r="B117" s="37"/>
      <c r="C117" s="334">
        <f>C48*Inputs!$C$61</f>
        <v>271.55699999999996</v>
      </c>
      <c r="D117" s="334">
        <f>D48*Inputs!$C$61</f>
        <v>639.82314934831265</v>
      </c>
      <c r="E117" s="334">
        <f>E48*Inputs!$C$61</f>
        <v>699.1463897195722</v>
      </c>
      <c r="F117" s="334">
        <f>F48*Inputs!$C$61</f>
        <v>733.87754282322965</v>
      </c>
      <c r="G117" s="334">
        <f>G48*Inputs!$C$61</f>
        <v>702.64975379205441</v>
      </c>
      <c r="H117" s="404">
        <f>H48*Inputs!$C$61</f>
        <v>758.18313257199463</v>
      </c>
      <c r="I117" s="19">
        <f>I48*Inputs!$C$61</f>
        <v>741.19043854813265</v>
      </c>
      <c r="J117" s="19">
        <f>J48*Inputs!$C$61</f>
        <v>803.99022971370107</v>
      </c>
      <c r="K117" s="19">
        <f>K48*Inputs!$C$61</f>
        <v>817.20508949746568</v>
      </c>
      <c r="L117" s="19">
        <f>L48*Inputs!$C$61</f>
        <v>806.29220008971561</v>
      </c>
      <c r="M117" s="19">
        <f>M48*Inputs!$C$61</f>
        <v>800.69285557688829</v>
      </c>
      <c r="N117" s="182">
        <f>N48*Inputs!$C$61</f>
        <v>780.26233195254736</v>
      </c>
      <c r="O117" s="19">
        <f>O48*Inputs!$C$61</f>
        <v>774.75976117529456</v>
      </c>
      <c r="P117" s="19">
        <f>P48*Inputs!$C$61</f>
        <v>760.73002954813717</v>
      </c>
      <c r="Q117" s="19">
        <f>Q48*Inputs!$C$61</f>
        <v>751.93709662453739</v>
      </c>
      <c r="R117" s="19">
        <f>R48*Inputs!$C$61</f>
        <v>746.55159036108773</v>
      </c>
      <c r="S117" s="19">
        <f>S48*Inputs!$C$61</f>
        <v>742.75594038713132</v>
      </c>
      <c r="T117" s="19">
        <f>T48*Inputs!$C$61</f>
        <v>730.15827041107241</v>
      </c>
      <c r="U117" s="19">
        <f>U48*Inputs!$C$61</f>
        <v>681.87027670817008</v>
      </c>
      <c r="V117" s="19">
        <f>V48*Inputs!$C$61</f>
        <v>675.52867196138936</v>
      </c>
      <c r="W117" s="19">
        <f>W48*Inputs!$C$61</f>
        <v>659.41097755325461</v>
      </c>
      <c r="X117" s="182">
        <f>X48*Inputs!$C$61</f>
        <v>662.81922914312008</v>
      </c>
      <c r="Y117" s="206">
        <f>Y48*Inputs!$C$61</f>
        <v>667.31714311444068</v>
      </c>
      <c r="Z117" s="206">
        <f>Z48*Inputs!$C$61</f>
        <v>686.73055551856942</v>
      </c>
      <c r="AA117" s="206">
        <f>AA48*Inputs!$C$61</f>
        <v>697.57017330679503</v>
      </c>
      <c r="AB117" s="206">
        <f>AB48*Inputs!$C$61</f>
        <v>705.86696563993473</v>
      </c>
      <c r="AC117" s="206">
        <f>AC48*Inputs!$C$61</f>
        <v>702.18936427561096</v>
      </c>
      <c r="AD117" s="206">
        <f>AD48*Inputs!$C$61</f>
        <v>689.69951498622731</v>
      </c>
      <c r="AE117" s="206">
        <f>AE48*Inputs!$C$61</f>
        <v>689.42765356854704</v>
      </c>
      <c r="AF117" s="206">
        <f>AF48*Inputs!$C$61</f>
        <v>681.88453492159954</v>
      </c>
      <c r="AG117" s="206">
        <f>AG48*Inputs!$C$61</f>
        <v>675.69524158135016</v>
      </c>
      <c r="AH117" s="182">
        <f>AH48*Inputs!$C$61</f>
        <v>662.79926250936307</v>
      </c>
      <c r="AI117" s="31"/>
    </row>
    <row r="118" spans="1:35" s="20" customFormat="1">
      <c r="A118" s="10" t="s">
        <v>58</v>
      </c>
      <c r="B118" s="37"/>
      <c r="C118" s="334">
        <f>SUM(C113,C116,C117)</f>
        <v>2631.4011999999998</v>
      </c>
      <c r="D118" s="334">
        <f>SUM(D113,D116,D117)</f>
        <v>2927.5080099728298</v>
      </c>
      <c r="E118" s="334">
        <f t="shared" ref="E118:AH118" si="90">SUM(E113,E116,E117)</f>
        <v>2680.421860120166</v>
      </c>
      <c r="F118" s="334">
        <f t="shared" si="90"/>
        <v>2655.487491224771</v>
      </c>
      <c r="G118" s="334">
        <f t="shared" si="90"/>
        <v>2624.9664487625751</v>
      </c>
      <c r="H118" s="404">
        <f t="shared" si="90"/>
        <v>2616.8772311646248</v>
      </c>
      <c r="I118" s="19">
        <f t="shared" si="90"/>
        <v>2595.6296546284798</v>
      </c>
      <c r="J118" s="19">
        <f t="shared" si="90"/>
        <v>2648.6733253016623</v>
      </c>
      <c r="K118" s="19">
        <f t="shared" si="90"/>
        <v>2716.8782137255985</v>
      </c>
      <c r="L118" s="19">
        <f t="shared" si="90"/>
        <v>2782.9192074882017</v>
      </c>
      <c r="M118" s="19">
        <f t="shared" si="90"/>
        <v>2816.8207872366938</v>
      </c>
      <c r="N118" s="182">
        <f t="shared" si="90"/>
        <v>2827.2501785384893</v>
      </c>
      <c r="O118" s="19">
        <f t="shared" si="90"/>
        <v>2831.1307427771821</v>
      </c>
      <c r="P118" s="19">
        <f t="shared" si="90"/>
        <v>2809.0437938215637</v>
      </c>
      <c r="Q118" s="19">
        <f t="shared" si="90"/>
        <v>2801.5181503107669</v>
      </c>
      <c r="R118" s="19">
        <f t="shared" si="90"/>
        <v>2798.9647907729418</v>
      </c>
      <c r="S118" s="19">
        <f t="shared" si="90"/>
        <v>2800.3946951467146</v>
      </c>
      <c r="T118" s="19">
        <f t="shared" si="90"/>
        <v>2778.8261822412173</v>
      </c>
      <c r="U118" s="19">
        <f t="shared" si="90"/>
        <v>2823.8426677503944</v>
      </c>
      <c r="V118" s="19">
        <f t="shared" si="90"/>
        <v>2860.6155830674843</v>
      </c>
      <c r="W118" s="19">
        <f t="shared" si="90"/>
        <v>2839.432336813265</v>
      </c>
      <c r="X118" s="182">
        <f t="shared" si="90"/>
        <v>2858.8306663720696</v>
      </c>
      <c r="Y118" s="206">
        <f t="shared" si="90"/>
        <v>2877.0094261538461</v>
      </c>
      <c r="Z118" s="206">
        <f t="shared" si="90"/>
        <v>2881.8346388616828</v>
      </c>
      <c r="AA118" s="206">
        <f t="shared" si="90"/>
        <v>2912.5567057347448</v>
      </c>
      <c r="AB118" s="206">
        <f t="shared" si="90"/>
        <v>2929.6687116651524</v>
      </c>
      <c r="AC118" s="206">
        <f t="shared" si="90"/>
        <v>2922.7114201122176</v>
      </c>
      <c r="AD118" s="206">
        <f t="shared" si="90"/>
        <v>2959.4355810145444</v>
      </c>
      <c r="AE118" s="206">
        <f t="shared" si="90"/>
        <v>2967.6993352005879</v>
      </c>
      <c r="AF118" s="206">
        <f t="shared" si="90"/>
        <v>2968.948747093596</v>
      </c>
      <c r="AG118" s="206">
        <f t="shared" si="90"/>
        <v>2966.7863633600991</v>
      </c>
      <c r="AH118" s="182">
        <f t="shared" si="90"/>
        <v>2948.8324552212343</v>
      </c>
      <c r="AI118" s="31"/>
    </row>
    <row r="119" spans="1:35" s="1" customFormat="1">
      <c r="A119" s="1" t="s">
        <v>335</v>
      </c>
      <c r="B119" s="13"/>
      <c r="C119" s="341">
        <f>C118-'Output - Jobs vs Yr (BAU)'!C55</f>
        <v>0.10999999999967258</v>
      </c>
      <c r="D119" s="341">
        <f>D118-'Output - Jobs vs Yr (BAU)'!D55</f>
        <v>-6.1574420271704184</v>
      </c>
      <c r="E119" s="341">
        <f>E118-'Output - Jobs vs Yr (BAU)'!E55</f>
        <v>50.063008323906161</v>
      </c>
      <c r="F119" s="341">
        <f>F118-'Output - Jobs vs Yr (BAU)'!F55</f>
        <v>56.773659536214382</v>
      </c>
      <c r="G119" s="341">
        <f>G118-'Output - Jobs vs Yr (BAU)'!G55</f>
        <v>99.192750648364836</v>
      </c>
      <c r="H119" s="405">
        <f>H118-'Output - Jobs vs Yr (BAU)'!H55</f>
        <v>32.437701986637421</v>
      </c>
      <c r="I119" s="15">
        <f>I118-'Output - Jobs vs Yr (BAU)'!I55</f>
        <v>88.38981304273193</v>
      </c>
      <c r="J119" s="15">
        <f>J118-'Output - Jobs vs Yr (BAU)'!J55</f>
        <v>102.88347265512448</v>
      </c>
      <c r="K119" s="15">
        <f>K118-'Output - Jobs vs Yr (BAU)'!K55</f>
        <v>107.31199359513175</v>
      </c>
      <c r="L119" s="15">
        <f>L118-'Output - Jobs vs Yr (BAU)'!L55</f>
        <v>122.68374344878566</v>
      </c>
      <c r="M119" s="15">
        <f>M118-'Output - Jobs vs Yr (BAU)'!M55</f>
        <v>134.75834549831279</v>
      </c>
      <c r="N119" s="182">
        <f>N118-'Output - Jobs vs Yr (BAU)'!N55</f>
        <v>151.65725859601798</v>
      </c>
      <c r="O119" s="15">
        <f>O118-'Output - Jobs vs Yr (BAU)'!O55</f>
        <v>144.35210769549076</v>
      </c>
      <c r="P119" s="15">
        <f>P118-'Output - Jobs vs Yr (BAU)'!P55</f>
        <v>142.04806501283838</v>
      </c>
      <c r="Q119" s="15">
        <f>Q118-'Output - Jobs vs Yr (BAU)'!Q55</f>
        <v>139.32699507758298</v>
      </c>
      <c r="R119" s="15">
        <f>R118-'Output - Jobs vs Yr (BAU)'!R55</f>
        <v>140.22843192128676</v>
      </c>
      <c r="S119" s="15">
        <f>S118-'Output - Jobs vs Yr (BAU)'!S55</f>
        <v>142.78776819530822</v>
      </c>
      <c r="T119" s="15">
        <f>T118-'Output - Jobs vs Yr (BAU)'!T55</f>
        <v>140.68551749759217</v>
      </c>
      <c r="U119" s="15">
        <f>U118-'Output - Jobs vs Yr (BAU)'!U55</f>
        <v>146.23716343976503</v>
      </c>
      <c r="V119" s="15">
        <f>V118-'Output - Jobs vs Yr (BAU)'!V55</f>
        <v>148.29282487712317</v>
      </c>
      <c r="W119" s="15">
        <f>W118-'Output - Jobs vs Yr (BAU)'!W55</f>
        <v>150.10345007067463</v>
      </c>
      <c r="X119" s="190">
        <f>X118-'Output - Jobs vs Yr (BAU)'!X55</f>
        <v>157.18095335393082</v>
      </c>
      <c r="Y119" s="130">
        <f>Y118-'Output - Jobs vs Yr (BAU)'!Y55</f>
        <v>163.09783696282966</v>
      </c>
      <c r="Z119" s="130">
        <f>Z118-'Output - Jobs vs Yr (BAU)'!Z55</f>
        <v>168.53109891232725</v>
      </c>
      <c r="AA119" s="130">
        <f>AA118-'Output - Jobs vs Yr (BAU)'!AA55</f>
        <v>177.85884233122897</v>
      </c>
      <c r="AB119" s="130">
        <f>AB118-'Output - Jobs vs Yr (BAU)'!AB55</f>
        <v>185.3724448359485</v>
      </c>
      <c r="AC119" s="130">
        <f>AC118-'Output - Jobs vs Yr (BAU)'!AC55</f>
        <v>188.25419557529403</v>
      </c>
      <c r="AD119" s="130">
        <f>AD118-'Output - Jobs vs Yr (BAU)'!AD55</f>
        <v>200.87254781457295</v>
      </c>
      <c r="AE119" s="130">
        <f>AE118-'Output - Jobs vs Yr (BAU)'!AE55</f>
        <v>205.55196288021807</v>
      </c>
      <c r="AF119" s="130">
        <f>AF118-'Output - Jobs vs Yr (BAU)'!AF55</f>
        <v>213.03249624759019</v>
      </c>
      <c r="AG119" s="130">
        <f>AG118-'Output - Jobs vs Yr (BAU)'!AG55</f>
        <v>216.92671476177929</v>
      </c>
      <c r="AH119" s="190">
        <f>AH118-'Output - Jobs vs Yr (BAU)'!AH55</f>
        <v>218.06612781192234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10.547423296524585</v>
      </c>
    </row>
    <row r="123" spans="1:35" hidden="1">
      <c r="W123" s="2" t="s">
        <v>134</v>
      </c>
      <c r="X123" s="187">
        <f>X115-'Output - Jobs vs Yr (BAU)'!X51</f>
        <v>134.18566047275448</v>
      </c>
    </row>
    <row r="124" spans="1:35" hidden="1">
      <c r="W124" s="2" t="s">
        <v>137</v>
      </c>
      <c r="X124" s="187">
        <f>SUM(X101,X106,X111)</f>
        <v>0</v>
      </c>
    </row>
    <row r="125" spans="1:35" hidden="1">
      <c r="W125" s="2" t="s">
        <v>132</v>
      </c>
      <c r="X125" s="187">
        <f>SUM(X121:X124)</f>
        <v>144.73308376927906</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226.79864999999998</v>
      </c>
      <c r="D129" s="331">
        <f>D102*Inputs!$H48</f>
        <v>244.24658724299772</v>
      </c>
      <c r="E129" s="331">
        <f>E102*Inputs!$H48</f>
        <v>226.08680626776581</v>
      </c>
      <c r="F129" s="331">
        <f>F102*Inputs!$H48</f>
        <v>217.59538801251227</v>
      </c>
      <c r="G129" s="331">
        <f>G102*Inputs!$H48</f>
        <v>208.27549353676537</v>
      </c>
      <c r="H129" s="402">
        <f>H102*Inputs!$H48</f>
        <v>175.13117597047221</v>
      </c>
      <c r="I129" s="14">
        <f>I102*Inputs!$H48</f>
        <v>171.97905243255963</v>
      </c>
      <c r="J129" s="14">
        <f>J102*Inputs!$H48</f>
        <v>174.08273069806606</v>
      </c>
      <c r="K129" s="14">
        <f>K102*Inputs!$H48</f>
        <v>178.79197143717417</v>
      </c>
      <c r="L129" s="14">
        <f>L102*Inputs!$H48</f>
        <v>182.7208068369155</v>
      </c>
      <c r="M129" s="14">
        <f>M102*Inputs!$H48</f>
        <v>184.39158201050944</v>
      </c>
      <c r="N129" s="182">
        <f>N102*Inputs!$H48</f>
        <v>183.93467527967144</v>
      </c>
      <c r="O129" s="14">
        <f>O102*Inputs!$H48</f>
        <v>184.14338571831902</v>
      </c>
      <c r="P129" s="14">
        <f>P102*Inputs!$H48</f>
        <v>182.72520321885008</v>
      </c>
      <c r="Q129" s="14">
        <f>Q102*Inputs!$H48</f>
        <v>182.22446160139913</v>
      </c>
      <c r="R129" s="14">
        <f>R102*Inputs!$H48</f>
        <v>182.02678701864718</v>
      </c>
      <c r="S129" s="14">
        <f>S102*Inputs!$H48</f>
        <v>182.08467751302078</v>
      </c>
      <c r="T129" s="14">
        <f>T102*Inputs!$H48</f>
        <v>180.70129780147155</v>
      </c>
      <c r="U129" s="14">
        <f>U102*Inputs!$H48</f>
        <v>183.48698725498141</v>
      </c>
      <c r="V129" s="14">
        <f>V102*Inputs!$H48</f>
        <v>185.75029778487632</v>
      </c>
      <c r="W129" s="14">
        <f>W102*Inputs!$H48</f>
        <v>184.39011395452218</v>
      </c>
      <c r="X129" s="187">
        <f>X102*Inputs!$H48</f>
        <v>185.56446299447981</v>
      </c>
      <c r="Y129" s="158">
        <f>Y102*Inputs!$H48</f>
        <v>186.17600493036753</v>
      </c>
      <c r="Z129" s="158">
        <f>Z102*Inputs!$H48</f>
        <v>185.94675762313059</v>
      </c>
      <c r="AA129" s="158">
        <f>AA102*Inputs!$H48</f>
        <v>187.31899430756098</v>
      </c>
      <c r="AB129" s="158">
        <f>AB102*Inputs!$H48</f>
        <v>187.83739182685002</v>
      </c>
      <c r="AC129" s="158">
        <f>AC102*Inputs!$H48</f>
        <v>186.86336435991092</v>
      </c>
      <c r="AD129" s="158">
        <f>AD102*Inputs!$H48</f>
        <v>188.57507231637825</v>
      </c>
      <c r="AE129" s="158">
        <f>AE102*Inputs!$H48</f>
        <v>188.52581883166209</v>
      </c>
      <c r="AF129" s="158">
        <f>AF102*Inputs!$H48</f>
        <v>188.04416700968821</v>
      </c>
      <c r="AG129" s="158">
        <f>AG102*Inputs!$H48</f>
        <v>187.35154295650247</v>
      </c>
      <c r="AH129" s="187">
        <f>AH102*Inputs!$H48</f>
        <v>185.69917504527001</v>
      </c>
    </row>
    <row r="130" spans="1:35">
      <c r="A130" s="10" t="s">
        <v>59</v>
      </c>
      <c r="B130" s="35">
        <v>0</v>
      </c>
      <c r="C130" s="331">
        <f>C103*Inputs!$H53</f>
        <v>1110.9420000000002</v>
      </c>
      <c r="D130" s="331">
        <f>D103*Inputs!$H53</f>
        <v>1212.4101233539923</v>
      </c>
      <c r="E130" s="331">
        <f>E103*Inputs!$H53</f>
        <v>1137.751387319104</v>
      </c>
      <c r="F130" s="331">
        <f>F103*Inputs!$H53</f>
        <v>1110.6140361475962</v>
      </c>
      <c r="G130" s="331">
        <f>G103*Inputs!$H53</f>
        <v>1078.6811392972145</v>
      </c>
      <c r="H130" s="402">
        <f>H103*Inputs!$H53</f>
        <v>1182.7280785865212</v>
      </c>
      <c r="I130" s="14">
        <f>I103*Inputs!$H53</f>
        <v>1134.6145986218628</v>
      </c>
      <c r="J130" s="14">
        <f>J103*Inputs!$H53</f>
        <v>1121.4211216885908</v>
      </c>
      <c r="K130" s="14">
        <f>K103*Inputs!$H53</f>
        <v>1124.0365478317051</v>
      </c>
      <c r="L130" s="14">
        <f>L103*Inputs!$H53</f>
        <v>1120.4915150554539</v>
      </c>
      <c r="M130" s="14">
        <f>M103*Inputs!$H53</f>
        <v>1102.319396479618</v>
      </c>
      <c r="N130" s="182">
        <f>N103*Inputs!$H53</f>
        <v>1071.3255323442306</v>
      </c>
      <c r="O130" s="14">
        <f>O103*Inputs!$H53</f>
        <v>1072.5411640430932</v>
      </c>
      <c r="P130" s="14">
        <f>P103*Inputs!$H53</f>
        <v>1064.2809753707031</v>
      </c>
      <c r="Q130" s="14">
        <f>Q103*Inputs!$H53</f>
        <v>1061.3644112205948</v>
      </c>
      <c r="R130" s="14">
        <f>R103*Inputs!$H53</f>
        <v>1060.21305774537</v>
      </c>
      <c r="S130" s="14">
        <f>S103*Inputs!$H53</f>
        <v>1060.5502403054725</v>
      </c>
      <c r="T130" s="14">
        <f>T103*Inputs!$H53</f>
        <v>1052.492760095957</v>
      </c>
      <c r="U130" s="14">
        <f>U103*Inputs!$H53</f>
        <v>1068.7179782729504</v>
      </c>
      <c r="V130" s="14">
        <f>V103*Inputs!$H53</f>
        <v>1081.9006060434519</v>
      </c>
      <c r="W130" s="14">
        <f>W103*Inputs!$H53</f>
        <v>1073.9782299937788</v>
      </c>
      <c r="X130" s="187">
        <f>X103*Inputs!$H53</f>
        <v>1080.8182133111027</v>
      </c>
      <c r="Y130" s="158">
        <f>Y103*Inputs!$H53</f>
        <v>1084.3801327209126</v>
      </c>
      <c r="Z130" s="158">
        <f>Z103*Inputs!$H53</f>
        <v>1083.0448842524513</v>
      </c>
      <c r="AA130" s="158">
        <f>AA103*Inputs!$H53</f>
        <v>1091.0374620206965</v>
      </c>
      <c r="AB130" s="158">
        <f>AB103*Inputs!$H53</f>
        <v>1094.0568627806338</v>
      </c>
      <c r="AC130" s="158">
        <f>AC103*Inputs!$H53</f>
        <v>1088.3836503047924</v>
      </c>
      <c r="AD130" s="158">
        <f>AD103*Inputs!$H53</f>
        <v>1098.3534748356587</v>
      </c>
      <c r="AE130" s="158">
        <f>AE103*Inputs!$H53</f>
        <v>1098.0665984451514</v>
      </c>
      <c r="AF130" s="158">
        <f>AF103*Inputs!$H53</f>
        <v>1095.2612226029066</v>
      </c>
      <c r="AG130" s="158">
        <f>AG103*Inputs!$H53</f>
        <v>1091.2270412754033</v>
      </c>
      <c r="AH130" s="187">
        <f>AH103*Inputs!$H53</f>
        <v>1081.6028421979972</v>
      </c>
    </row>
    <row r="131" spans="1:35">
      <c r="A131" s="10" t="s">
        <v>121</v>
      </c>
      <c r="B131" s="35">
        <v>1</v>
      </c>
      <c r="C131" s="330">
        <f>Inputs!$H46*'Output -Jobs vs Yr'!C104</f>
        <v>185.976</v>
      </c>
      <c r="D131" s="330">
        <f>Inputs!$H46*'Output -Jobs vs Yr'!D104</f>
        <v>228.24678280352566</v>
      </c>
      <c r="E131" s="330">
        <f>Inputs!$H46*'Output -Jobs vs Yr'!E104</f>
        <v>240.89340261011549</v>
      </c>
      <c r="F131" s="330">
        <f>Inputs!$H46*'Output -Jobs vs Yr'!F104</f>
        <v>264.48224188116717</v>
      </c>
      <c r="G131" s="330">
        <f>Inputs!$H46*'Output -Jobs vs Yr'!G104</f>
        <v>288.94572392080374</v>
      </c>
      <c r="H131" s="286">
        <f>Inputs!$H46*'Output -Jobs vs Yr'!H104</f>
        <v>146.04306298231987</v>
      </c>
      <c r="I131" s="40">
        <f>Inputs!$H46*'Output -Jobs vs Yr'!I104</f>
        <v>159.64939627051285</v>
      </c>
      <c r="J131" s="40">
        <f>Inputs!$H46*'Output -Jobs vs Yr'!J104</f>
        <v>198.7500427084525</v>
      </c>
      <c r="K131" s="40">
        <f>Inputs!$H46*'Output -Jobs vs Yr'!K104</f>
        <v>205.67960324299273</v>
      </c>
      <c r="L131" s="40">
        <f>Inputs!$H46*'Output -Jobs vs Yr'!L104</f>
        <v>233.99600093790099</v>
      </c>
      <c r="M131" s="40">
        <f>Inputs!$H46*'Output -Jobs vs Yr'!M104</f>
        <v>262.86920992259201</v>
      </c>
      <c r="N131" s="177">
        <f>Inputs!$H46*'Output -Jobs vs Yr'!N104</f>
        <v>291.9049200599618</v>
      </c>
      <c r="O131" s="40">
        <f>Inputs!$H46*'Output -Jobs vs Yr'!O104</f>
        <v>294.40799192521865</v>
      </c>
      <c r="P131" s="40">
        <f>Inputs!$H46*'Output -Jobs vs Yr'!P104</f>
        <v>294.31184879820199</v>
      </c>
      <c r="Q131" s="40">
        <f>Inputs!$H46*'Output -Jobs vs Yr'!Q104</f>
        <v>295.68680680437967</v>
      </c>
      <c r="R131" s="40">
        <f>Inputs!$H46*'Output -Jobs vs Yr'!R104</f>
        <v>297.5614791829434</v>
      </c>
      <c r="S131" s="40">
        <f>Inputs!$H46*'Output -Jobs vs Yr'!S104</f>
        <v>299.86867216322577</v>
      </c>
      <c r="T131" s="40">
        <f>Inputs!$H46*'Output -Jobs vs Yr'!T104</f>
        <v>299.80261190233284</v>
      </c>
      <c r="U131" s="40">
        <f>Inputs!$H46*'Output -Jobs vs Yr'!U104</f>
        <v>306.68745441906805</v>
      </c>
      <c r="V131" s="40">
        <f>Inputs!$H46*'Output -Jobs vs Yr'!V104</f>
        <v>312.77858827237628</v>
      </c>
      <c r="W131" s="40">
        <f>Inputs!$H46*'Output -Jobs vs Yr'!W104</f>
        <v>312.79661142355212</v>
      </c>
      <c r="X131" s="184">
        <f>Inputs!$H46*'Output -Jobs vs Yr'!X104</f>
        <v>317.12923597804519</v>
      </c>
      <c r="Y131" s="271">
        <f>Inputs!$H46*'Output -Jobs vs Yr'!Y104</f>
        <v>323.28350004841133</v>
      </c>
      <c r="Z131" s="271">
        <f>Inputs!$H46*'Output -Jobs vs Yr'!Z104</f>
        <v>328.07107731390789</v>
      </c>
      <c r="AA131" s="271">
        <f>Inputs!$H46*'Output -Jobs vs Yr'!AA104</f>
        <v>335.80085674501987</v>
      </c>
      <c r="AB131" s="271">
        <f>Inputs!$H46*'Output -Jobs vs Yr'!AB104</f>
        <v>342.13998213069556</v>
      </c>
      <c r="AC131" s="271">
        <f>Inputs!$H46*'Output -Jobs vs Yr'!AC104</f>
        <v>345.83495913816904</v>
      </c>
      <c r="AD131" s="271">
        <f>Inputs!$H46*'Output -Jobs vs Yr'!AD104</f>
        <v>354.61174657348761</v>
      </c>
      <c r="AE131" s="271">
        <f>Inputs!$H46*'Output -Jobs vs Yr'!AE104</f>
        <v>360.21760708382197</v>
      </c>
      <c r="AF131" s="271">
        <f>Inputs!$H46*'Output -Jobs vs Yr'!AF104</f>
        <v>365.07357467001174</v>
      </c>
      <c r="AG131" s="271">
        <f>Inputs!$H46*'Output -Jobs vs Yr'!AG104</f>
        <v>369.57739898521487</v>
      </c>
      <c r="AH131" s="184">
        <f>Inputs!$H46*'Output -Jobs vs Yr'!AH104</f>
        <v>372.2090045974474</v>
      </c>
    </row>
    <row r="132" spans="1:35">
      <c r="A132" s="10" t="s">
        <v>50</v>
      </c>
      <c r="B132" s="35">
        <v>1</v>
      </c>
      <c r="C132" s="331">
        <f>C105*Inputs!$H49</f>
        <v>0</v>
      </c>
      <c r="D132" s="331">
        <f>D105*Inputs!$H49</f>
        <v>0</v>
      </c>
      <c r="E132" s="331">
        <f>E105*Inputs!$H49</f>
        <v>2.2500000000000003E-8</v>
      </c>
      <c r="F132" s="331">
        <f>F105*Inputs!$H49</f>
        <v>2.2500000000000003E-8</v>
      </c>
      <c r="G132" s="331">
        <f>G105*Inputs!$H49</f>
        <v>2.2500000000000003E-8</v>
      </c>
      <c r="H132" s="402">
        <f>H105*Inputs!$H49</f>
        <v>2.2500000000000003E-8</v>
      </c>
      <c r="I132" s="14">
        <f>I105*Inputs!$H49</f>
        <v>2.3002073830204917E-8</v>
      </c>
      <c r="J132" s="14">
        <f>J105*Inputs!$H49</f>
        <v>2.4239324236552533E-8</v>
      </c>
      <c r="K132" s="14">
        <f>K105*Inputs!$H49</f>
        <v>2.5917147060265789E-8</v>
      </c>
      <c r="L132" s="14">
        <f>L105*Inputs!$H49</f>
        <v>2.7574175138762382E-8</v>
      </c>
      <c r="M132" s="14">
        <f>M105*Inputs!$H49</f>
        <v>2.8968895797888902E-8</v>
      </c>
      <c r="N132" s="182">
        <f>N105*Inputs!$H49</f>
        <v>3.0083735673916894E-8</v>
      </c>
      <c r="O132" s="14">
        <f>O105*Inputs!$H49</f>
        <v>3.0341702385652148E-8</v>
      </c>
      <c r="P132" s="14">
        <f>P105*Inputs!$H49</f>
        <v>3.0331793870168957E-8</v>
      </c>
      <c r="Q132" s="14">
        <f>Q105*Inputs!$H49</f>
        <v>3.047349711111498E-8</v>
      </c>
      <c r="R132" s="14">
        <f>R105*Inputs!$H49</f>
        <v>3.0666700940294434E-8</v>
      </c>
      <c r="S132" s="14">
        <f>S105*Inputs!$H49</f>
        <v>3.0904480364338647E-8</v>
      </c>
      <c r="T132" s="14">
        <f>T105*Inputs!$H49</f>
        <v>3.0897672190544096E-8</v>
      </c>
      <c r="U132" s="14">
        <f>U105*Inputs!$H49</f>
        <v>3.1607224404968786E-8</v>
      </c>
      <c r="V132" s="14">
        <f>V105*Inputs!$H49</f>
        <v>3.2234976964808236E-8</v>
      </c>
      <c r="W132" s="14">
        <f>W105*Inputs!$H49</f>
        <v>3.2236834431670641E-8</v>
      </c>
      <c r="X132" s="187">
        <f>X105*Inputs!$H49</f>
        <v>3.268335493514454E-8</v>
      </c>
      <c r="Y132" s="158">
        <f>Y105*Inputs!$H49</f>
        <v>3.3317613698314238E-8</v>
      </c>
      <c r="Z132" s="158">
        <f>Z105*Inputs!$H49</f>
        <v>3.381102165095877E-8</v>
      </c>
      <c r="AA132" s="158">
        <f>AA105*Inputs!$H49</f>
        <v>3.4607653106076014E-8</v>
      </c>
      <c r="AB132" s="158">
        <f>AB105*Inputs!$H49</f>
        <v>3.5260963685655521E-8</v>
      </c>
      <c r="AC132" s="158">
        <f>AC105*Inputs!$H49</f>
        <v>3.5641768201013473E-8</v>
      </c>
      <c r="AD132" s="158">
        <f>AD105*Inputs!$H49</f>
        <v>3.6546304353456664E-8</v>
      </c>
      <c r="AE132" s="158">
        <f>AE105*Inputs!$H49</f>
        <v>3.7124044618276813E-8</v>
      </c>
      <c r="AF132" s="158">
        <f>AF105*Inputs!$H49</f>
        <v>3.7624500880795562E-8</v>
      </c>
      <c r="AG132" s="158">
        <f>AG105*Inputs!$H49</f>
        <v>3.8088665240178396E-8</v>
      </c>
      <c r="AH132" s="187">
        <f>AH105*Inputs!$H49</f>
        <v>3.8359878646311273E-8</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20.384999999999998</v>
      </c>
      <c r="D134" s="331">
        <f>D107*Inputs!$H52</f>
        <v>23.396531050315538</v>
      </c>
      <c r="E134" s="331">
        <f>E107*Inputs!$H52</f>
        <v>23.0921677677437</v>
      </c>
      <c r="F134" s="331">
        <f>F107*Inputs!$H52</f>
        <v>23.709877378415037</v>
      </c>
      <c r="G134" s="331">
        <f>G107*Inputs!$H52</f>
        <v>24.223787863062583</v>
      </c>
      <c r="H134" s="402">
        <f>H107*Inputs!$H52</f>
        <v>23.534326555214179</v>
      </c>
      <c r="I134" s="14">
        <f>I107*Inputs!$H52</f>
        <v>24.05919628694242</v>
      </c>
      <c r="J134" s="14">
        <f>J107*Inputs!$H52</f>
        <v>25.353008114172642</v>
      </c>
      <c r="K134" s="14">
        <f>K107*Inputs!$H52</f>
        <v>27.107598559615091</v>
      </c>
      <c r="L134" s="14">
        <f>L107*Inputs!$H52</f>
        <v>28.840397858296381</v>
      </c>
      <c r="M134" s="14">
        <f>M107*Inputs!$H52</f>
        <v>30.298806687555167</v>
      </c>
      <c r="N134" s="182">
        <f>N107*Inputs!$H52</f>
        <v>31.464454870896631</v>
      </c>
      <c r="O134" s="14">
        <f>O107*Inputs!$H52</f>
        <v>31.734261189086844</v>
      </c>
      <c r="P134" s="14">
        <f>P107*Inputs!$H52</f>
        <v>31.723897913673266</v>
      </c>
      <c r="Q134" s="14">
        <f>Q107*Inputs!$H52</f>
        <v>31.872104748028327</v>
      </c>
      <c r="R134" s="14">
        <f>R107*Inputs!$H52</f>
        <v>32.07417583487716</v>
      </c>
      <c r="S134" s="14">
        <f>S107*Inputs!$H52</f>
        <v>32.322868352261345</v>
      </c>
      <c r="T134" s="14">
        <f>T107*Inputs!$H52</f>
        <v>32.315747711412953</v>
      </c>
      <c r="U134" s="14">
        <f>U107*Inputs!$H52</f>
        <v>33.057865441448293</v>
      </c>
      <c r="V134" s="14">
        <f>V107*Inputs!$H52</f>
        <v>33.714429250652465</v>
      </c>
      <c r="W134" s="14">
        <f>W107*Inputs!$H52</f>
        <v>33.716371967571</v>
      </c>
      <c r="X134" s="187">
        <f>X107*Inputs!$H52</f>
        <v>34.183385917659194</v>
      </c>
      <c r="Y134" s="158">
        <f>Y107*Inputs!$H52</f>
        <v>34.846754538050519</v>
      </c>
      <c r="Z134" s="158">
        <f>Z107*Inputs!$H52</f>
        <v>35.362807877542721</v>
      </c>
      <c r="AA134" s="158">
        <f>AA107*Inputs!$H52</f>
        <v>36.196001425709866</v>
      </c>
      <c r="AB134" s="158">
        <f>AB107*Inputs!$H52</f>
        <v>36.879296262184617</v>
      </c>
      <c r="AC134" s="158">
        <f>AC107*Inputs!$H52</f>
        <v>37.27757813176315</v>
      </c>
      <c r="AD134" s="158">
        <f>AD107*Inputs!$H52</f>
        <v>38.223628757128779</v>
      </c>
      <c r="AE134" s="158">
        <f>AE107*Inputs!$H52</f>
        <v>38.827884913563985</v>
      </c>
      <c r="AF134" s="158">
        <f>AF107*Inputs!$H52</f>
        <v>39.351310051238329</v>
      </c>
      <c r="AG134" s="158">
        <f>AG107*Inputs!$H52</f>
        <v>39.836777637338095</v>
      </c>
      <c r="AH134" s="187">
        <f>AH107*Inputs!$H52</f>
        <v>40.120438618479085</v>
      </c>
    </row>
    <row r="135" spans="1:35">
      <c r="A135" s="9" t="s">
        <v>347</v>
      </c>
      <c r="B135" s="35">
        <v>1</v>
      </c>
      <c r="C135" s="331">
        <f>C108*Inputs!$H54</f>
        <v>0</v>
      </c>
      <c r="D135" s="331">
        <f>D108*Inputs!$H54</f>
        <v>6.3128268000000016</v>
      </c>
      <c r="E135" s="331">
        <f>E108*Inputs!$H54</f>
        <v>12.023192406399646</v>
      </c>
      <c r="F135" s="331">
        <f>F108*Inputs!$H54</f>
        <v>22.140303374618874</v>
      </c>
      <c r="G135" s="331">
        <f>G108*Inputs!$H54</f>
        <v>28.905769557986218</v>
      </c>
      <c r="H135" s="402">
        <f>H108*Inputs!$H54</f>
        <v>44.093946109056851</v>
      </c>
      <c r="I135" s="14">
        <f>I108*Inputs!$H54</f>
        <v>45.379054362276676</v>
      </c>
      <c r="J135" s="14">
        <f>J108*Inputs!$H54</f>
        <v>48.139431379309649</v>
      </c>
      <c r="K135" s="14">
        <f>K108*Inputs!$H54</f>
        <v>51.815493722332334</v>
      </c>
      <c r="L135" s="14">
        <f>L108*Inputs!$H54</f>
        <v>55.496676679909051</v>
      </c>
      <c r="M135" s="14">
        <f>M108*Inputs!$H54</f>
        <v>58.693281113481632</v>
      </c>
      <c r="N135" s="182">
        <f>N108*Inputs!$H54</f>
        <v>61.35927374155866</v>
      </c>
      <c r="O135" s="14">
        <f>O108*Inputs!$H54</f>
        <v>61.885426818195874</v>
      </c>
      <c r="P135" s="14">
        <f>P108*Inputs!$H54</f>
        <v>61.865217249793353</v>
      </c>
      <c r="Q135" s="14">
        <f>Q108*Inputs!$H54</f>
        <v>62.15423747140138</v>
      </c>
      <c r="R135" s="14">
        <f>R108*Inputs!$H54</f>
        <v>62.548299125546869</v>
      </c>
      <c r="S135" s="14">
        <f>S108*Inputs!$H54</f>
        <v>63.0332778837763</v>
      </c>
      <c r="T135" s="14">
        <f>T108*Inputs!$H54</f>
        <v>63.01939182241518</v>
      </c>
      <c r="U135" s="14">
        <f>U108*Inputs!$H54</f>
        <v>64.466605992580938</v>
      </c>
      <c r="V135" s="14">
        <f>V108*Inputs!$H54</f>
        <v>65.746980264535097</v>
      </c>
      <c r="W135" s="14">
        <f>W108*Inputs!$H54</f>
        <v>65.750768783983347</v>
      </c>
      <c r="X135" s="187">
        <f>X108*Inputs!$H54</f>
        <v>66.661499223209688</v>
      </c>
      <c r="Y135" s="158">
        <f>Y108*Inputs!$H54</f>
        <v>67.955143652683049</v>
      </c>
      <c r="Z135" s="158">
        <f>Z108*Inputs!$H54</f>
        <v>68.961506491418774</v>
      </c>
      <c r="AA135" s="158">
        <f>AA108*Inputs!$H54</f>
        <v>70.586328888992739</v>
      </c>
      <c r="AB135" s="158">
        <f>AB108*Inputs!$H54</f>
        <v>71.918831711287865</v>
      </c>
      <c r="AC135" s="158">
        <f>AC108*Inputs!$H54</f>
        <v>72.695526758509985</v>
      </c>
      <c r="AD135" s="158">
        <f>AD108*Inputs!$H54</f>
        <v>74.540433321594136</v>
      </c>
      <c r="AE135" s="158">
        <f>AE108*Inputs!$H54</f>
        <v>75.718801707916455</v>
      </c>
      <c r="AF135" s="158">
        <f>AF108*Inputs!$H54</f>
        <v>76.739540393444429</v>
      </c>
      <c r="AG135" s="158">
        <f>AG108*Inputs!$H54</f>
        <v>77.686257526487836</v>
      </c>
      <c r="AH135" s="187">
        <f>AH108*Inputs!$H54</f>
        <v>78.239428775220617</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2.1161907923788525E-2</v>
      </c>
      <c r="J136" s="14">
        <f>J109*Inputs!$H55</f>
        <v>2.2300178297628332E-2</v>
      </c>
      <c r="K136" s="14">
        <f>K109*Inputs!$H55</f>
        <v>2.3843775295444528E-2</v>
      </c>
      <c r="L136" s="14">
        <f>L109*Inputs!$H55</f>
        <v>2.5368241127661392E-2</v>
      </c>
      <c r="M136" s="14">
        <f>M109*Inputs!$H55</f>
        <v>2.6651384134057796E-2</v>
      </c>
      <c r="N136" s="187">
        <f>N109*Inputs!$H55</f>
        <v>2.7677036820003539E-2</v>
      </c>
      <c r="O136" s="14">
        <f>O109*Inputs!$H55</f>
        <v>2.7914366194799974E-2</v>
      </c>
      <c r="P136" s="14">
        <f>P109*Inputs!$H55</f>
        <v>2.7905250360555446E-2</v>
      </c>
      <c r="Q136" s="14">
        <f>Q109*Inputs!$H55</f>
        <v>2.8035617342225778E-2</v>
      </c>
      <c r="R136" s="14">
        <f>R109*Inputs!$H55</f>
        <v>2.8213364865070877E-2</v>
      </c>
      <c r="S136" s="14">
        <f>S109*Inputs!$H55</f>
        <v>2.843212193519155E-2</v>
      </c>
      <c r="T136" s="14">
        <f>T109*Inputs!$H55</f>
        <v>2.8425858415300567E-2</v>
      </c>
      <c r="U136" s="14">
        <f>U109*Inputs!$H55</f>
        <v>2.9078646452571279E-2</v>
      </c>
      <c r="V136" s="14">
        <f>V109*Inputs!$H55</f>
        <v>2.9656178807623571E-2</v>
      </c>
      <c r="W136" s="14">
        <f>W109*Inputs!$H55</f>
        <v>2.965788767713699E-2</v>
      </c>
      <c r="X136" s="187">
        <f>X109*Inputs!$H55</f>
        <v>3.006868654033298E-2</v>
      </c>
      <c r="Y136" s="158">
        <f>Y109*Inputs!$H55</f>
        <v>3.0652204602449096E-2</v>
      </c>
      <c r="Z136" s="158">
        <f>Z109*Inputs!$H55</f>
        <v>3.1106139918882069E-2</v>
      </c>
      <c r="AA136" s="158">
        <f>AA109*Inputs!$H55</f>
        <v>3.1839040857589936E-2</v>
      </c>
      <c r="AB136" s="158">
        <f>AB109*Inputs!$H55</f>
        <v>3.244008659080308E-2</v>
      </c>
      <c r="AC136" s="158">
        <f>AC109*Inputs!$H55</f>
        <v>3.2790426744932405E-2</v>
      </c>
      <c r="AD136" s="158">
        <f>AD109*Inputs!$H55</f>
        <v>3.3622600005180144E-2</v>
      </c>
      <c r="AE136" s="158">
        <f>AE109*Inputs!$H55</f>
        <v>3.4154121048814684E-2</v>
      </c>
      <c r="AF136" s="158">
        <f>AF109*Inputs!$H55</f>
        <v>3.4614540810331919E-2</v>
      </c>
      <c r="AG136" s="158">
        <f>AG109*Inputs!$H55</f>
        <v>3.5041572020964126E-2</v>
      </c>
      <c r="AH136" s="187">
        <f>AH109*Inputs!$H55</f>
        <v>3.5291088354606356E-2</v>
      </c>
    </row>
    <row r="137" spans="1:35">
      <c r="A137" s="9" t="s">
        <v>344</v>
      </c>
      <c r="B137" s="35">
        <v>1</v>
      </c>
      <c r="C137" s="331">
        <f>C110*Inputs!$H56</f>
        <v>2.16E-3</v>
      </c>
      <c r="D137" s="331">
        <f>D110*Inputs!$H56</f>
        <v>2.4791319398525589E-3</v>
      </c>
      <c r="E137" s="331">
        <f>E110*Inputs!$H56</f>
        <v>2.4469100755175849E-3</v>
      </c>
      <c r="F137" s="331">
        <f>F110*Inputs!$H56</f>
        <v>2.5123940025605987E-3</v>
      </c>
      <c r="G137" s="331">
        <f>G110*Inputs!$H56</f>
        <v>2.5668803747055584E-3</v>
      </c>
      <c r="H137" s="402">
        <f>H110*Inputs!$H56</f>
        <v>2.16E-3</v>
      </c>
      <c r="I137" s="14">
        <f>I110*Inputs!$H56</f>
        <v>2.2081990876996723E-3</v>
      </c>
      <c r="J137" s="14">
        <f>J110*Inputs!$H56</f>
        <v>2.3269751267090432E-3</v>
      </c>
      <c r="K137" s="14">
        <f>K110*Inputs!$H56</f>
        <v>2.4880461177855151E-3</v>
      </c>
      <c r="L137" s="14">
        <f>L110*Inputs!$H56</f>
        <v>2.6471208133211884E-3</v>
      </c>
      <c r="M137" s="14">
        <f>M110*Inputs!$H56</f>
        <v>2.7810139965973352E-3</v>
      </c>
      <c r="N137" s="187">
        <f>N110*Inputs!$H56</f>
        <v>2.8880386246960222E-3</v>
      </c>
      <c r="O137" s="14">
        <f>O110*Inputs!$H56</f>
        <v>2.9128034290226059E-3</v>
      </c>
      <c r="P137" s="14">
        <f>P110*Inputs!$H56</f>
        <v>2.9118522115362203E-3</v>
      </c>
      <c r="Q137" s="14">
        <f>Q110*Inputs!$H56</f>
        <v>2.9254557226670377E-3</v>
      </c>
      <c r="R137" s="14">
        <f>R110*Inputs!$H56</f>
        <v>2.9440032902682657E-3</v>
      </c>
      <c r="S137" s="14">
        <f>S110*Inputs!$H56</f>
        <v>2.9668301149765094E-3</v>
      </c>
      <c r="T137" s="14">
        <f>T110*Inputs!$H56</f>
        <v>2.9661765302922329E-3</v>
      </c>
      <c r="U137" s="14">
        <f>U110*Inputs!$H56</f>
        <v>3.0342935428770033E-3</v>
      </c>
      <c r="V137" s="14">
        <f>V110*Inputs!$H56</f>
        <v>3.0945577886215903E-3</v>
      </c>
      <c r="W137" s="14">
        <f>W110*Inputs!$H56</f>
        <v>3.0947361054403824E-3</v>
      </c>
      <c r="X137" s="187">
        <f>X110*Inputs!$H56</f>
        <v>3.1376020737738756E-3</v>
      </c>
      <c r="Y137" s="158">
        <f>Y110*Inputs!$H56</f>
        <v>3.1984909150381672E-3</v>
      </c>
      <c r="Z137" s="158">
        <f>Z110*Inputs!$H56</f>
        <v>3.2458580784920422E-3</v>
      </c>
      <c r="AA137" s="158">
        <f>AA110*Inputs!$H56</f>
        <v>3.3223346981832978E-3</v>
      </c>
      <c r="AB137" s="158">
        <f>AB110*Inputs!$H56</f>
        <v>3.3850525138229303E-3</v>
      </c>
      <c r="AC137" s="158">
        <f>AC110*Inputs!$H56</f>
        <v>3.4216097472972943E-3</v>
      </c>
      <c r="AD137" s="158">
        <f>AD110*Inputs!$H56</f>
        <v>3.5084452179318403E-3</v>
      </c>
      <c r="AE137" s="158">
        <f>AE110*Inputs!$H56</f>
        <v>3.5639082833545757E-3</v>
      </c>
      <c r="AF137" s="158">
        <f>AF110*Inputs!$H56</f>
        <v>3.6119520845563748E-3</v>
      </c>
      <c r="AG137" s="158">
        <f>AG110*Inputs!$H56</f>
        <v>3.6565118630571269E-3</v>
      </c>
      <c r="AH137" s="187">
        <f>AH110*Inputs!$H56</f>
        <v>3.6825483500458815E-3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9.4860000000000007</v>
      </c>
      <c r="D139" s="331">
        <f>D112*Inputs!$H57</f>
        <v>13.39350362670899</v>
      </c>
      <c r="E139" s="331">
        <f>E112*Inputs!$H57</f>
        <v>16.262142340576819</v>
      </c>
      <c r="F139" s="331">
        <f>F112*Inputs!$H57</f>
        <v>20.540579251793648</v>
      </c>
      <c r="G139" s="331">
        <f>G112*Inputs!$H57</f>
        <v>25.816404557020434</v>
      </c>
      <c r="H139" s="402">
        <f>H112*Inputs!$H57</f>
        <v>23.568431091472966</v>
      </c>
      <c r="I139" s="14">
        <f>I112*Inputs!$H57</f>
        <v>58.260636815811566</v>
      </c>
      <c r="J139" s="14">
        <f>J112*Inputs!$H57</f>
        <v>81.687199159211346</v>
      </c>
      <c r="K139" s="14">
        <f>K112*Inputs!$H57</f>
        <v>81.685360060134656</v>
      </c>
      <c r="L139" s="14">
        <f>L112*Inputs!$H57</f>
        <v>81.660139666363776</v>
      </c>
      <c r="M139" s="14">
        <f>M112*Inputs!$H57</f>
        <v>85.488175017840348</v>
      </c>
      <c r="N139" s="182">
        <f>N112*Inputs!$H57</f>
        <v>109.21217551378055</v>
      </c>
      <c r="O139" s="14">
        <f>O112*Inputs!$H57</f>
        <v>110.14866512079337</v>
      </c>
      <c r="P139" s="14">
        <f>P112*Inputs!$H57</f>
        <v>110.11269450385404</v>
      </c>
      <c r="Q139" s="14">
        <f>Q112*Inputs!$H57</f>
        <v>110.62711596363589</v>
      </c>
      <c r="R139" s="14">
        <f>R112*Inputs!$H57</f>
        <v>111.32849862205937</v>
      </c>
      <c r="S139" s="14">
        <f>S112*Inputs!$H57</f>
        <v>112.19170286217631</v>
      </c>
      <c r="T139" s="14">
        <f>T112*Inputs!$H57</f>
        <v>112.16698733218237</v>
      </c>
      <c r="U139" s="14">
        <f>U112*Inputs!$H57</f>
        <v>114.74285562918801</v>
      </c>
      <c r="V139" s="14">
        <f>V112*Inputs!$H57</f>
        <v>117.02176884287684</v>
      </c>
      <c r="W139" s="14">
        <f>W112*Inputs!$H57</f>
        <v>117.02851195480906</v>
      </c>
      <c r="X139" s="187">
        <f>X112*Inputs!$H57</f>
        <v>118.64950331454145</v>
      </c>
      <c r="Y139" s="158">
        <f>Y112*Inputs!$H57</f>
        <v>120.9520358229792</v>
      </c>
      <c r="Z139" s="158">
        <f>Z112*Inputs!$H57</f>
        <v>122.74324142683744</v>
      </c>
      <c r="AA139" s="158">
        <f>AA112*Inputs!$H57</f>
        <v>125.63523114643516</v>
      </c>
      <c r="AB139" s="158">
        <f>AB112*Inputs!$H57</f>
        <v>128.00692695095282</v>
      </c>
      <c r="AC139" s="158">
        <f>AC112*Inputs!$H57</f>
        <v>129.38935132864643</v>
      </c>
      <c r="AD139" s="158">
        <f>AD112*Inputs!$H57</f>
        <v>132.6730645652587</v>
      </c>
      <c r="AE139" s="158">
        <f>AE112*Inputs!$H57</f>
        <v>134.77041949108406</v>
      </c>
      <c r="AF139" s="158">
        <f>AF112*Inputs!$H57</f>
        <v>136.58721238447973</v>
      </c>
      <c r="AG139" s="158">
        <f>AG112*Inputs!$H57</f>
        <v>138.27225575919968</v>
      </c>
      <c r="AH139" s="187">
        <f>AH112*Inputs!$H57</f>
        <v>139.25683448417342</v>
      </c>
      <c r="AI139" s="31">
        <f>SUM(C139:X139)</f>
        <v>1741.0790512468316</v>
      </c>
    </row>
    <row r="140" spans="1:35">
      <c r="A140" s="10" t="s">
        <v>383</v>
      </c>
      <c r="C140" s="331">
        <f t="shared" ref="C140:AH140" si="91">SUM(C127:C139)</f>
        <v>1553.5898100000004</v>
      </c>
      <c r="D140" s="331">
        <f t="shared" si="91"/>
        <v>1728.0088340094803</v>
      </c>
      <c r="E140" s="331">
        <f t="shared" si="91"/>
        <v>1656.1322456442811</v>
      </c>
      <c r="F140" s="331">
        <f t="shared" si="91"/>
        <v>1659.1056384626058</v>
      </c>
      <c r="G140" s="331">
        <f t="shared" si="91"/>
        <v>1654.8715856357278</v>
      </c>
      <c r="H140" s="402">
        <f t="shared" si="91"/>
        <v>1595.1218813175574</v>
      </c>
      <c r="I140" s="14">
        <f t="shared" si="91"/>
        <v>1593.9653049199794</v>
      </c>
      <c r="J140" s="14">
        <f t="shared" si="91"/>
        <v>1649.4581609254665</v>
      </c>
      <c r="K140" s="14">
        <f t="shared" si="91"/>
        <v>1669.1429067012846</v>
      </c>
      <c r="L140" s="14">
        <f t="shared" si="91"/>
        <v>1703.2335524243549</v>
      </c>
      <c r="M140" s="14">
        <f t="shared" si="91"/>
        <v>1724.0898836586964</v>
      </c>
      <c r="N140" s="182">
        <f t="shared" si="91"/>
        <v>1749.231596915628</v>
      </c>
      <c r="O140" s="14">
        <f t="shared" si="91"/>
        <v>1754.8917220146723</v>
      </c>
      <c r="P140" s="14">
        <f t="shared" si="91"/>
        <v>1745.0506541879799</v>
      </c>
      <c r="Q140" s="14">
        <f t="shared" si="91"/>
        <v>1743.9600989129772</v>
      </c>
      <c r="R140" s="14">
        <f t="shared" si="91"/>
        <v>1745.7834549282661</v>
      </c>
      <c r="S140" s="14">
        <f t="shared" si="91"/>
        <v>1750.0828380628873</v>
      </c>
      <c r="T140" s="14">
        <f t="shared" si="91"/>
        <v>1740.5301887316152</v>
      </c>
      <c r="U140" s="14">
        <f t="shared" si="91"/>
        <v>1771.1918599818196</v>
      </c>
      <c r="V140" s="14">
        <f t="shared" si="91"/>
        <v>1796.9454212276003</v>
      </c>
      <c r="W140" s="14">
        <f t="shared" si="91"/>
        <v>1787.6933607342357</v>
      </c>
      <c r="X140" s="187">
        <f t="shared" si="91"/>
        <v>1803.0395070603354</v>
      </c>
      <c r="Y140" s="158">
        <f t="shared" si="91"/>
        <v>1817.6274224422393</v>
      </c>
      <c r="Z140" s="158">
        <f t="shared" si="91"/>
        <v>1824.164627017097</v>
      </c>
      <c r="AA140" s="158">
        <f t="shared" si="91"/>
        <v>1846.6100359445788</v>
      </c>
      <c r="AB140" s="158">
        <f t="shared" si="91"/>
        <v>1860.8751168369704</v>
      </c>
      <c r="AC140" s="158">
        <f t="shared" si="91"/>
        <v>1860.4806420939258</v>
      </c>
      <c r="AD140" s="158">
        <f t="shared" si="91"/>
        <v>1887.0145514512756</v>
      </c>
      <c r="AE140" s="158">
        <f t="shared" si="91"/>
        <v>1896.1648485396565</v>
      </c>
      <c r="AF140" s="158">
        <f t="shared" si="91"/>
        <v>1901.0952536422885</v>
      </c>
      <c r="AG140" s="158">
        <f t="shared" si="91"/>
        <v>1903.989972262119</v>
      </c>
      <c r="AH140" s="187">
        <f t="shared" si="91"/>
        <v>1897.1666973936524</v>
      </c>
      <c r="AI140" s="48" t="s">
        <v>0</v>
      </c>
    </row>
    <row r="141" spans="1:35">
      <c r="A141" s="10" t="s">
        <v>386</v>
      </c>
      <c r="C141" s="331">
        <f>SUM(C128:C130)</f>
        <v>1337.7406500000002</v>
      </c>
      <c r="D141" s="331">
        <f t="shared" ref="D141:AH141" si="92">SUM(D128:D130)</f>
        <v>1456.65671059699</v>
      </c>
      <c r="E141" s="331">
        <f t="shared" si="92"/>
        <v>1363.8381935868697</v>
      </c>
      <c r="F141" s="331">
        <f t="shared" si="92"/>
        <v>1328.2094241601085</v>
      </c>
      <c r="G141" s="331">
        <f t="shared" si="92"/>
        <v>1286.9566328339799</v>
      </c>
      <c r="H141" s="402">
        <f t="shared" si="92"/>
        <v>1357.8592545569934</v>
      </c>
      <c r="I141" s="14">
        <f t="shared" si="92"/>
        <v>1306.5936510544225</v>
      </c>
      <c r="J141" s="14">
        <f t="shared" si="92"/>
        <v>1295.5038523866569</v>
      </c>
      <c r="K141" s="14">
        <f t="shared" si="92"/>
        <v>1302.8285192688793</v>
      </c>
      <c r="L141" s="14">
        <f t="shared" si="92"/>
        <v>1303.2123218923693</v>
      </c>
      <c r="M141" s="14">
        <f t="shared" si="92"/>
        <v>1286.7109784901274</v>
      </c>
      <c r="N141" s="187">
        <f t="shared" si="92"/>
        <v>1255.260207623902</v>
      </c>
      <c r="O141" s="14">
        <f t="shared" si="92"/>
        <v>1256.6845497614122</v>
      </c>
      <c r="P141" s="14">
        <f t="shared" si="92"/>
        <v>1247.0061785895532</v>
      </c>
      <c r="Q141" s="14">
        <f t="shared" si="92"/>
        <v>1243.5888728219938</v>
      </c>
      <c r="R141" s="14">
        <f t="shared" si="92"/>
        <v>1242.2398447640171</v>
      </c>
      <c r="S141" s="14">
        <f t="shared" si="92"/>
        <v>1242.6349178184932</v>
      </c>
      <c r="T141" s="14">
        <f t="shared" si="92"/>
        <v>1233.1940578974286</v>
      </c>
      <c r="U141" s="14">
        <f t="shared" si="92"/>
        <v>1252.2049655279318</v>
      </c>
      <c r="V141" s="14">
        <f t="shared" si="92"/>
        <v>1267.6509038283282</v>
      </c>
      <c r="W141" s="14">
        <f t="shared" si="92"/>
        <v>1258.3683439483009</v>
      </c>
      <c r="X141" s="187">
        <f t="shared" si="92"/>
        <v>1266.3826763055824</v>
      </c>
      <c r="Y141" s="158">
        <f t="shared" si="92"/>
        <v>1270.5561376512801</v>
      </c>
      <c r="Z141" s="158">
        <f t="shared" si="92"/>
        <v>1268.991641875582</v>
      </c>
      <c r="AA141" s="158">
        <f t="shared" si="92"/>
        <v>1278.3564563282575</v>
      </c>
      <c r="AB141" s="158">
        <f t="shared" si="92"/>
        <v>1281.8942546074838</v>
      </c>
      <c r="AC141" s="158">
        <f t="shared" si="92"/>
        <v>1275.2470146647033</v>
      </c>
      <c r="AD141" s="158">
        <f t="shared" si="92"/>
        <v>1286.928547152037</v>
      </c>
      <c r="AE141" s="158">
        <f t="shared" si="92"/>
        <v>1286.5924172768134</v>
      </c>
      <c r="AF141" s="158">
        <f t="shared" si="92"/>
        <v>1283.3053896125948</v>
      </c>
      <c r="AG141" s="158">
        <f t="shared" si="92"/>
        <v>1278.5785842319058</v>
      </c>
      <c r="AH141" s="187">
        <f t="shared" si="92"/>
        <v>1267.3020172432673</v>
      </c>
      <c r="AI141" s="48"/>
    </row>
    <row r="142" spans="1:35">
      <c r="A142" s="10" t="s">
        <v>385</v>
      </c>
      <c r="C142" s="330">
        <f t="shared" ref="C142:AH142" si="93">SUMPRODUCT($B131:$B139,C131:C139)</f>
        <v>215.84915999999998</v>
      </c>
      <c r="D142" s="330">
        <f t="shared" si="93"/>
        <v>271.35212341249007</v>
      </c>
      <c r="E142" s="330">
        <f t="shared" si="93"/>
        <v>292.29405205741108</v>
      </c>
      <c r="F142" s="330">
        <f t="shared" si="93"/>
        <v>330.8962143024973</v>
      </c>
      <c r="G142" s="330">
        <f t="shared" si="93"/>
        <v>367.91495280174763</v>
      </c>
      <c r="H142" s="286">
        <f t="shared" si="93"/>
        <v>237.26262676056385</v>
      </c>
      <c r="I142" s="40">
        <f t="shared" si="93"/>
        <v>287.37165386555705</v>
      </c>
      <c r="J142" s="40">
        <f t="shared" si="93"/>
        <v>353.95430853880981</v>
      </c>
      <c r="K142" s="40">
        <f t="shared" si="93"/>
        <v>366.31438743240523</v>
      </c>
      <c r="L142" s="40">
        <f t="shared" si="93"/>
        <v>400.02123053198534</v>
      </c>
      <c r="M142" s="40">
        <f t="shared" si="93"/>
        <v>437.37890516856874</v>
      </c>
      <c r="N142" s="177">
        <f t="shared" si="93"/>
        <v>493.9713892917261</v>
      </c>
      <c r="O142" s="40">
        <f t="shared" si="93"/>
        <v>498.2071722532603</v>
      </c>
      <c r="P142" s="40">
        <f t="shared" si="93"/>
        <v>498.04447559842663</v>
      </c>
      <c r="Q142" s="40">
        <f t="shared" si="93"/>
        <v>500.37122609098361</v>
      </c>
      <c r="R142" s="40">
        <f t="shared" si="93"/>
        <v>503.54361016424883</v>
      </c>
      <c r="S142" s="40">
        <f t="shared" si="93"/>
        <v>507.44792024439437</v>
      </c>
      <c r="T142" s="40">
        <f t="shared" si="93"/>
        <v>507.33613083418658</v>
      </c>
      <c r="U142" s="40">
        <f t="shared" si="93"/>
        <v>518.986894453888</v>
      </c>
      <c r="V142" s="40">
        <f t="shared" si="93"/>
        <v>529.29451739927197</v>
      </c>
      <c r="W142" s="40">
        <f t="shared" si="93"/>
        <v>529.32501678593485</v>
      </c>
      <c r="X142" s="184">
        <f t="shared" si="93"/>
        <v>536.65683075475306</v>
      </c>
      <c r="Y142" s="271">
        <f t="shared" si="93"/>
        <v>547.07128479095923</v>
      </c>
      <c r="Z142" s="271">
        <f t="shared" si="93"/>
        <v>555.17298514151526</v>
      </c>
      <c r="AA142" s="271">
        <f t="shared" si="93"/>
        <v>568.25357961632108</v>
      </c>
      <c r="AB142" s="271">
        <f t="shared" si="93"/>
        <v>578.98086222948632</v>
      </c>
      <c r="AC142" s="271">
        <f t="shared" si="93"/>
        <v>585.23362742922268</v>
      </c>
      <c r="AD142" s="271">
        <f t="shared" si="93"/>
        <v>600.08600429923854</v>
      </c>
      <c r="AE142" s="271">
        <f t="shared" si="93"/>
        <v>609.57243126284266</v>
      </c>
      <c r="AF142" s="271">
        <f t="shared" si="93"/>
        <v>617.7898640296936</v>
      </c>
      <c r="AG142" s="271">
        <f t="shared" si="93"/>
        <v>625.41138803021329</v>
      </c>
      <c r="AH142" s="184">
        <f t="shared" si="93"/>
        <v>629.86468015038508</v>
      </c>
    </row>
    <row r="143" spans="1:35">
      <c r="A143" s="10" t="s">
        <v>142</v>
      </c>
      <c r="C143" s="331">
        <f>C116*Inputs!$H$60</f>
        <v>570.26969999999994</v>
      </c>
      <c r="D143" s="331">
        <f>D116*Inputs!$H$60</f>
        <v>330.90723066109285</v>
      </c>
      <c r="E143" s="331">
        <f>E116*Inputs!$H$60</f>
        <v>127.01537185249441</v>
      </c>
      <c r="F143" s="331">
        <f>F116*Inputs!$H$60</f>
        <v>70.343001049531608</v>
      </c>
      <c r="G143" s="331">
        <f>G116*Inputs!$H$60</f>
        <v>75.213118977694492</v>
      </c>
      <c r="H143" s="402">
        <f>H116*Inputs!$H$60</f>
        <v>77.702537415810326</v>
      </c>
      <c r="I143" s="14">
        <f>I116*Inputs!$H$60</f>
        <v>75.029713527446944</v>
      </c>
      <c r="J143" s="14">
        <f>J116*Inputs!$H$60</f>
        <v>10.756334231807546</v>
      </c>
      <c r="K143" s="14">
        <f>K116*Inputs!$H$60</f>
        <v>40.562594098270544</v>
      </c>
      <c r="L143" s="14">
        <f>L116*Inputs!$H$60</f>
        <v>75.730423344181148</v>
      </c>
      <c r="M143" s="14">
        <f>M116*Inputs!$H$60</f>
        <v>90.424907208379338</v>
      </c>
      <c r="N143" s="182">
        <f>N116*Inputs!$H$60</f>
        <v>93.057104006891834</v>
      </c>
      <c r="O143" s="14">
        <f>O116*Inputs!$H$60</f>
        <v>95.841797326597884</v>
      </c>
      <c r="P143" s="14">
        <f>P116*Inputs!$H$60</f>
        <v>98.431369676577219</v>
      </c>
      <c r="Q143" s="14">
        <f>Q116*Inputs!$H$60</f>
        <v>100.66248372266372</v>
      </c>
      <c r="R143" s="14">
        <f>R116*Inputs!$H$60</f>
        <v>101.38805744199145</v>
      </c>
      <c r="S143" s="14">
        <f>S116*Inputs!$H$60</f>
        <v>101.79167036697284</v>
      </c>
      <c r="T143" s="14">
        <f>T116*Inputs!$H$60</f>
        <v>103.27056114344926</v>
      </c>
      <c r="U143" s="14">
        <f>U116*Inputs!$H$60</f>
        <v>156.58291266948973</v>
      </c>
      <c r="V143" s="14">
        <f>V116*Inputs!$H$60</f>
        <v>169.6324119481618</v>
      </c>
      <c r="W143" s="14">
        <f>W116*Inputs!$H$60</f>
        <v>174.32547575776059</v>
      </c>
      <c r="X143" s="187">
        <f>X116*Inputs!$H$60</f>
        <v>173.37039424546006</v>
      </c>
      <c r="Y143" s="158">
        <f>Y116*Inputs!$H$60</f>
        <v>171.0952324818613</v>
      </c>
      <c r="Z143" s="158">
        <f>Z116*Inputs!$H$60</f>
        <v>151.42864225944493</v>
      </c>
      <c r="AA143" s="158">
        <f>AA116*Inputs!$H$60</f>
        <v>146.87742794873904</v>
      </c>
      <c r="AB143" s="158">
        <f>AB116*Inputs!$H$60</f>
        <v>140.54603145416147</v>
      </c>
      <c r="AC143" s="158">
        <f>AC116*Inputs!$H$60</f>
        <v>137.98878045780179</v>
      </c>
      <c r="AD143" s="158">
        <f>AD116*Inputs!$H$60</f>
        <v>155.74746941855784</v>
      </c>
      <c r="AE143" s="158">
        <f>AE116*Inputs!$H$60</f>
        <v>154.27921944064499</v>
      </c>
      <c r="AF143" s="158">
        <f>AF116*Inputs!$H$60</f>
        <v>157.26208581849829</v>
      </c>
      <c r="AG143" s="158">
        <f>AG116*Inputs!$H$60</f>
        <v>157.99158027477191</v>
      </c>
      <c r="AH143" s="187">
        <f>AH116*Inputs!$H$60</f>
        <v>160.26271572848847</v>
      </c>
      <c r="AI143" s="48"/>
    </row>
    <row r="144" spans="1:35">
      <c r="A144" s="10" t="s">
        <v>222</v>
      </c>
      <c r="C144" s="331">
        <f>C117*Inputs!$H$61</f>
        <v>244.40129999999996</v>
      </c>
      <c r="D144" s="331">
        <f>D117*Inputs!$H$61</f>
        <v>575.84083441348139</v>
      </c>
      <c r="E144" s="331">
        <f>E117*Inputs!$H$61</f>
        <v>629.23175074761502</v>
      </c>
      <c r="F144" s="331">
        <f>F117*Inputs!$H$61</f>
        <v>660.48978854090672</v>
      </c>
      <c r="G144" s="331">
        <f>G117*Inputs!$H$61</f>
        <v>632.38477841284896</v>
      </c>
      <c r="H144" s="402">
        <f>H117*Inputs!$H$61</f>
        <v>682.36481931479523</v>
      </c>
      <c r="I144" s="14">
        <f>I117*Inputs!$H$61</f>
        <v>667.07139469331935</v>
      </c>
      <c r="J144" s="14">
        <f>J117*Inputs!$H$61</f>
        <v>723.591206742331</v>
      </c>
      <c r="K144" s="14">
        <f>K117*Inputs!$H$61</f>
        <v>735.48458054771913</v>
      </c>
      <c r="L144" s="14">
        <f>L117*Inputs!$H$61</f>
        <v>725.66298008074409</v>
      </c>
      <c r="M144" s="14">
        <f>M117*Inputs!$H$61</f>
        <v>720.62357001919952</v>
      </c>
      <c r="N144" s="182">
        <f>N117*Inputs!$H$61</f>
        <v>702.23609875729267</v>
      </c>
      <c r="O144" s="14">
        <f>O117*Inputs!$H$61</f>
        <v>697.28378505776516</v>
      </c>
      <c r="P144" s="14">
        <f>P117*Inputs!$H$61</f>
        <v>684.65702659332351</v>
      </c>
      <c r="Q144" s="14">
        <f>Q117*Inputs!$H$61</f>
        <v>676.74338696208372</v>
      </c>
      <c r="R144" s="14">
        <f>R117*Inputs!$H$61</f>
        <v>671.89643132497895</v>
      </c>
      <c r="S144" s="14">
        <f>S117*Inputs!$H$61</f>
        <v>668.48034634841815</v>
      </c>
      <c r="T144" s="14">
        <f>T117*Inputs!$H$61</f>
        <v>657.14244336996524</v>
      </c>
      <c r="U144" s="14">
        <f>U117*Inputs!$H$61</f>
        <v>613.68324903735311</v>
      </c>
      <c r="V144" s="14">
        <f>V117*Inputs!$H$61</f>
        <v>607.97580476525047</v>
      </c>
      <c r="W144" s="14">
        <f>W117*Inputs!$H$61</f>
        <v>593.46987979792914</v>
      </c>
      <c r="X144" s="187">
        <f>X117*Inputs!$H$61</f>
        <v>596.53730622880812</v>
      </c>
      <c r="Y144" s="158">
        <f>Y117*Inputs!$H$61</f>
        <v>600.5854288029966</v>
      </c>
      <c r="Z144" s="158">
        <f>Z117*Inputs!$H$61</f>
        <v>618.0574999667125</v>
      </c>
      <c r="AA144" s="158">
        <f>AA117*Inputs!$H$61</f>
        <v>627.81315597611558</v>
      </c>
      <c r="AB144" s="158">
        <f>AB117*Inputs!$H$61</f>
        <v>635.28026907594131</v>
      </c>
      <c r="AC144" s="158">
        <f>AC117*Inputs!$H$61</f>
        <v>631.97042784804989</v>
      </c>
      <c r="AD144" s="158">
        <f>AD117*Inputs!$H$61</f>
        <v>620.72956348760465</v>
      </c>
      <c r="AE144" s="158">
        <f>AE117*Inputs!$H$61</f>
        <v>620.48488821169235</v>
      </c>
      <c r="AF144" s="158">
        <f>AF117*Inputs!$H$61</f>
        <v>613.69608142943957</v>
      </c>
      <c r="AG144" s="158">
        <f>AG117*Inputs!$H$61</f>
        <v>608.12571742321518</v>
      </c>
      <c r="AH144" s="187">
        <f>AH117*Inputs!$H$61</f>
        <v>596.51933625842673</v>
      </c>
      <c r="AI144" s="48"/>
    </row>
    <row r="145" spans="1:35">
      <c r="A145" s="10" t="s">
        <v>58</v>
      </c>
      <c r="C145" s="331">
        <f>SUM(C140,C143,C144)</f>
        <v>2368.2608100000002</v>
      </c>
      <c r="D145" s="331">
        <f>SUM(D140,D143,D144)</f>
        <v>2634.7568990840546</v>
      </c>
      <c r="E145" s="331">
        <f t="shared" ref="E145:AH145" si="94">SUM(E140,E143,E144)</f>
        <v>2412.3793682443902</v>
      </c>
      <c r="F145" s="331">
        <f t="shared" si="94"/>
        <v>2389.9384280530444</v>
      </c>
      <c r="G145" s="331">
        <f t="shared" si="94"/>
        <v>2362.4694830262711</v>
      </c>
      <c r="H145" s="402">
        <f t="shared" si="94"/>
        <v>2355.1892380481631</v>
      </c>
      <c r="I145" s="14">
        <f t="shared" si="94"/>
        <v>2336.0664131407457</v>
      </c>
      <c r="J145" s="14">
        <f t="shared" si="94"/>
        <v>2383.8057018996051</v>
      </c>
      <c r="K145" s="14">
        <f t="shared" si="94"/>
        <v>2445.1900813472739</v>
      </c>
      <c r="L145" s="14">
        <f t="shared" si="94"/>
        <v>2504.6269558492804</v>
      </c>
      <c r="M145" s="14">
        <f t="shared" si="94"/>
        <v>2535.1383608862752</v>
      </c>
      <c r="N145" s="187">
        <f t="shared" si="94"/>
        <v>2544.5247996798125</v>
      </c>
      <c r="O145" s="14">
        <f t="shared" si="94"/>
        <v>2548.0173043990353</v>
      </c>
      <c r="P145" s="14">
        <f t="shared" si="94"/>
        <v>2528.1390504578803</v>
      </c>
      <c r="Q145" s="14">
        <f t="shared" si="94"/>
        <v>2521.3659695977244</v>
      </c>
      <c r="R145" s="14">
        <f t="shared" si="94"/>
        <v>2519.0679436952364</v>
      </c>
      <c r="S145" s="14">
        <f t="shared" si="94"/>
        <v>2520.3548547782784</v>
      </c>
      <c r="T145" s="14">
        <f t="shared" si="94"/>
        <v>2500.9431932450298</v>
      </c>
      <c r="U145" s="14">
        <f t="shared" si="94"/>
        <v>2541.4580216886625</v>
      </c>
      <c r="V145" s="14">
        <f t="shared" si="94"/>
        <v>2574.5536379410123</v>
      </c>
      <c r="W145" s="14">
        <f t="shared" si="94"/>
        <v>2555.4887162899254</v>
      </c>
      <c r="X145" s="187">
        <f t="shared" si="94"/>
        <v>2572.9472075346039</v>
      </c>
      <c r="Y145" s="158">
        <f t="shared" si="94"/>
        <v>2589.3080837270973</v>
      </c>
      <c r="Z145" s="158">
        <f t="shared" si="94"/>
        <v>2593.6507692432542</v>
      </c>
      <c r="AA145" s="158">
        <f t="shared" si="94"/>
        <v>2621.3006198694334</v>
      </c>
      <c r="AB145" s="158">
        <f t="shared" si="94"/>
        <v>2636.7014173670732</v>
      </c>
      <c r="AC145" s="158">
        <f t="shared" si="94"/>
        <v>2630.4398503997772</v>
      </c>
      <c r="AD145" s="158">
        <f t="shared" si="94"/>
        <v>2663.4915843574381</v>
      </c>
      <c r="AE145" s="158">
        <f t="shared" si="94"/>
        <v>2670.9289561919941</v>
      </c>
      <c r="AF145" s="158">
        <f t="shared" si="94"/>
        <v>2672.0534208902263</v>
      </c>
      <c r="AG145" s="158">
        <f t="shared" si="94"/>
        <v>2670.1072699601059</v>
      </c>
      <c r="AH145" s="187">
        <f t="shared" si="94"/>
        <v>2653.9487493805677</v>
      </c>
      <c r="AI145" s="48"/>
    </row>
    <row r="146" spans="1:35" s="1" customFormat="1">
      <c r="A146" s="1" t="s">
        <v>335</v>
      </c>
      <c r="B146" s="13"/>
      <c r="C146" s="341">
        <f>C145-'Output - Jobs vs Yr (BAU)'!C73</f>
        <v>9.8729999999704887E-2</v>
      </c>
      <c r="D146" s="341">
        <f>D145-'Output - Jobs vs Yr (BAU)'!D73</f>
        <v>-5.5420077159451466</v>
      </c>
      <c r="E146" s="341">
        <f>E145-'Output - Jobs vs Yr (BAU)'!E73</f>
        <v>45.056401627755804</v>
      </c>
      <c r="F146" s="341">
        <f>F145-'Output - Jobs vs Yr (BAU)'!F73</f>
        <v>51.095979533343325</v>
      </c>
      <c r="G146" s="341">
        <f>G145-'Output - Jobs vs Yr (BAU)'!G73</f>
        <v>89.273154723481184</v>
      </c>
      <c r="H146" s="405">
        <f>H145-'Output - Jobs vs Yr (BAU)'!H73</f>
        <v>29.193661787973724</v>
      </c>
      <c r="I146" s="15">
        <f>I145-'Output - Jobs vs Yr (BAU)'!I73</f>
        <v>79.550555713572976</v>
      </c>
      <c r="J146" s="15">
        <f>J145-'Output - Jobs vs Yr (BAU)'!J73</f>
        <v>92.594834517720756</v>
      </c>
      <c r="K146" s="15">
        <f>K145-'Output - Jobs vs Yr (BAU)'!K73</f>
        <v>96.580483229853144</v>
      </c>
      <c r="L146" s="15">
        <f>L145-'Output - Jobs vs Yr (BAU)'!L73</f>
        <v>110.41503821380593</v>
      </c>
      <c r="M146" s="15">
        <f>M145-'Output - Jobs vs Yr (BAU)'!M73</f>
        <v>121.28216332173179</v>
      </c>
      <c r="N146" s="182">
        <f>N145-'Output - Jobs vs Yr (BAU)'!N73</f>
        <v>136.49117173158811</v>
      </c>
      <c r="O146" s="15">
        <f>O145-'Output - Jobs vs Yr (BAU)'!O73</f>
        <v>129.91653282551306</v>
      </c>
      <c r="P146" s="15">
        <f>P145-'Output - Jobs vs Yr (BAU)'!P73</f>
        <v>127.84289453002748</v>
      </c>
      <c r="Q146" s="15">
        <f>Q145-'Output - Jobs vs Yr (BAU)'!Q73</f>
        <v>125.39392988785812</v>
      </c>
      <c r="R146" s="15">
        <f>R145-'Output - Jobs vs Yr (BAU)'!R73</f>
        <v>126.20522072874701</v>
      </c>
      <c r="S146" s="15">
        <f>S145-'Output - Jobs vs Yr (BAU)'!S73</f>
        <v>128.50862052201228</v>
      </c>
      <c r="T146" s="15">
        <f>T145-'Output - Jobs vs Yr (BAU)'!T73</f>
        <v>126.61659497576693</v>
      </c>
      <c r="U146" s="15">
        <f>U145-'Output - Jobs vs Yr (BAU)'!U73</f>
        <v>131.61306780909536</v>
      </c>
      <c r="V146" s="15">
        <f>V145-'Output - Jobs vs Yr (BAU)'!V73</f>
        <v>133.46315556968693</v>
      </c>
      <c r="W146" s="15">
        <f>W145-'Output - Jobs vs Yr (BAU)'!W73</f>
        <v>135.09271822159326</v>
      </c>
      <c r="X146" s="190">
        <f>X145-'Output - Jobs vs Yr (BAU)'!X73</f>
        <v>141.46246581827882</v>
      </c>
      <c r="Y146" s="130">
        <f>Y145-'Output - Jobs vs Yr (BAU)'!Y73</f>
        <v>146.78765345518241</v>
      </c>
      <c r="Z146" s="130">
        <f>Z145-'Output - Jobs vs Yr (BAU)'!Z73</f>
        <v>151.67758328883428</v>
      </c>
      <c r="AA146" s="130">
        <f>AA145-'Output - Jobs vs Yr (BAU)'!AA73</f>
        <v>160.07254280626967</v>
      </c>
      <c r="AB146" s="130">
        <f>AB145-'Output - Jobs vs Yr (BAU)'!AB73</f>
        <v>166.83477722078942</v>
      </c>
      <c r="AC146" s="130">
        <f>AC145-'Output - Jobs vs Yr (BAU)'!AC73</f>
        <v>169.42834831654636</v>
      </c>
      <c r="AD146" s="130">
        <f>AD145-'Output - Jobs vs Yr (BAU)'!AD73</f>
        <v>180.78485447746334</v>
      </c>
      <c r="AE146" s="130">
        <f>AE145-'Output - Jobs vs Yr (BAU)'!AE73</f>
        <v>184.9963211036611</v>
      </c>
      <c r="AF146" s="130">
        <f>AF145-'Output - Jobs vs Yr (BAU)'!AF73</f>
        <v>191.72879512882128</v>
      </c>
      <c r="AG146" s="130">
        <f>AG145-'Output - Jobs vs Yr (BAU)'!AG73</f>
        <v>195.23358622161777</v>
      </c>
      <c r="AH146" s="190">
        <f>AH145-'Output - Jobs vs Yr (BAU)'!AH73</f>
        <v>196.25905471218675</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4999.4532800000006</v>
      </c>
      <c r="D176" s="334">
        <f>'Output - Jobs vs Yr (BAU)'!D55+'Output - Jobs vs Yr (BAU)'!D73</f>
        <v>5573.9643587999999</v>
      </c>
      <c r="E176" s="334">
        <f>'Output - Jobs vs Yr (BAU)'!E55+'Output - Jobs vs Yr (BAU)'!E73</f>
        <v>4997.6818184128942</v>
      </c>
      <c r="F176" s="334">
        <f>'Output - Jobs vs Yr (BAU)'!F55+'Output - Jobs vs Yr (BAU)'!F73</f>
        <v>4937.5562802082577</v>
      </c>
      <c r="G176" s="334">
        <f>'Output - Jobs vs Yr (BAU)'!G55+'Output - Jobs vs Yr (BAU)'!G73</f>
        <v>4798.9700264170006</v>
      </c>
      <c r="H176" s="404">
        <f>'Output - Jobs vs Yr (BAU)'!H55+'Output - Jobs vs Yr (BAU)'!H73</f>
        <v>4910.4351054381768</v>
      </c>
      <c r="I176" s="19">
        <f>'Output - Jobs vs Yr (BAU)'!I55+'Output - Jobs vs Yr (BAU)'!I73</f>
        <v>4763.7556990129206</v>
      </c>
      <c r="J176" s="19">
        <f>'Output - Jobs vs Yr (BAU)'!J55+'Output - Jobs vs Yr (BAU)'!J73</f>
        <v>4837.0007200284217</v>
      </c>
      <c r="K176" s="19">
        <f>'Output - Jobs vs Yr (BAU)'!K55+'Output - Jobs vs Yr (BAU)'!K73</f>
        <v>4958.1758182478879</v>
      </c>
      <c r="L176" s="19">
        <f>'Output - Jobs vs Yr (BAU)'!L55+'Output - Jobs vs Yr (BAU)'!L73</f>
        <v>5054.4473816748905</v>
      </c>
      <c r="M176" s="19">
        <f>'Output - Jobs vs Yr (BAU)'!M55+'Output - Jobs vs Yr (BAU)'!M73</f>
        <v>5095.9186393029249</v>
      </c>
      <c r="N176" s="182">
        <f>'Output - Jobs vs Yr (BAU)'!N55+'Output - Jobs vs Yr (BAU)'!N73</f>
        <v>5083.6265478906953</v>
      </c>
      <c r="O176" s="19">
        <f>'Output - Jobs vs Yr (BAU)'!O55+'Output - Jobs vs Yr (BAU)'!O73</f>
        <v>5104.8794066552136</v>
      </c>
      <c r="P176" s="19">
        <f>'Output - Jobs vs Yr (BAU)'!P55+'Output - Jobs vs Yr (BAU)'!P73</f>
        <v>5067.2918847365781</v>
      </c>
      <c r="Q176" s="19">
        <f>'Output - Jobs vs Yr (BAU)'!Q55+'Output - Jobs vs Yr (BAU)'!Q73</f>
        <v>5058.1631949430503</v>
      </c>
      <c r="R176" s="19">
        <f>'Output - Jobs vs Yr (BAU)'!R55+'Output - Jobs vs Yr (BAU)'!R73</f>
        <v>5051.5990818181444</v>
      </c>
      <c r="S176" s="19">
        <f>'Output - Jobs vs Yr (BAU)'!S55+'Output - Jobs vs Yr (BAU)'!S73</f>
        <v>5049.4531612076726</v>
      </c>
      <c r="T176" s="19">
        <f>'Output - Jobs vs Yr (BAU)'!T55+'Output - Jobs vs Yr (BAU)'!T73</f>
        <v>5012.467263012888</v>
      </c>
      <c r="U176" s="19">
        <f>'Output - Jobs vs Yr (BAU)'!U55+'Output - Jobs vs Yr (BAU)'!U73</f>
        <v>5087.4504581901965</v>
      </c>
      <c r="V176" s="19">
        <f>'Output - Jobs vs Yr (BAU)'!V55+'Output - Jobs vs Yr (BAU)'!V73</f>
        <v>5153.4132405616865</v>
      </c>
      <c r="W176" s="19">
        <f>'Output - Jobs vs Yr (BAU)'!W55+'Output - Jobs vs Yr (BAU)'!W73</f>
        <v>5109.724884810923</v>
      </c>
      <c r="X176" s="182">
        <f>'Output - Jobs vs Yr (BAU)'!X55+'Output - Jobs vs Yr (BAU)'!X73</f>
        <v>5133.1344547344634</v>
      </c>
      <c r="Y176" s="206">
        <f>'Output - Jobs vs Yr (BAU)'!Y55+'Output - Jobs vs Yr (BAU)'!Y73</f>
        <v>5156.4320194629308</v>
      </c>
      <c r="Z176" s="206">
        <f>'Output - Jobs vs Yr (BAU)'!Z55+'Output - Jobs vs Yr (BAU)'!Z73</f>
        <v>5155.2767259037755</v>
      </c>
      <c r="AA176" s="206">
        <f>'Output - Jobs vs Yr (BAU)'!AA55+'Output - Jobs vs Yr (BAU)'!AA73</f>
        <v>5195.9259404666791</v>
      </c>
      <c r="AB176" s="206">
        <f>'Output - Jobs vs Yr (BAU)'!AB55+'Output - Jobs vs Yr (BAU)'!AB73</f>
        <v>5214.1629069754872</v>
      </c>
      <c r="AC176" s="206">
        <f>'Output - Jobs vs Yr (BAU)'!AC55+'Output - Jobs vs Yr (BAU)'!AC73</f>
        <v>5195.4687266201545</v>
      </c>
      <c r="AD176" s="206">
        <f>'Output - Jobs vs Yr (BAU)'!AD55+'Output - Jobs vs Yr (BAU)'!AD73</f>
        <v>5241.2697630799466</v>
      </c>
      <c r="AE176" s="206">
        <f>'Output - Jobs vs Yr (BAU)'!AE55+'Output - Jobs vs Yr (BAU)'!AE73</f>
        <v>5248.0800074087028</v>
      </c>
      <c r="AF176" s="206">
        <f>'Output - Jobs vs Yr (BAU)'!AF55+'Output - Jobs vs Yr (BAU)'!AF73</f>
        <v>5236.2408766074113</v>
      </c>
      <c r="AG176" s="206">
        <f>'Output - Jobs vs Yr (BAU)'!AG55+'Output - Jobs vs Yr (BAU)'!AG73</f>
        <v>5224.7333323368075</v>
      </c>
      <c r="AH176" s="182">
        <f>'Output - Jobs vs Yr (BAU)'!AH55+'Output - Jobs vs Yr (BAU)'!AH73</f>
        <v>5188.456022077693</v>
      </c>
      <c r="AI176" s="1"/>
    </row>
    <row r="177" spans="1:35">
      <c r="A177" s="76" t="s">
        <v>300</v>
      </c>
      <c r="C177" s="334">
        <f>'Output - Jobs vs Yr (BAU)'!C55</f>
        <v>2631.2912000000001</v>
      </c>
      <c r="D177" s="334">
        <f>'Output - Jobs vs Yr (BAU)'!D55</f>
        <v>2933.6654520000002</v>
      </c>
      <c r="E177" s="334">
        <f>'Output - Jobs vs Yr (BAU)'!E55</f>
        <v>2630.3588517962598</v>
      </c>
      <c r="F177" s="334">
        <f>'Output - Jobs vs Yr (BAU)'!F55</f>
        <v>2598.7138316885566</v>
      </c>
      <c r="G177" s="334">
        <f>'Output - Jobs vs Yr (BAU)'!G55</f>
        <v>2525.7736981142102</v>
      </c>
      <c r="H177" s="404">
        <f>'Output - Jobs vs Yr (BAU)'!H55</f>
        <v>2584.4395291779874</v>
      </c>
      <c r="I177" s="19">
        <f>'Output - Jobs vs Yr (BAU)'!I55</f>
        <v>2507.2398415857479</v>
      </c>
      <c r="J177" s="19">
        <f>'Output - Jobs vs Yr (BAU)'!J55</f>
        <v>2545.7898526465378</v>
      </c>
      <c r="K177" s="19">
        <f>'Output - Jobs vs Yr (BAU)'!K55</f>
        <v>2609.5662201304667</v>
      </c>
      <c r="L177" s="19">
        <f>'Output - Jobs vs Yr (BAU)'!L55</f>
        <v>2660.235464039416</v>
      </c>
      <c r="M177" s="19">
        <f>'Output - Jobs vs Yr (BAU)'!M55</f>
        <v>2682.062441738381</v>
      </c>
      <c r="N177" s="182">
        <f>'Output - Jobs vs Yr (BAU)'!N55</f>
        <v>2675.5929199424713</v>
      </c>
      <c r="O177" s="19">
        <f>'Output - Jobs vs Yr (BAU)'!O55</f>
        <v>2686.7786350816914</v>
      </c>
      <c r="P177" s="19">
        <f>'Output - Jobs vs Yr (BAU)'!P55</f>
        <v>2666.9957288087253</v>
      </c>
      <c r="Q177" s="19">
        <f>'Output - Jobs vs Yr (BAU)'!Q55</f>
        <v>2662.191155233184</v>
      </c>
      <c r="R177" s="19">
        <f>'Output - Jobs vs Yr (BAU)'!R55</f>
        <v>2658.736358851655</v>
      </c>
      <c r="S177" s="19">
        <f>'Output - Jobs vs Yr (BAU)'!S55</f>
        <v>2657.6069269514064</v>
      </c>
      <c r="T177" s="19">
        <f>'Output - Jobs vs Yr (BAU)'!T55</f>
        <v>2638.1406647436252</v>
      </c>
      <c r="U177" s="19">
        <f>'Output - Jobs vs Yr (BAU)'!U55</f>
        <v>2677.6055043106294</v>
      </c>
      <c r="V177" s="19">
        <f>'Output - Jobs vs Yr (BAU)'!V55</f>
        <v>2712.3227581903611</v>
      </c>
      <c r="W177" s="19">
        <f>'Output - Jobs vs Yr (BAU)'!W55</f>
        <v>2689.3288867425904</v>
      </c>
      <c r="X177" s="182">
        <f>'Output - Jobs vs Yr (BAU)'!X55</f>
        <v>2701.6497130181388</v>
      </c>
      <c r="Y177" s="206">
        <f>'Output - Jobs vs Yr (BAU)'!Y55</f>
        <v>2713.9115891910164</v>
      </c>
      <c r="Z177" s="206">
        <f>'Output - Jobs vs Yr (BAU)'!Z55</f>
        <v>2713.3035399493556</v>
      </c>
      <c r="AA177" s="206">
        <f>'Output - Jobs vs Yr (BAU)'!AA55</f>
        <v>2734.6978634035158</v>
      </c>
      <c r="AB177" s="206">
        <f>'Output - Jobs vs Yr (BAU)'!AB55</f>
        <v>2744.2962668292039</v>
      </c>
      <c r="AC177" s="206">
        <f>'Output - Jobs vs Yr (BAU)'!AC55</f>
        <v>2734.4572245369236</v>
      </c>
      <c r="AD177" s="206">
        <f>'Output - Jobs vs Yr (BAU)'!AD55</f>
        <v>2758.5630331999714</v>
      </c>
      <c r="AE177" s="206">
        <f>'Output - Jobs vs Yr (BAU)'!AE55</f>
        <v>2762.1473723203699</v>
      </c>
      <c r="AF177" s="206">
        <f>'Output - Jobs vs Yr (BAU)'!AF55</f>
        <v>2755.9162508460058</v>
      </c>
      <c r="AG177" s="206">
        <f>'Output - Jobs vs Yr (BAU)'!AG55</f>
        <v>2749.8596485983198</v>
      </c>
      <c r="AH177" s="182">
        <f>'Output - Jobs vs Yr (BAU)'!AH55</f>
        <v>2730.766327409312</v>
      </c>
      <c r="AI177" s="1"/>
    </row>
    <row r="178" spans="1:35">
      <c r="A178" s="76" t="s">
        <v>301</v>
      </c>
      <c r="C178" s="334">
        <f>'Output - Jobs vs Yr (BAU)'!C73</f>
        <v>2368.1620800000005</v>
      </c>
      <c r="D178" s="334">
        <f>'Output - Jobs vs Yr (BAU)'!D73</f>
        <v>2640.2989067999997</v>
      </c>
      <c r="E178" s="334">
        <f>'Output - Jobs vs Yr (BAU)'!E73</f>
        <v>2367.3229666166344</v>
      </c>
      <c r="F178" s="334">
        <f>'Output - Jobs vs Yr (BAU)'!F73</f>
        <v>2338.8424485197011</v>
      </c>
      <c r="G178" s="334">
        <f>'Output - Jobs vs Yr (BAU)'!G73</f>
        <v>2273.1963283027899</v>
      </c>
      <c r="H178" s="404">
        <f>'Output - Jobs vs Yr (BAU)'!H73</f>
        <v>2325.9955762601894</v>
      </c>
      <c r="I178" s="19">
        <f>'Output - Jobs vs Yr (BAU)'!I73</f>
        <v>2256.5158574271727</v>
      </c>
      <c r="J178" s="19">
        <f>'Output - Jobs vs Yr (BAU)'!J73</f>
        <v>2291.2108673818843</v>
      </c>
      <c r="K178" s="19">
        <f>'Output - Jobs vs Yr (BAU)'!K73</f>
        <v>2348.6095981174208</v>
      </c>
      <c r="L178" s="19">
        <f>'Output - Jobs vs Yr (BAU)'!L73</f>
        <v>2394.2119176354745</v>
      </c>
      <c r="M178" s="19">
        <f>'Output - Jobs vs Yr (BAU)'!M73</f>
        <v>2413.8561975645434</v>
      </c>
      <c r="N178" s="182">
        <f>'Output - Jobs vs Yr (BAU)'!N73</f>
        <v>2408.0336279482244</v>
      </c>
      <c r="O178" s="19">
        <f>'Output - Jobs vs Yr (BAU)'!O73</f>
        <v>2418.1007715735223</v>
      </c>
      <c r="P178" s="19">
        <f>'Output - Jobs vs Yr (BAU)'!P73</f>
        <v>2400.2961559278529</v>
      </c>
      <c r="Q178" s="19">
        <f>'Output - Jobs vs Yr (BAU)'!Q73</f>
        <v>2395.9720397098663</v>
      </c>
      <c r="R178" s="19">
        <f>'Output - Jobs vs Yr (BAU)'!R73</f>
        <v>2392.8627229664894</v>
      </c>
      <c r="S178" s="19">
        <f>'Output - Jobs vs Yr (BAU)'!S73</f>
        <v>2391.8462342562661</v>
      </c>
      <c r="T178" s="19">
        <f>'Output - Jobs vs Yr (BAU)'!T73</f>
        <v>2374.3265982692628</v>
      </c>
      <c r="U178" s="19">
        <f>'Output - Jobs vs Yr (BAU)'!U73</f>
        <v>2409.8449538795671</v>
      </c>
      <c r="V178" s="19">
        <f>'Output - Jobs vs Yr (BAU)'!V73</f>
        <v>2441.0904823713254</v>
      </c>
      <c r="W178" s="19">
        <f>'Output - Jobs vs Yr (BAU)'!W73</f>
        <v>2420.3959980683321</v>
      </c>
      <c r="X178" s="182">
        <f>'Output - Jobs vs Yr (BAU)'!X73</f>
        <v>2431.4847417163251</v>
      </c>
      <c r="Y178" s="206">
        <f>'Output - Jobs vs Yr (BAU)'!Y73</f>
        <v>2442.5204302719148</v>
      </c>
      <c r="Z178" s="206">
        <f>'Output - Jobs vs Yr (BAU)'!Z73</f>
        <v>2441.9731859544199</v>
      </c>
      <c r="AA178" s="206">
        <f>'Output - Jobs vs Yr (BAU)'!AA73</f>
        <v>2461.2280770631637</v>
      </c>
      <c r="AB178" s="206">
        <f>'Output - Jobs vs Yr (BAU)'!AB73</f>
        <v>2469.8666401462838</v>
      </c>
      <c r="AC178" s="206">
        <f>'Output - Jobs vs Yr (BAU)'!AC73</f>
        <v>2461.0115020832309</v>
      </c>
      <c r="AD178" s="206">
        <f>'Output - Jobs vs Yr (BAU)'!AD73</f>
        <v>2482.7067298799748</v>
      </c>
      <c r="AE178" s="206">
        <f>'Output - Jobs vs Yr (BAU)'!AE73</f>
        <v>2485.932635088333</v>
      </c>
      <c r="AF178" s="206">
        <f>'Output - Jobs vs Yr (BAU)'!AF73</f>
        <v>2480.3246257614051</v>
      </c>
      <c r="AG178" s="206">
        <f>'Output - Jobs vs Yr (BAU)'!AG73</f>
        <v>2474.8736837384881</v>
      </c>
      <c r="AH178" s="182">
        <f>'Output - Jobs vs Yr (BAU)'!AH73</f>
        <v>2457.689694668381</v>
      </c>
      <c r="AI178" s="80" t="s">
        <v>0</v>
      </c>
    </row>
    <row r="179" spans="1:35">
      <c r="A179" s="75" t="s">
        <v>298</v>
      </c>
      <c r="C179" s="331">
        <f>SUM(C118,C145)</f>
        <v>4999.66201</v>
      </c>
      <c r="D179" s="331">
        <f t="shared" ref="D179:AH179" si="99">SUM(D118,D145)+D249+D252</f>
        <v>5562.2649090568848</v>
      </c>
      <c r="E179" s="331">
        <f t="shared" si="99"/>
        <v>5092.8012283645567</v>
      </c>
      <c r="F179" s="331">
        <f t="shared" si="99"/>
        <v>5045.4259192778154</v>
      </c>
      <c r="G179" s="331">
        <f t="shared" si="99"/>
        <v>4987.4359317888466</v>
      </c>
      <c r="H179" s="402">
        <f>SUM(H118,H145)+H249+H252</f>
        <v>4972.0664692127884</v>
      </c>
      <c r="I179" s="14">
        <f t="shared" si="99"/>
        <v>4931.6960677692259</v>
      </c>
      <c r="J179" s="14">
        <f t="shared" si="99"/>
        <v>5032.4790272012669</v>
      </c>
      <c r="K179" s="14">
        <f t="shared" si="99"/>
        <v>5162.0682950728724</v>
      </c>
      <c r="L179" s="14">
        <f t="shared" si="99"/>
        <v>5287.5461633374816</v>
      </c>
      <c r="M179" s="14">
        <f t="shared" si="99"/>
        <v>5351.9591481229691</v>
      </c>
      <c r="N179" s="187">
        <f t="shared" si="99"/>
        <v>5371.7749782183018</v>
      </c>
      <c r="O179" s="14">
        <f t="shared" si="99"/>
        <v>5379.148047176217</v>
      </c>
      <c r="P179" s="14">
        <f t="shared" si="99"/>
        <v>5337.182844279444</v>
      </c>
      <c r="Q179" s="14">
        <f t="shared" si="99"/>
        <v>5322.8841199084909</v>
      </c>
      <c r="R179" s="14">
        <f t="shared" si="99"/>
        <v>5318.0327344681782</v>
      </c>
      <c r="S179" s="14">
        <f t="shared" si="99"/>
        <v>5320.7495499249926</v>
      </c>
      <c r="T179" s="14">
        <f t="shared" si="99"/>
        <v>5279.7693754862466</v>
      </c>
      <c r="U179" s="14">
        <f t="shared" si="99"/>
        <v>5365.3006894390564</v>
      </c>
      <c r="V179" s="14">
        <f t="shared" si="99"/>
        <v>5435.1692210084966</v>
      </c>
      <c r="W179" s="14">
        <f t="shared" si="99"/>
        <v>5394.9210531031904</v>
      </c>
      <c r="X179" s="187">
        <f t="shared" si="99"/>
        <v>5431.7778739066734</v>
      </c>
      <c r="Y179" s="158">
        <f t="shared" si="99"/>
        <v>5466.3175098809434</v>
      </c>
      <c r="Z179" s="158">
        <f t="shared" si="99"/>
        <v>5475.4854081049371</v>
      </c>
      <c r="AA179" s="158">
        <f t="shared" si="99"/>
        <v>5533.8573256041782</v>
      </c>
      <c r="AB179" s="158">
        <f t="shared" si="99"/>
        <v>5566.370129032226</v>
      </c>
      <c r="AC179" s="158">
        <f t="shared" si="99"/>
        <v>5553.1512705119949</v>
      </c>
      <c r="AD179" s="158">
        <f t="shared" si="99"/>
        <v>5622.9271653719825</v>
      </c>
      <c r="AE179" s="158">
        <f t="shared" si="99"/>
        <v>5638.6282913925825</v>
      </c>
      <c r="AF179" s="158">
        <f t="shared" si="99"/>
        <v>5641.0021679838228</v>
      </c>
      <c r="AG179" s="158">
        <f t="shared" si="99"/>
        <v>5636.8936333202055</v>
      </c>
      <c r="AH179" s="187">
        <f t="shared" si="99"/>
        <v>5602.7812046018025</v>
      </c>
    </row>
    <row r="180" spans="1:35">
      <c r="A180" s="76" t="s">
        <v>302</v>
      </c>
      <c r="C180" s="331">
        <f>C118</f>
        <v>2631.4011999999998</v>
      </c>
      <c r="D180" s="331">
        <f t="shared" ref="D180:AH180" si="100">D118+D250+D253</f>
        <v>2927.5080099728298</v>
      </c>
      <c r="E180" s="331">
        <f t="shared" si="100"/>
        <v>2680.421860120166</v>
      </c>
      <c r="F180" s="331">
        <f t="shared" si="100"/>
        <v>2655.487491224771</v>
      </c>
      <c r="G180" s="331">
        <f t="shared" si="100"/>
        <v>2624.9664487625751</v>
      </c>
      <c r="H180" s="402">
        <f t="shared" si="100"/>
        <v>2616.8772311646248</v>
      </c>
      <c r="I180" s="14">
        <f t="shared" si="100"/>
        <v>2595.6296546284798</v>
      </c>
      <c r="J180" s="14">
        <f t="shared" si="100"/>
        <v>2648.6733253016623</v>
      </c>
      <c r="K180" s="14">
        <f t="shared" si="100"/>
        <v>2716.8782137255985</v>
      </c>
      <c r="L180" s="14">
        <f t="shared" si="100"/>
        <v>2782.9192074882017</v>
      </c>
      <c r="M180" s="14">
        <f t="shared" si="100"/>
        <v>2816.8207872366938</v>
      </c>
      <c r="N180" s="187">
        <f t="shared" si="100"/>
        <v>2827.2501785384893</v>
      </c>
      <c r="O180" s="14">
        <f t="shared" si="100"/>
        <v>2831.1307427771821</v>
      </c>
      <c r="P180" s="14">
        <f t="shared" si="100"/>
        <v>2809.0437938215637</v>
      </c>
      <c r="Q180" s="14">
        <f t="shared" si="100"/>
        <v>2801.5181503107669</v>
      </c>
      <c r="R180" s="14">
        <f t="shared" si="100"/>
        <v>2798.9647907729418</v>
      </c>
      <c r="S180" s="14">
        <f t="shared" si="100"/>
        <v>2800.3946951467146</v>
      </c>
      <c r="T180" s="14">
        <f t="shared" si="100"/>
        <v>2778.8261822412173</v>
      </c>
      <c r="U180" s="14">
        <f t="shared" si="100"/>
        <v>2823.8426677503944</v>
      </c>
      <c r="V180" s="14">
        <f t="shared" si="100"/>
        <v>2860.6155830674843</v>
      </c>
      <c r="W180" s="14">
        <f t="shared" si="100"/>
        <v>2839.432336813265</v>
      </c>
      <c r="X180" s="187">
        <f t="shared" si="100"/>
        <v>2858.8306663720696</v>
      </c>
      <c r="Y180" s="158">
        <f t="shared" si="100"/>
        <v>2877.0094261538461</v>
      </c>
      <c r="Z180" s="158">
        <f t="shared" si="100"/>
        <v>2881.8346388616828</v>
      </c>
      <c r="AA180" s="158">
        <f t="shared" si="100"/>
        <v>2912.5567057347448</v>
      </c>
      <c r="AB180" s="158">
        <f t="shared" si="100"/>
        <v>2929.6687116651524</v>
      </c>
      <c r="AC180" s="158">
        <f t="shared" si="100"/>
        <v>2922.7114201122176</v>
      </c>
      <c r="AD180" s="158">
        <f t="shared" si="100"/>
        <v>2959.4355810145444</v>
      </c>
      <c r="AE180" s="158">
        <f t="shared" si="100"/>
        <v>2967.6993352005879</v>
      </c>
      <c r="AF180" s="158">
        <f t="shared" si="100"/>
        <v>2968.948747093596</v>
      </c>
      <c r="AG180" s="158">
        <f t="shared" si="100"/>
        <v>2966.7863633600991</v>
      </c>
      <c r="AH180" s="187">
        <f t="shared" si="100"/>
        <v>2948.8324552212343</v>
      </c>
    </row>
    <row r="181" spans="1:35">
      <c r="A181" s="76" t="s">
        <v>303</v>
      </c>
      <c r="C181" s="331">
        <f>C145</f>
        <v>2368.2608100000002</v>
      </c>
      <c r="D181" s="331">
        <f t="shared" ref="D181:AH181" si="101">D145+D251+D254</f>
        <v>2634.7568990840546</v>
      </c>
      <c r="E181" s="331">
        <f t="shared" si="101"/>
        <v>2412.3793682443902</v>
      </c>
      <c r="F181" s="331">
        <f t="shared" si="101"/>
        <v>2389.9384280530444</v>
      </c>
      <c r="G181" s="331">
        <f t="shared" si="101"/>
        <v>2362.4694830262711</v>
      </c>
      <c r="H181" s="402">
        <f>H145+H251+H254</f>
        <v>2355.1892380481631</v>
      </c>
      <c r="I181" s="14">
        <f t="shared" si="101"/>
        <v>2336.0664131407457</v>
      </c>
      <c r="J181" s="14">
        <f t="shared" si="101"/>
        <v>2383.8057018996051</v>
      </c>
      <c r="K181" s="14">
        <f t="shared" si="101"/>
        <v>2445.1900813472739</v>
      </c>
      <c r="L181" s="14">
        <f t="shared" si="101"/>
        <v>2504.6269558492804</v>
      </c>
      <c r="M181" s="14">
        <f t="shared" si="101"/>
        <v>2535.1383608862752</v>
      </c>
      <c r="N181" s="187">
        <f t="shared" si="101"/>
        <v>2544.5247996798125</v>
      </c>
      <c r="O181" s="14">
        <f t="shared" si="101"/>
        <v>2548.0173043990353</v>
      </c>
      <c r="P181" s="14">
        <f t="shared" si="101"/>
        <v>2528.1390504578803</v>
      </c>
      <c r="Q181" s="14">
        <f t="shared" si="101"/>
        <v>2521.3659695977244</v>
      </c>
      <c r="R181" s="14">
        <f t="shared" si="101"/>
        <v>2519.0679436952364</v>
      </c>
      <c r="S181" s="14">
        <f t="shared" si="101"/>
        <v>2520.3548547782784</v>
      </c>
      <c r="T181" s="14">
        <f t="shared" si="101"/>
        <v>2500.9431932450298</v>
      </c>
      <c r="U181" s="14">
        <f t="shared" si="101"/>
        <v>2541.4580216886625</v>
      </c>
      <c r="V181" s="14">
        <f t="shared" si="101"/>
        <v>2574.5536379410123</v>
      </c>
      <c r="W181" s="14">
        <f t="shared" si="101"/>
        <v>2555.4887162899254</v>
      </c>
      <c r="X181" s="187">
        <f t="shared" si="101"/>
        <v>2572.9472075346039</v>
      </c>
      <c r="Y181" s="158">
        <f t="shared" si="101"/>
        <v>2589.3080837270973</v>
      </c>
      <c r="Z181" s="158">
        <f t="shared" si="101"/>
        <v>2593.6507692432542</v>
      </c>
      <c r="AA181" s="158">
        <f t="shared" si="101"/>
        <v>2621.3006198694334</v>
      </c>
      <c r="AB181" s="158">
        <f t="shared" si="101"/>
        <v>2636.7014173670732</v>
      </c>
      <c r="AC181" s="158">
        <f t="shared" si="101"/>
        <v>2630.4398503997772</v>
      </c>
      <c r="AD181" s="158">
        <f t="shared" si="101"/>
        <v>2663.4915843574381</v>
      </c>
      <c r="AE181" s="158">
        <f t="shared" si="101"/>
        <v>2670.9289561919941</v>
      </c>
      <c r="AF181" s="158">
        <f t="shared" si="101"/>
        <v>2672.0534208902263</v>
      </c>
      <c r="AG181" s="158">
        <f t="shared" si="101"/>
        <v>2670.1072699601059</v>
      </c>
      <c r="AH181" s="187">
        <f t="shared" si="101"/>
        <v>2653.9487493805677</v>
      </c>
      <c r="AI181" s="31" t="s">
        <v>0</v>
      </c>
    </row>
    <row r="182" spans="1:35" s="1" customFormat="1">
      <c r="A182" s="75" t="s">
        <v>304</v>
      </c>
      <c r="B182" s="13"/>
      <c r="C182" s="341" t="s">
        <v>0</v>
      </c>
      <c r="D182" s="341">
        <f t="shared" ref="D182:AH182" si="102">D179-D176</f>
        <v>-11.69944974311511</v>
      </c>
      <c r="E182" s="341">
        <f t="shared" si="102"/>
        <v>95.119409951662419</v>
      </c>
      <c r="F182" s="341">
        <f t="shared" si="102"/>
        <v>107.86963906955771</v>
      </c>
      <c r="G182" s="341">
        <f t="shared" si="102"/>
        <v>188.46590537184602</v>
      </c>
      <c r="H182" s="405">
        <f>H179-H176</f>
        <v>61.6313637746116</v>
      </c>
      <c r="I182" s="15">
        <f t="shared" si="102"/>
        <v>167.94036875630536</v>
      </c>
      <c r="J182" s="15">
        <f t="shared" si="102"/>
        <v>195.47830717284523</v>
      </c>
      <c r="K182" s="15">
        <f t="shared" si="102"/>
        <v>203.89247682498444</v>
      </c>
      <c r="L182" s="15">
        <f t="shared" si="102"/>
        <v>233.09878166259114</v>
      </c>
      <c r="M182" s="15">
        <f t="shared" si="102"/>
        <v>256.04050882004412</v>
      </c>
      <c r="N182" s="190">
        <f t="shared" si="102"/>
        <v>288.14843032760655</v>
      </c>
      <c r="O182" s="15">
        <f t="shared" si="102"/>
        <v>274.26864052100336</v>
      </c>
      <c r="P182" s="15">
        <f t="shared" si="102"/>
        <v>269.89095954286586</v>
      </c>
      <c r="Q182" s="15">
        <f t="shared" si="102"/>
        <v>264.72092496544064</v>
      </c>
      <c r="R182" s="15">
        <f t="shared" si="102"/>
        <v>266.43365265003376</v>
      </c>
      <c r="S182" s="15">
        <f t="shared" si="102"/>
        <v>271.29638871732004</v>
      </c>
      <c r="T182" s="15">
        <f t="shared" si="102"/>
        <v>267.30211247335865</v>
      </c>
      <c r="U182" s="15">
        <f t="shared" si="102"/>
        <v>277.85023124885993</v>
      </c>
      <c r="V182" s="15">
        <f t="shared" si="102"/>
        <v>281.7559804468101</v>
      </c>
      <c r="W182" s="15">
        <f t="shared" si="102"/>
        <v>285.19616829226743</v>
      </c>
      <c r="X182" s="190">
        <f t="shared" si="102"/>
        <v>298.64341917221009</v>
      </c>
      <c r="Y182" s="130">
        <f t="shared" si="102"/>
        <v>309.88549041801252</v>
      </c>
      <c r="Z182" s="130">
        <f t="shared" si="102"/>
        <v>320.20868220116154</v>
      </c>
      <c r="AA182" s="130">
        <f t="shared" si="102"/>
        <v>337.93138513749909</v>
      </c>
      <c r="AB182" s="130">
        <f t="shared" si="102"/>
        <v>352.20722205673883</v>
      </c>
      <c r="AC182" s="130">
        <f t="shared" si="102"/>
        <v>357.6825438918404</v>
      </c>
      <c r="AD182" s="130">
        <f t="shared" si="102"/>
        <v>381.65740229203584</v>
      </c>
      <c r="AE182" s="130">
        <f t="shared" si="102"/>
        <v>390.54828398387963</v>
      </c>
      <c r="AF182" s="130">
        <f t="shared" si="102"/>
        <v>404.76129137641146</v>
      </c>
      <c r="AG182" s="130">
        <f t="shared" si="102"/>
        <v>412.16030098339797</v>
      </c>
      <c r="AH182" s="190">
        <f t="shared" si="102"/>
        <v>414.32518252410955</v>
      </c>
    </row>
    <row r="183" spans="1:35" s="20" customFormat="1">
      <c r="A183" s="20" t="s">
        <v>305</v>
      </c>
      <c r="B183" s="33"/>
      <c r="C183" s="334" t="s">
        <v>0</v>
      </c>
      <c r="D183" s="334">
        <f t="shared" ref="D183:AH183" si="103">D180-D177</f>
        <v>-6.1574420271704184</v>
      </c>
      <c r="E183" s="334">
        <f t="shared" si="103"/>
        <v>50.063008323906161</v>
      </c>
      <c r="F183" s="334">
        <f t="shared" si="103"/>
        <v>56.773659536214382</v>
      </c>
      <c r="G183" s="334">
        <f t="shared" si="103"/>
        <v>99.192750648364836</v>
      </c>
      <c r="H183" s="404">
        <f>H180-H177</f>
        <v>32.437701986637421</v>
      </c>
      <c r="I183" s="19">
        <f t="shared" si="103"/>
        <v>88.38981304273193</v>
      </c>
      <c r="J183" s="19">
        <f t="shared" si="103"/>
        <v>102.88347265512448</v>
      </c>
      <c r="K183" s="19">
        <f t="shared" si="103"/>
        <v>107.31199359513175</v>
      </c>
      <c r="L183" s="19">
        <f t="shared" si="103"/>
        <v>122.68374344878566</v>
      </c>
      <c r="M183" s="19">
        <f t="shared" si="103"/>
        <v>134.75834549831279</v>
      </c>
      <c r="N183" s="182">
        <f t="shared" si="103"/>
        <v>151.65725859601798</v>
      </c>
      <c r="O183" s="19">
        <f t="shared" si="103"/>
        <v>144.35210769549076</v>
      </c>
      <c r="P183" s="19">
        <f t="shared" si="103"/>
        <v>142.04806501283838</v>
      </c>
      <c r="Q183" s="19">
        <f t="shared" si="103"/>
        <v>139.32699507758298</v>
      </c>
      <c r="R183" s="19">
        <f t="shared" si="103"/>
        <v>140.22843192128676</v>
      </c>
      <c r="S183" s="19">
        <f t="shared" si="103"/>
        <v>142.78776819530822</v>
      </c>
      <c r="T183" s="19">
        <f t="shared" si="103"/>
        <v>140.68551749759217</v>
      </c>
      <c r="U183" s="19">
        <f t="shared" si="103"/>
        <v>146.23716343976503</v>
      </c>
      <c r="V183" s="19">
        <f t="shared" si="103"/>
        <v>148.29282487712317</v>
      </c>
      <c r="W183" s="19">
        <f t="shared" si="103"/>
        <v>150.10345007067463</v>
      </c>
      <c r="X183" s="182">
        <f t="shared" si="103"/>
        <v>157.18095335393082</v>
      </c>
      <c r="Y183" s="206">
        <f t="shared" si="103"/>
        <v>163.09783696282966</v>
      </c>
      <c r="Z183" s="206">
        <f t="shared" si="103"/>
        <v>168.53109891232725</v>
      </c>
      <c r="AA183" s="206">
        <f t="shared" si="103"/>
        <v>177.85884233122897</v>
      </c>
      <c r="AB183" s="206">
        <f t="shared" si="103"/>
        <v>185.3724448359485</v>
      </c>
      <c r="AC183" s="206">
        <f t="shared" si="103"/>
        <v>188.25419557529403</v>
      </c>
      <c r="AD183" s="206">
        <f t="shared" si="103"/>
        <v>200.87254781457295</v>
      </c>
      <c r="AE183" s="206">
        <f t="shared" si="103"/>
        <v>205.55196288021807</v>
      </c>
      <c r="AF183" s="206">
        <f t="shared" si="103"/>
        <v>213.03249624759019</v>
      </c>
      <c r="AG183" s="206">
        <f t="shared" si="103"/>
        <v>216.92671476177929</v>
      </c>
      <c r="AH183" s="182">
        <f t="shared" si="103"/>
        <v>218.06612781192234</v>
      </c>
    </row>
    <row r="184" spans="1:35" s="20" customFormat="1">
      <c r="A184" s="20" t="s">
        <v>306</v>
      </c>
      <c r="B184" s="33"/>
      <c r="C184" s="334" t="s">
        <v>0</v>
      </c>
      <c r="D184" s="334">
        <f t="shared" ref="D184:AH184" si="104">D181-D178</f>
        <v>-5.5420077159451466</v>
      </c>
      <c r="E184" s="334">
        <f t="shared" si="104"/>
        <v>45.056401627755804</v>
      </c>
      <c r="F184" s="334">
        <f t="shared" si="104"/>
        <v>51.095979533343325</v>
      </c>
      <c r="G184" s="334">
        <f t="shared" si="104"/>
        <v>89.273154723481184</v>
      </c>
      <c r="H184" s="404">
        <f t="shared" si="104"/>
        <v>29.193661787973724</v>
      </c>
      <c r="I184" s="19">
        <f t="shared" si="104"/>
        <v>79.550555713572976</v>
      </c>
      <c r="J184" s="19">
        <f t="shared" si="104"/>
        <v>92.594834517720756</v>
      </c>
      <c r="K184" s="19">
        <f t="shared" si="104"/>
        <v>96.580483229853144</v>
      </c>
      <c r="L184" s="19">
        <f t="shared" si="104"/>
        <v>110.41503821380593</v>
      </c>
      <c r="M184" s="19">
        <f t="shared" si="104"/>
        <v>121.28216332173179</v>
      </c>
      <c r="N184" s="182">
        <f t="shared" si="104"/>
        <v>136.49117173158811</v>
      </c>
      <c r="O184" s="19">
        <f t="shared" si="104"/>
        <v>129.91653282551306</v>
      </c>
      <c r="P184" s="19">
        <f t="shared" si="104"/>
        <v>127.84289453002748</v>
      </c>
      <c r="Q184" s="19">
        <f t="shared" si="104"/>
        <v>125.39392988785812</v>
      </c>
      <c r="R184" s="19">
        <f t="shared" si="104"/>
        <v>126.20522072874701</v>
      </c>
      <c r="S184" s="19">
        <f t="shared" si="104"/>
        <v>128.50862052201228</v>
      </c>
      <c r="T184" s="19">
        <f t="shared" si="104"/>
        <v>126.61659497576693</v>
      </c>
      <c r="U184" s="19">
        <f t="shared" si="104"/>
        <v>131.61306780909536</v>
      </c>
      <c r="V184" s="19">
        <f t="shared" si="104"/>
        <v>133.46315556968693</v>
      </c>
      <c r="W184" s="19">
        <f t="shared" si="104"/>
        <v>135.09271822159326</v>
      </c>
      <c r="X184" s="182">
        <f t="shared" si="104"/>
        <v>141.46246581827882</v>
      </c>
      <c r="Y184" s="206">
        <f t="shared" si="104"/>
        <v>146.78765345518241</v>
      </c>
      <c r="Z184" s="206">
        <f t="shared" si="104"/>
        <v>151.67758328883428</v>
      </c>
      <c r="AA184" s="206">
        <f t="shared" si="104"/>
        <v>160.07254280626967</v>
      </c>
      <c r="AB184" s="206">
        <f t="shared" si="104"/>
        <v>166.83477722078942</v>
      </c>
      <c r="AC184" s="206">
        <f t="shared" si="104"/>
        <v>169.42834831654636</v>
      </c>
      <c r="AD184" s="206">
        <f t="shared" si="104"/>
        <v>180.78485447746334</v>
      </c>
      <c r="AE184" s="206">
        <f t="shared" si="104"/>
        <v>184.9963211036611</v>
      </c>
      <c r="AF184" s="206">
        <f t="shared" si="104"/>
        <v>191.72879512882128</v>
      </c>
      <c r="AG184" s="206">
        <f t="shared" si="104"/>
        <v>195.23358622161777</v>
      </c>
      <c r="AH184" s="182">
        <f t="shared" si="104"/>
        <v>196.25905471218675</v>
      </c>
    </row>
    <row r="185" spans="1:35" s="1" customFormat="1">
      <c r="A185" s="1" t="s">
        <v>449</v>
      </c>
      <c r="B185" s="13"/>
      <c r="C185" s="341"/>
      <c r="D185" s="341">
        <f>D182</f>
        <v>-11.69944974311511</v>
      </c>
      <c r="E185" s="341">
        <f>D185+E182</f>
        <v>83.419960208547309</v>
      </c>
      <c r="F185" s="341">
        <f t="shared" ref="E185:N187" si="105">E185+F182</f>
        <v>191.28959927810502</v>
      </c>
      <c r="G185" s="341">
        <f t="shared" si="105"/>
        <v>379.75550464995104</v>
      </c>
      <c r="H185" s="405">
        <f>H182</f>
        <v>61.6313637746116</v>
      </c>
      <c r="I185" s="15">
        <f t="shared" si="105"/>
        <v>229.57173253091696</v>
      </c>
      <c r="J185" s="15">
        <f t="shared" si="105"/>
        <v>425.0500397037622</v>
      </c>
      <c r="K185" s="15">
        <f t="shared" si="105"/>
        <v>628.94251652874664</v>
      </c>
      <c r="L185" s="15">
        <f t="shared" si="105"/>
        <v>862.04129819133777</v>
      </c>
      <c r="M185" s="15">
        <f t="shared" si="105"/>
        <v>1118.0818070113819</v>
      </c>
      <c r="N185" s="15">
        <f t="shared" si="105"/>
        <v>1406.2302373389884</v>
      </c>
      <c r="O185" s="15">
        <f t="shared" ref="O185:X185" si="106">N185+O182</f>
        <v>1680.4988778599918</v>
      </c>
      <c r="P185" s="15">
        <f t="shared" si="106"/>
        <v>1950.3898374028577</v>
      </c>
      <c r="Q185" s="15">
        <f t="shared" si="106"/>
        <v>2215.1107623682983</v>
      </c>
      <c r="R185" s="15">
        <f t="shared" si="106"/>
        <v>2481.5444150183321</v>
      </c>
      <c r="S185" s="130">
        <f t="shared" si="106"/>
        <v>2752.8408037356521</v>
      </c>
      <c r="T185" s="15">
        <f t="shared" si="106"/>
        <v>3020.1429162090108</v>
      </c>
      <c r="U185" s="15">
        <f t="shared" si="106"/>
        <v>3297.9931474578707</v>
      </c>
      <c r="V185" s="15">
        <f t="shared" si="106"/>
        <v>3579.7491279046808</v>
      </c>
      <c r="W185" s="15">
        <f t="shared" si="106"/>
        <v>3864.9452961969482</v>
      </c>
      <c r="X185" s="190">
        <f t="shared" si="106"/>
        <v>4163.5887153691583</v>
      </c>
      <c r="Y185" s="130">
        <f t="shared" ref="Y185:AH185" si="107">X185+Y182</f>
        <v>4473.4742057871708</v>
      </c>
      <c r="Z185" s="130">
        <f t="shared" si="107"/>
        <v>4793.6828879883324</v>
      </c>
      <c r="AA185" s="130">
        <f t="shared" si="107"/>
        <v>5131.6142731258315</v>
      </c>
      <c r="AB185" s="130">
        <f t="shared" si="107"/>
        <v>5483.8214951825703</v>
      </c>
      <c r="AC185" s="130">
        <f t="shared" si="107"/>
        <v>5841.5040390744107</v>
      </c>
      <c r="AD185" s="130">
        <f t="shared" si="107"/>
        <v>6223.1614413664465</v>
      </c>
      <c r="AE185" s="130">
        <f t="shared" si="107"/>
        <v>6613.7097253503262</v>
      </c>
      <c r="AF185" s="130">
        <f t="shared" si="107"/>
        <v>7018.4710167267376</v>
      </c>
      <c r="AG185" s="130">
        <f t="shared" si="107"/>
        <v>7430.6313177101356</v>
      </c>
      <c r="AH185" s="190">
        <f t="shared" si="107"/>
        <v>7844.9565002342451</v>
      </c>
    </row>
    <row r="186" spans="1:35" s="20" customFormat="1">
      <c r="A186" s="20" t="s">
        <v>450</v>
      </c>
      <c r="B186" s="33"/>
      <c r="C186" s="334"/>
      <c r="D186" s="334">
        <f>D183</f>
        <v>-6.1574420271704184</v>
      </c>
      <c r="E186" s="334">
        <f t="shared" si="105"/>
        <v>43.905566296735742</v>
      </c>
      <c r="F186" s="334">
        <f t="shared" si="105"/>
        <v>100.67922583295012</v>
      </c>
      <c r="G186" s="334">
        <f t="shared" si="105"/>
        <v>199.87197648131496</v>
      </c>
      <c r="H186" s="404">
        <f t="shared" si="105"/>
        <v>232.30967846795238</v>
      </c>
      <c r="I186" s="19">
        <f t="shared" ref="I186:X186" si="108">H186+I183</f>
        <v>320.69949151068431</v>
      </c>
      <c r="J186" s="19">
        <f t="shared" si="108"/>
        <v>423.58296416580879</v>
      </c>
      <c r="K186" s="19">
        <f t="shared" si="108"/>
        <v>530.89495776094054</v>
      </c>
      <c r="L186" s="19">
        <f t="shared" si="108"/>
        <v>653.5787012097262</v>
      </c>
      <c r="M186" s="19">
        <f t="shared" si="108"/>
        <v>788.337046708039</v>
      </c>
      <c r="N186" s="182">
        <f t="shared" si="108"/>
        <v>939.99430530405698</v>
      </c>
      <c r="O186" s="19">
        <f t="shared" si="108"/>
        <v>1084.3464129995477</v>
      </c>
      <c r="P186" s="19">
        <f t="shared" si="108"/>
        <v>1226.3944780123861</v>
      </c>
      <c r="Q186" s="19">
        <f t="shared" si="108"/>
        <v>1365.7214730899691</v>
      </c>
      <c r="R186" s="19">
        <f t="shared" si="108"/>
        <v>1505.9499050112559</v>
      </c>
      <c r="S186" s="206">
        <f t="shared" si="108"/>
        <v>1648.7376732065641</v>
      </c>
      <c r="T186" s="19">
        <f t="shared" si="108"/>
        <v>1789.4231907041562</v>
      </c>
      <c r="U186" s="19">
        <f t="shared" si="108"/>
        <v>1935.6603541439213</v>
      </c>
      <c r="V186" s="19">
        <f t="shared" si="108"/>
        <v>2083.9531790210444</v>
      </c>
      <c r="W186" s="19">
        <f t="shared" si="108"/>
        <v>2234.0566290917191</v>
      </c>
      <c r="X186" s="182">
        <f t="shared" si="108"/>
        <v>2391.2375824456499</v>
      </c>
      <c r="Y186" s="206">
        <f t="shared" ref="Y186:AH186" si="109">X186+Y183</f>
        <v>2554.3354194084795</v>
      </c>
      <c r="Z186" s="206">
        <f t="shared" si="109"/>
        <v>2722.8665183208068</v>
      </c>
      <c r="AA186" s="206">
        <f t="shared" si="109"/>
        <v>2900.7253606520358</v>
      </c>
      <c r="AB186" s="206">
        <f t="shared" si="109"/>
        <v>3086.0978054879843</v>
      </c>
      <c r="AC186" s="206">
        <f t="shared" si="109"/>
        <v>3274.3520010632783</v>
      </c>
      <c r="AD186" s="206">
        <f t="shared" si="109"/>
        <v>3475.2245488778512</v>
      </c>
      <c r="AE186" s="206">
        <f t="shared" si="109"/>
        <v>3680.7765117580693</v>
      </c>
      <c r="AF186" s="206">
        <f t="shared" si="109"/>
        <v>3893.8090080056595</v>
      </c>
      <c r="AG186" s="206">
        <f t="shared" si="109"/>
        <v>4110.7357227674383</v>
      </c>
      <c r="AH186" s="182">
        <f t="shared" si="109"/>
        <v>4328.8018505793607</v>
      </c>
    </row>
    <row r="187" spans="1:35" s="20" customFormat="1">
      <c r="A187" s="20" t="s">
        <v>451</v>
      </c>
      <c r="B187" s="33"/>
      <c r="C187" s="334"/>
      <c r="D187" s="334">
        <f>D184</f>
        <v>-5.5420077159451466</v>
      </c>
      <c r="E187" s="334">
        <f t="shared" si="105"/>
        <v>39.514393911810657</v>
      </c>
      <c r="F187" s="334">
        <f t="shared" si="105"/>
        <v>90.610373445153982</v>
      </c>
      <c r="G187" s="334">
        <f t="shared" si="105"/>
        <v>179.88352816863517</v>
      </c>
      <c r="H187" s="404">
        <f t="shared" si="105"/>
        <v>209.07718995660889</v>
      </c>
      <c r="I187" s="19">
        <f t="shared" ref="I187:X187" si="110">H187+I184</f>
        <v>288.62774567018187</v>
      </c>
      <c r="J187" s="19">
        <f t="shared" si="110"/>
        <v>381.22258018790262</v>
      </c>
      <c r="K187" s="19">
        <f t="shared" si="110"/>
        <v>477.80306341775577</v>
      </c>
      <c r="L187" s="19">
        <f t="shared" si="110"/>
        <v>588.21810163156169</v>
      </c>
      <c r="M187" s="19">
        <f t="shared" si="110"/>
        <v>709.50026495329348</v>
      </c>
      <c r="N187" s="182">
        <f t="shared" si="110"/>
        <v>845.99143668488159</v>
      </c>
      <c r="O187" s="19">
        <f t="shared" si="110"/>
        <v>975.90796951039465</v>
      </c>
      <c r="P187" s="19">
        <f t="shared" si="110"/>
        <v>1103.7508640404221</v>
      </c>
      <c r="Q187" s="19">
        <f t="shared" si="110"/>
        <v>1229.1447939282803</v>
      </c>
      <c r="R187" s="19">
        <f t="shared" si="110"/>
        <v>1355.3500146570273</v>
      </c>
      <c r="S187" s="206">
        <f t="shared" si="110"/>
        <v>1483.8586351790395</v>
      </c>
      <c r="T187" s="19">
        <f t="shared" si="110"/>
        <v>1610.4752301548065</v>
      </c>
      <c r="U187" s="19">
        <f t="shared" si="110"/>
        <v>1742.0882979639018</v>
      </c>
      <c r="V187" s="19">
        <f t="shared" si="110"/>
        <v>1875.5514535335888</v>
      </c>
      <c r="W187" s="19">
        <f t="shared" si="110"/>
        <v>2010.644171755182</v>
      </c>
      <c r="X187" s="182">
        <f t="shared" si="110"/>
        <v>2152.1066375734608</v>
      </c>
      <c r="Y187" s="206">
        <f t="shared" ref="Y187:AH187" si="111">X187+Y184</f>
        <v>2298.8942910286432</v>
      </c>
      <c r="Z187" s="206">
        <f t="shared" si="111"/>
        <v>2450.5718743174775</v>
      </c>
      <c r="AA187" s="206">
        <f t="shared" si="111"/>
        <v>2610.6444171237472</v>
      </c>
      <c r="AB187" s="206">
        <f t="shared" si="111"/>
        <v>2777.4791943445366</v>
      </c>
      <c r="AC187" s="206">
        <f t="shared" si="111"/>
        <v>2946.907542661083</v>
      </c>
      <c r="AD187" s="206">
        <f t="shared" si="111"/>
        <v>3127.6923971385463</v>
      </c>
      <c r="AE187" s="206">
        <f t="shared" si="111"/>
        <v>3312.6887182422074</v>
      </c>
      <c r="AF187" s="206">
        <f t="shared" si="111"/>
        <v>3504.4175133710287</v>
      </c>
      <c r="AG187" s="206">
        <f t="shared" si="111"/>
        <v>3699.6510995926465</v>
      </c>
      <c r="AH187" s="182">
        <f t="shared" si="111"/>
        <v>3895.9101543048332</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c r="AC188"/>
      <c r="AD188"/>
      <c r="AE188"/>
      <c r="AF188"/>
      <c r="AG188"/>
      <c r="AH188"/>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455.68212999999997</v>
      </c>
      <c r="D194" s="331">
        <f t="shared" ref="D194:AH194" si="112">SUM(D195:D196)</f>
        <v>485.04520880000001</v>
      </c>
      <c r="E194" s="331">
        <f t="shared" si="112"/>
        <v>441.62857995305131</v>
      </c>
      <c r="F194" s="331">
        <f t="shared" si="112"/>
        <v>479.10874447305173</v>
      </c>
      <c r="G194" s="331">
        <f t="shared" si="112"/>
        <v>457.61849113198059</v>
      </c>
      <c r="H194" s="402">
        <f t="shared" si="112"/>
        <v>500.88833760563477</v>
      </c>
      <c r="I194" s="14">
        <f t="shared" si="112"/>
        <v>591.88625718486594</v>
      </c>
      <c r="J194" s="14">
        <f t="shared" si="112"/>
        <v>734.01486879751201</v>
      </c>
      <c r="K194" s="14">
        <f t="shared" si="112"/>
        <v>745.9630237336246</v>
      </c>
      <c r="L194" s="14">
        <f t="shared" si="112"/>
        <v>756.02001812615777</v>
      </c>
      <c r="M194" s="14">
        <f t="shared" si="112"/>
        <v>768.71404480293108</v>
      </c>
      <c r="N194" s="187">
        <f t="shared" si="112"/>
        <v>779.94496406341295</v>
      </c>
      <c r="O194" s="14">
        <f t="shared" si="112"/>
        <v>815.60321028684052</v>
      </c>
      <c r="P194" s="14">
        <f t="shared" si="112"/>
        <v>816.43321295765054</v>
      </c>
      <c r="Q194" s="14">
        <f t="shared" si="112"/>
        <v>816.78210158251579</v>
      </c>
      <c r="R194" s="14">
        <f t="shared" si="112"/>
        <v>821.29093355380292</v>
      </c>
      <c r="S194" s="15">
        <f t="shared" si="112"/>
        <v>823.09152450658439</v>
      </c>
      <c r="T194" s="14">
        <f t="shared" si="112"/>
        <v>827.42761884545678</v>
      </c>
      <c r="U194" s="14">
        <f t="shared" si="112"/>
        <v>847.71381089977581</v>
      </c>
      <c r="V194" s="14">
        <f t="shared" si="112"/>
        <v>880.59965846976831</v>
      </c>
      <c r="W194" s="14">
        <f t="shared" si="112"/>
        <v>876.53308353962018</v>
      </c>
      <c r="X194" s="187">
        <f t="shared" si="112"/>
        <v>877.99027134012556</v>
      </c>
      <c r="Y194" s="158">
        <f t="shared" si="112"/>
        <v>885.17595502221752</v>
      </c>
      <c r="Z194" s="158">
        <f t="shared" si="112"/>
        <v>884.57590825779994</v>
      </c>
      <c r="AA194" s="158">
        <f t="shared" si="112"/>
        <v>893.3002025753683</v>
      </c>
      <c r="AB194" s="158">
        <f t="shared" si="112"/>
        <v>900.5966959559139</v>
      </c>
      <c r="AC194" s="158">
        <f t="shared" si="112"/>
        <v>903.7390009791518</v>
      </c>
      <c r="AD194" s="158">
        <f t="shared" si="112"/>
        <v>920.44790938512767</v>
      </c>
      <c r="AE194" s="158">
        <f t="shared" si="112"/>
        <v>941.63531024405893</v>
      </c>
      <c r="AF194" s="158">
        <f t="shared" si="112"/>
        <v>934.91009352920696</v>
      </c>
      <c r="AG194" s="158">
        <f t="shared" si="112"/>
        <v>940.41978293513375</v>
      </c>
      <c r="AH194" s="187">
        <f t="shared" si="112"/>
        <v>946.75230634727154</v>
      </c>
    </row>
    <row r="195" spans="1:34">
      <c r="A195" t="s">
        <v>388</v>
      </c>
      <c r="C195" s="330">
        <f>'Output - Jobs vs Yr (BAU)'!C51</f>
        <v>239.83269999999999</v>
      </c>
      <c r="D195" s="330">
        <f>'Output - Jobs vs Yr (BAU)'!D51</f>
        <v>255.28695199999999</v>
      </c>
      <c r="E195" s="330">
        <f>'Output - Jobs vs Yr (BAU)'!E51</f>
        <v>232.43609471213225</v>
      </c>
      <c r="F195" s="330">
        <f>'Output - Jobs vs Yr (BAU)'!F51</f>
        <v>252.16249709107987</v>
      </c>
      <c r="G195" s="330">
        <f>'Output - Jobs vs Yr (BAU)'!G51</f>
        <v>240.85183743788451</v>
      </c>
      <c r="H195" s="286">
        <f>'Output - Jobs vs Yr (BAU)'!H51</f>
        <v>263.6254408450709</v>
      </c>
      <c r="I195" s="118">
        <f>'Output - Jobs vs Yr (BAU)'!I51</f>
        <v>311.51908272887681</v>
      </c>
      <c r="J195" s="118">
        <f>'Output - Jobs vs Yr (BAU)'!J51</f>
        <v>386.32361515658528</v>
      </c>
      <c r="K195" s="118">
        <f>'Output - Jobs vs Yr (BAU)'!K51</f>
        <v>392.61211775453927</v>
      </c>
      <c r="L195" s="118">
        <f>'Output - Jobs vs Yr (BAU)'!L51</f>
        <v>397.90527269797775</v>
      </c>
      <c r="M195" s="118">
        <f>'Output - Jobs vs Yr (BAU)'!M51</f>
        <v>404.58633936996375</v>
      </c>
      <c r="N195" s="177">
        <f>'Output - Jobs vs Yr (BAU)'!N51</f>
        <v>410.49734950705948</v>
      </c>
      <c r="O195" s="118">
        <f>'Output - Jobs vs Yr (BAU)'!O51</f>
        <v>429.26484751938978</v>
      </c>
      <c r="P195" s="118">
        <f>'Output - Jobs vs Yr (BAU)'!P51</f>
        <v>429.70169103034237</v>
      </c>
      <c r="Q195" s="118">
        <f>'Output - Jobs vs Yr (BAU)'!Q51</f>
        <v>429.88531662237676</v>
      </c>
      <c r="R195" s="118">
        <f>'Output - Jobs vs Yr (BAU)'!R51</f>
        <v>432.25838608094898</v>
      </c>
      <c r="S195" s="118">
        <f>'Output - Jobs vs Yr (BAU)'!S51</f>
        <v>433.20606552978131</v>
      </c>
      <c r="T195" s="118">
        <f>'Output - Jobs vs Yr (BAU)'!T51</f>
        <v>435.48822044497729</v>
      </c>
      <c r="U195" s="118">
        <f>'Output - Jobs vs Yr (BAU)'!U51</f>
        <v>446.16516363146098</v>
      </c>
      <c r="V195" s="118">
        <f>'Output - Jobs vs Yr (BAU)'!V51</f>
        <v>463.47350445777283</v>
      </c>
      <c r="W195" s="118">
        <f>'Output - Jobs vs Yr (BAU)'!W51</f>
        <v>461.33320186295805</v>
      </c>
      <c r="X195" s="184">
        <f>'Output - Jobs vs Yr (BAU)'!X51</f>
        <v>462.10014281059244</v>
      </c>
      <c r="Y195" s="271">
        <f>'Output - Jobs vs Yr (BAU)'!Y51</f>
        <v>465.88208159064084</v>
      </c>
      <c r="Z195" s="271">
        <f>'Output - Jobs vs Yr (BAU)'!Z51</f>
        <v>465.56626750410533</v>
      </c>
      <c r="AA195" s="271">
        <f>'Output - Jobs vs Yr (BAU)'!AA51</f>
        <v>470.15800135545703</v>
      </c>
      <c r="AB195" s="271">
        <f>'Output - Jobs vs Yr (BAU)'!AB51</f>
        <v>473.99826102942836</v>
      </c>
      <c r="AC195" s="271">
        <f>'Output - Jobs vs Yr (BAU)'!AC51</f>
        <v>475.65210577850098</v>
      </c>
      <c r="AD195" s="271">
        <f>'Output - Jobs vs Yr (BAU)'!AD51</f>
        <v>484.44626809743568</v>
      </c>
      <c r="AE195" s="271">
        <f>'Output - Jobs vs Yr (BAU)'!AE51</f>
        <v>495.59753170739941</v>
      </c>
      <c r="AF195" s="271">
        <f>'Output - Jobs vs Yr (BAU)'!AF51</f>
        <v>492.05794396274052</v>
      </c>
      <c r="AG195" s="271">
        <f>'Output - Jobs vs Yr (BAU)'!AG51</f>
        <v>494.95778049217574</v>
      </c>
      <c r="AH195" s="184">
        <f>'Output - Jobs vs Yr (BAU)'!AH51</f>
        <v>498.29068755119556</v>
      </c>
    </row>
    <row r="196" spans="1:34">
      <c r="A196" t="s">
        <v>389</v>
      </c>
      <c r="C196" s="330">
        <f>'Output - Jobs vs Yr (BAU)'!C69</f>
        <v>215.84942999999998</v>
      </c>
      <c r="D196" s="330">
        <f>'Output - Jobs vs Yr (BAU)'!D69</f>
        <v>229.75825680000003</v>
      </c>
      <c r="E196" s="330">
        <f>'Output - Jobs vs Yr (BAU)'!E69</f>
        <v>209.19248524091907</v>
      </c>
      <c r="F196" s="330">
        <f>'Output - Jobs vs Yr (BAU)'!F69</f>
        <v>226.94624738197186</v>
      </c>
      <c r="G196" s="330">
        <f>'Output - Jobs vs Yr (BAU)'!G69</f>
        <v>216.76665369409608</v>
      </c>
      <c r="H196" s="286">
        <f>'Output - Jobs vs Yr (BAU)'!H69</f>
        <v>237.26289676056385</v>
      </c>
      <c r="I196" s="118">
        <f>'Output - Jobs vs Yr (BAU)'!I69</f>
        <v>280.36717445598913</v>
      </c>
      <c r="J196" s="118">
        <f>'Output - Jobs vs Yr (BAU)'!J69</f>
        <v>347.69125364092667</v>
      </c>
      <c r="K196" s="118">
        <f>'Output - Jobs vs Yr (BAU)'!K69</f>
        <v>353.35090597908533</v>
      </c>
      <c r="L196" s="118">
        <f>'Output - Jobs vs Yr (BAU)'!L69</f>
        <v>358.11474542817996</v>
      </c>
      <c r="M196" s="118">
        <f>'Output - Jobs vs Yr (BAU)'!M69</f>
        <v>364.12770543296733</v>
      </c>
      <c r="N196" s="177">
        <f>'Output - Jobs vs Yr (BAU)'!N69</f>
        <v>369.44761455635353</v>
      </c>
      <c r="O196" s="118">
        <f>'Output - Jobs vs Yr (BAU)'!O69</f>
        <v>386.33836276745069</v>
      </c>
      <c r="P196" s="118">
        <f>'Output - Jobs vs Yr (BAU)'!P69</f>
        <v>386.73152192730811</v>
      </c>
      <c r="Q196" s="118">
        <f>'Output - Jobs vs Yr (BAU)'!Q69</f>
        <v>386.89678496013903</v>
      </c>
      <c r="R196" s="118">
        <f>'Output - Jobs vs Yr (BAU)'!R69</f>
        <v>389.03254747285399</v>
      </c>
      <c r="S196" s="118">
        <f>'Output - Jobs vs Yr (BAU)'!S69</f>
        <v>389.88545897680302</v>
      </c>
      <c r="T196" s="118">
        <f>'Output - Jobs vs Yr (BAU)'!T69</f>
        <v>391.93939840047949</v>
      </c>
      <c r="U196" s="118">
        <f>'Output - Jobs vs Yr (BAU)'!U69</f>
        <v>401.54864726831482</v>
      </c>
      <c r="V196" s="118">
        <f>'Output - Jobs vs Yr (BAU)'!V69</f>
        <v>417.12615401199548</v>
      </c>
      <c r="W196" s="118">
        <f>'Output - Jobs vs Yr (BAU)'!W69</f>
        <v>415.19988167666213</v>
      </c>
      <c r="X196" s="184">
        <f>'Output - Jobs vs Yr (BAU)'!X69</f>
        <v>415.89012852953311</v>
      </c>
      <c r="Y196" s="271">
        <f>'Output - Jobs vs Yr (BAU)'!Y69</f>
        <v>419.29387343157669</v>
      </c>
      <c r="Z196" s="271">
        <f>'Output - Jobs vs Yr (BAU)'!Z69</f>
        <v>419.00964075369467</v>
      </c>
      <c r="AA196" s="271">
        <f>'Output - Jobs vs Yr (BAU)'!AA69</f>
        <v>423.14220121991127</v>
      </c>
      <c r="AB196" s="271">
        <f>'Output - Jobs vs Yr (BAU)'!AB69</f>
        <v>426.59843492648554</v>
      </c>
      <c r="AC196" s="271">
        <f>'Output - Jobs vs Yr (BAU)'!AC69</f>
        <v>428.08689520065087</v>
      </c>
      <c r="AD196" s="271">
        <f>'Output - Jobs vs Yr (BAU)'!AD69</f>
        <v>436.001641287692</v>
      </c>
      <c r="AE196" s="271">
        <f>'Output - Jobs vs Yr (BAU)'!AE69</f>
        <v>446.03777853665946</v>
      </c>
      <c r="AF196" s="271">
        <f>'Output - Jobs vs Yr (BAU)'!AF69</f>
        <v>442.85214956646644</v>
      </c>
      <c r="AG196" s="271">
        <f>'Output - Jobs vs Yr (BAU)'!AG69</f>
        <v>445.46200244295807</v>
      </c>
      <c r="AH196" s="184">
        <f>'Output - Jobs vs Yr (BAU)'!AH69</f>
        <v>448.46161879607598</v>
      </c>
    </row>
    <row r="197" spans="1:34">
      <c r="A197" t="s">
        <v>390</v>
      </c>
      <c r="C197" s="331">
        <f>SUM(C198:C199)</f>
        <v>2824.1191500000004</v>
      </c>
      <c r="D197" s="331">
        <f t="shared" ref="D197:AH197" si="113">SUM(D198:D199)</f>
        <v>3323.2871500000001</v>
      </c>
      <c r="E197" s="331">
        <f t="shared" si="113"/>
        <v>2882.4371056793552</v>
      </c>
      <c r="F197" s="331">
        <f t="shared" si="113"/>
        <v>2942.828835228258</v>
      </c>
      <c r="G197" s="331">
        <f t="shared" si="113"/>
        <v>2849.6482197327537</v>
      </c>
      <c r="H197" s="402">
        <f t="shared" si="113"/>
        <v>2866.591759620319</v>
      </c>
      <c r="I197" s="14">
        <f t="shared" si="113"/>
        <v>2596.4244128885184</v>
      </c>
      <c r="J197" s="14">
        <f t="shared" si="113"/>
        <v>2628.1949048572224</v>
      </c>
      <c r="K197" s="14">
        <f t="shared" si="113"/>
        <v>2637.570387318769</v>
      </c>
      <c r="L197" s="14">
        <f t="shared" si="113"/>
        <v>2643.0036288105352</v>
      </c>
      <c r="M197" s="14">
        <f t="shared" si="113"/>
        <v>2648.4391858633603</v>
      </c>
      <c r="N197" s="187">
        <f t="shared" si="113"/>
        <v>2649.9937716504601</v>
      </c>
      <c r="O197" s="14">
        <f t="shared" si="113"/>
        <v>2649.9939138481359</v>
      </c>
      <c r="P197" s="14">
        <f t="shared" si="113"/>
        <v>2649.9940156475641</v>
      </c>
      <c r="Q197" s="14">
        <f t="shared" si="113"/>
        <v>2669.2196115566931</v>
      </c>
      <c r="R197" s="14">
        <f t="shared" si="113"/>
        <v>2669.2195606569794</v>
      </c>
      <c r="S197" s="15">
        <f t="shared" si="113"/>
        <v>2669.220018754404</v>
      </c>
      <c r="T197" s="14">
        <f t="shared" si="113"/>
        <v>2669.2208840495387</v>
      </c>
      <c r="U197" s="14">
        <f t="shared" si="113"/>
        <v>2672.0658621526454</v>
      </c>
      <c r="V197" s="14">
        <f t="shared" si="113"/>
        <v>2674.9055676884454</v>
      </c>
      <c r="W197" s="14">
        <f t="shared" si="113"/>
        <v>2674.9060257858696</v>
      </c>
      <c r="X197" s="187">
        <f t="shared" si="113"/>
        <v>2674.9059748861555</v>
      </c>
      <c r="Y197" s="158">
        <f t="shared" si="113"/>
        <v>2674.9060257858696</v>
      </c>
      <c r="Z197" s="158">
        <f t="shared" si="113"/>
        <v>2674.9061275852973</v>
      </c>
      <c r="AA197" s="158">
        <f t="shared" si="113"/>
        <v>2674.9055167887313</v>
      </c>
      <c r="AB197" s="158">
        <f t="shared" si="113"/>
        <v>2674.9055167887313</v>
      </c>
      <c r="AC197" s="158">
        <f t="shared" si="113"/>
        <v>2674.9055167887313</v>
      </c>
      <c r="AD197" s="158">
        <f t="shared" si="113"/>
        <v>2676.9646138118351</v>
      </c>
      <c r="AE197" s="158">
        <f t="shared" si="113"/>
        <v>2676.9647560095118</v>
      </c>
      <c r="AF197" s="158">
        <f t="shared" si="113"/>
        <v>2676.9647560095118</v>
      </c>
      <c r="AG197" s="158">
        <f t="shared" si="113"/>
        <v>2676.9646138118351</v>
      </c>
      <c r="AH197" s="187">
        <f t="shared" si="113"/>
        <v>2676.9651228089733</v>
      </c>
    </row>
    <row r="198" spans="1:34">
      <c r="A198" t="s">
        <v>392</v>
      </c>
      <c r="C198" s="330">
        <f>SUM('Output - Jobs vs Yr (BAU)'!C40:C43)</f>
        <v>1486.3785</v>
      </c>
      <c r="D198" s="330">
        <f>SUM('Output - Jobs vs Yr (BAU)'!D40:D43)</f>
        <v>1749.0985000000001</v>
      </c>
      <c r="E198" s="330">
        <f>SUM('Output - Jobs vs Yr (BAU)'!E40:E43)</f>
        <v>1517.072160883871</v>
      </c>
      <c r="F198" s="330">
        <f>SUM('Output - Jobs vs Yr (BAU)'!F40:F43)</f>
        <v>1548.8572816990832</v>
      </c>
      <c r="G198" s="330">
        <f>SUM('Output - Jobs vs Yr (BAU)'!G40:G43)</f>
        <v>1499.8148524909229</v>
      </c>
      <c r="H198" s="286">
        <f>SUM('Output - Jobs vs Yr (BAU)'!H40:H43)</f>
        <v>1508.7325050633258</v>
      </c>
      <c r="I198" s="118">
        <f>SUM('Output - Jobs vs Yr (BAU)'!I40:I43)</f>
        <v>1366.5391646781677</v>
      </c>
      <c r="J198" s="118">
        <f>SUM('Output - Jobs vs Yr (BAU)'!J40:J43)</f>
        <v>1383.2604762406434</v>
      </c>
      <c r="K198" s="118">
        <f>SUM('Output - Jobs vs Yr (BAU)'!K40:K43)</f>
        <v>1388.1949406940889</v>
      </c>
      <c r="L198" s="118">
        <f>SUM('Output - Jobs vs Yr (BAU)'!L40:L43)</f>
        <v>1391.0545414792291</v>
      </c>
      <c r="M198" s="118">
        <f>SUM('Output - Jobs vs Yr (BAU)'!M40:M43)</f>
        <v>1393.9153609807158</v>
      </c>
      <c r="N198" s="177">
        <f>SUM('Output - Jobs vs Yr (BAU)'!N40:N43)</f>
        <v>1394.7335640265578</v>
      </c>
      <c r="O198" s="118">
        <f>SUM('Output - Jobs vs Yr (BAU)'!O40:O43)</f>
        <v>1394.73363886744</v>
      </c>
      <c r="P198" s="118">
        <f>SUM('Output - Jobs vs Yr (BAU)'!P40:P43)</f>
        <v>1394.7336924460863</v>
      </c>
      <c r="Q198" s="118">
        <f>SUM('Output - Jobs vs Yr (BAU)'!Q40:Q43)</f>
        <v>1404.8524271351016</v>
      </c>
      <c r="R198" s="118">
        <f>SUM('Output - Jobs vs Yr (BAU)'!R40:R43)</f>
        <v>1404.8524003457785</v>
      </c>
      <c r="S198" s="118">
        <f>SUM('Output - Jobs vs Yr (BAU)'!S40:S43)</f>
        <v>1404.8526414496862</v>
      </c>
      <c r="T198" s="118">
        <f>SUM('Output - Jobs vs Yr (BAU)'!T40:T43)</f>
        <v>1404.8530968681782</v>
      </c>
      <c r="U198" s="118">
        <f>SUM('Output - Jobs vs Yr (BAU)'!U40:U43)</f>
        <v>1406.3504537645504</v>
      </c>
      <c r="V198" s="118">
        <f>SUM('Output - Jobs vs Yr (BAU)'!V40:V43)</f>
        <v>1407.8450356254975</v>
      </c>
      <c r="W198" s="118">
        <f>SUM('Output - Jobs vs Yr (BAU)'!W40:W43)</f>
        <v>1407.845276729405</v>
      </c>
      <c r="X198" s="184">
        <f>SUM('Output - Jobs vs Yr (BAU)'!X40:X43)</f>
        <v>1407.8452499400819</v>
      </c>
      <c r="Y198" s="271">
        <f>SUM('Output - Jobs vs Yr (BAU)'!Y40:Y43)</f>
        <v>1407.845276729405</v>
      </c>
      <c r="Z198" s="271">
        <f>SUM('Output - Jobs vs Yr (BAU)'!Z40:Z43)</f>
        <v>1407.8453303080512</v>
      </c>
      <c r="AA198" s="271">
        <f>SUM('Output - Jobs vs Yr (BAU)'!AA40:AA43)</f>
        <v>1407.8450088361744</v>
      </c>
      <c r="AB198" s="271">
        <f>SUM('Output - Jobs vs Yr (BAU)'!AB40:AB43)</f>
        <v>1407.8450088361744</v>
      </c>
      <c r="AC198" s="271">
        <f>SUM('Output - Jobs vs Yr (BAU)'!AC40:AC43)</f>
        <v>1407.8450088361744</v>
      </c>
      <c r="AD198" s="271">
        <f>SUM('Output - Jobs vs Yr (BAU)'!AD40:AD43)</f>
        <v>1408.9287441114923</v>
      </c>
      <c r="AE198" s="271">
        <f>SUM('Output - Jobs vs Yr (BAU)'!AE40:AE43)</f>
        <v>1408.9288189523745</v>
      </c>
      <c r="AF198" s="271">
        <f>SUM('Output - Jobs vs Yr (BAU)'!AF40:AF43)</f>
        <v>1408.9288189523745</v>
      </c>
      <c r="AG198" s="271">
        <f>SUM('Output - Jobs vs Yr (BAU)'!AG40:AG43)</f>
        <v>1408.9287441114923</v>
      </c>
      <c r="AH198" s="184">
        <f>SUM('Output - Jobs vs Yr (BAU)'!AH40:AH43)</f>
        <v>1408.9290120047228</v>
      </c>
    </row>
    <row r="199" spans="1:34">
      <c r="A199" t="s">
        <v>391</v>
      </c>
      <c r="C199" s="330">
        <f>SUM('Output - Jobs vs Yr (BAU)'!C58:C61)</f>
        <v>1337.7406500000002</v>
      </c>
      <c r="D199" s="330">
        <f>SUM('Output - Jobs vs Yr (BAU)'!D58:D61)</f>
        <v>1574.1886500000001</v>
      </c>
      <c r="E199" s="330">
        <f>SUM('Output - Jobs vs Yr (BAU)'!E58:E61)</f>
        <v>1365.364944795484</v>
      </c>
      <c r="F199" s="330">
        <f>SUM('Output - Jobs vs Yr (BAU)'!F58:F61)</f>
        <v>1393.9715535291748</v>
      </c>
      <c r="G199" s="330">
        <f>SUM('Output - Jobs vs Yr (BAU)'!G58:G61)</f>
        <v>1349.8333672418307</v>
      </c>
      <c r="H199" s="286">
        <f>SUM('Output - Jobs vs Yr (BAU)'!H58:H61)</f>
        <v>1357.8592545569934</v>
      </c>
      <c r="I199" s="118">
        <f>SUM('Output - Jobs vs Yr (BAU)'!I58:I61)</f>
        <v>1229.8852482103509</v>
      </c>
      <c r="J199" s="118">
        <f>SUM('Output - Jobs vs Yr (BAU)'!J58:J61)</f>
        <v>1244.934428616579</v>
      </c>
      <c r="K199" s="118">
        <f>SUM('Output - Jobs vs Yr (BAU)'!K58:K61)</f>
        <v>1249.3754466246801</v>
      </c>
      <c r="L199" s="118">
        <f>SUM('Output - Jobs vs Yr (BAU)'!L58:L61)</f>
        <v>1251.9490873313061</v>
      </c>
      <c r="M199" s="118">
        <f>SUM('Output - Jobs vs Yr (BAU)'!M58:M61)</f>
        <v>1254.5238248826445</v>
      </c>
      <c r="N199" s="177">
        <f>SUM('Output - Jobs vs Yr (BAU)'!N58:N61)</f>
        <v>1255.260207623902</v>
      </c>
      <c r="O199" s="118">
        <f>SUM('Output - Jobs vs Yr (BAU)'!O58:O61)</f>
        <v>1255.2602749806961</v>
      </c>
      <c r="P199" s="118">
        <f>SUM('Output - Jobs vs Yr (BAU)'!P58:P61)</f>
        <v>1255.2603232014776</v>
      </c>
      <c r="Q199" s="118">
        <f>SUM('Output - Jobs vs Yr (BAU)'!Q58:Q61)</f>
        <v>1264.3671844215914</v>
      </c>
      <c r="R199" s="118">
        <f>SUM('Output - Jobs vs Yr (BAU)'!R58:R61)</f>
        <v>1264.3671603112007</v>
      </c>
      <c r="S199" s="118">
        <f>SUM('Output - Jobs vs Yr (BAU)'!S58:S61)</f>
        <v>1264.3673773047176</v>
      </c>
      <c r="T199" s="118">
        <f>SUM('Output - Jobs vs Yr (BAU)'!T58:T61)</f>
        <v>1264.3677871813604</v>
      </c>
      <c r="U199" s="118">
        <f>SUM('Output - Jobs vs Yr (BAU)'!U58:U61)</f>
        <v>1265.7154083880953</v>
      </c>
      <c r="V199" s="118">
        <f>SUM('Output - Jobs vs Yr (BAU)'!V58:V61)</f>
        <v>1267.0605320629477</v>
      </c>
      <c r="W199" s="118">
        <f>SUM('Output - Jobs vs Yr (BAU)'!W58:W61)</f>
        <v>1267.0607490564646</v>
      </c>
      <c r="X199" s="184">
        <f>SUM('Output - Jobs vs Yr (BAU)'!X58:X61)</f>
        <v>1267.0607249460738</v>
      </c>
      <c r="Y199" s="271">
        <f>SUM('Output - Jobs vs Yr (BAU)'!Y58:Y61)</f>
        <v>1267.0607490564646</v>
      </c>
      <c r="Z199" s="271">
        <f>SUM('Output - Jobs vs Yr (BAU)'!Z58:Z61)</f>
        <v>1267.0607972772461</v>
      </c>
      <c r="AA199" s="271">
        <f>SUM('Output - Jobs vs Yr (BAU)'!AA58:AA61)</f>
        <v>1267.0605079525569</v>
      </c>
      <c r="AB199" s="271">
        <f>SUM('Output - Jobs vs Yr (BAU)'!AB58:AB61)</f>
        <v>1267.0605079525569</v>
      </c>
      <c r="AC199" s="271">
        <f>SUM('Output - Jobs vs Yr (BAU)'!AC58:AC61)</f>
        <v>1267.0605079525569</v>
      </c>
      <c r="AD199" s="271">
        <f>SUM('Output - Jobs vs Yr (BAU)'!AD58:AD61)</f>
        <v>1268.035869700343</v>
      </c>
      <c r="AE199" s="271">
        <f>SUM('Output - Jobs vs Yr (BAU)'!AE58:AE61)</f>
        <v>1268.0359370571371</v>
      </c>
      <c r="AF199" s="271">
        <f>SUM('Output - Jobs vs Yr (BAU)'!AF58:AF61)</f>
        <v>1268.0359370571371</v>
      </c>
      <c r="AG199" s="271">
        <f>SUM('Output - Jobs vs Yr (BAU)'!AG58:AG61)</f>
        <v>1268.035869700343</v>
      </c>
      <c r="AH199" s="184">
        <f>SUM('Output - Jobs vs Yr (BAU)'!AH58:AH61)</f>
        <v>1268.0361108042507</v>
      </c>
    </row>
    <row r="200" spans="1:34">
      <c r="A200" t="s">
        <v>393</v>
      </c>
      <c r="C200" s="331">
        <f>SUM(C201:C202)</f>
        <v>1719.652</v>
      </c>
      <c r="D200" s="331">
        <f t="shared" ref="D200:AH200" si="114">SUM(D201:D202)</f>
        <v>1765.6320000000001</v>
      </c>
      <c r="E200" s="331">
        <f t="shared" si="114"/>
        <v>1673.616132780488</v>
      </c>
      <c r="F200" s="331">
        <f t="shared" si="114"/>
        <v>1515.6187005069482</v>
      </c>
      <c r="G200" s="331">
        <f t="shared" si="114"/>
        <v>1491.7033155522654</v>
      </c>
      <c r="H200" s="402">
        <f t="shared" si="114"/>
        <v>1542.9550082122232</v>
      </c>
      <c r="I200" s="14">
        <f t="shared" si="114"/>
        <v>1575.4450289395363</v>
      </c>
      <c r="J200" s="14">
        <f t="shared" si="114"/>
        <v>1474.7909463736876</v>
      </c>
      <c r="K200" s="14">
        <f t="shared" si="114"/>
        <v>1574.6424071954943</v>
      </c>
      <c r="L200" s="14">
        <f t="shared" si="114"/>
        <v>1655.4237347381977</v>
      </c>
      <c r="M200" s="14">
        <f t="shared" si="114"/>
        <v>1678.7654086366329</v>
      </c>
      <c r="N200" s="187">
        <f t="shared" si="114"/>
        <v>1653.6878121768229</v>
      </c>
      <c r="O200" s="14">
        <f t="shared" si="114"/>
        <v>1639.282282520237</v>
      </c>
      <c r="P200" s="14">
        <f t="shared" si="114"/>
        <v>1600.8646561313642</v>
      </c>
      <c r="Q200" s="14">
        <f t="shared" si="114"/>
        <v>1572.1614818038411</v>
      </c>
      <c r="R200" s="14">
        <f t="shared" si="114"/>
        <v>1561.0885876073628</v>
      </c>
      <c r="S200" s="15">
        <f t="shared" si="114"/>
        <v>1557.1416179466846</v>
      </c>
      <c r="T200" s="14">
        <f t="shared" si="114"/>
        <v>1515.8187601178929</v>
      </c>
      <c r="U200" s="14">
        <f t="shared" si="114"/>
        <v>1567.6707851377751</v>
      </c>
      <c r="V200" s="14">
        <f t="shared" si="114"/>
        <v>1597.9080144034729</v>
      </c>
      <c r="W200" s="14">
        <f t="shared" si="114"/>
        <v>1558.2857754854324</v>
      </c>
      <c r="X200" s="187">
        <f t="shared" si="114"/>
        <v>1580.2382085081827</v>
      </c>
      <c r="Y200" s="158">
        <f t="shared" si="114"/>
        <v>1596.3500386548444</v>
      </c>
      <c r="Z200" s="158">
        <f t="shared" si="114"/>
        <v>1595.7946900606785</v>
      </c>
      <c r="AA200" s="158">
        <f t="shared" si="114"/>
        <v>1627.7202211025801</v>
      </c>
      <c r="AB200" s="158">
        <f t="shared" si="114"/>
        <v>1638.6606942308424</v>
      </c>
      <c r="AC200" s="158">
        <f t="shared" si="114"/>
        <v>1616.8242088522709</v>
      </c>
      <c r="AD200" s="158">
        <f t="shared" si="114"/>
        <v>1643.8572398829833</v>
      </c>
      <c r="AE200" s="158">
        <f t="shared" si="114"/>
        <v>1629.4799411551328</v>
      </c>
      <c r="AF200" s="158">
        <f t="shared" si="114"/>
        <v>1624.3660270686928</v>
      </c>
      <c r="AG200" s="158">
        <f t="shared" si="114"/>
        <v>1607.3489355898391</v>
      </c>
      <c r="AH200" s="187">
        <f t="shared" si="114"/>
        <v>1564.7385929214481</v>
      </c>
    </row>
    <row r="201" spans="1:34">
      <c r="A201" t="s">
        <v>394</v>
      </c>
      <c r="C201" s="330">
        <f>SUM('Output - Jobs vs Yr (BAU)'!C53:C54)</f>
        <v>905.07999999999993</v>
      </c>
      <c r="D201" s="330">
        <f>SUM('Output - Jobs vs Yr (BAU)'!D53:D54)</f>
        <v>929.28</v>
      </c>
      <c r="E201" s="330">
        <f>SUM('Output - Jobs vs Yr (BAU)'!E53:E54)</f>
        <v>880.85059620025686</v>
      </c>
      <c r="F201" s="330">
        <f>SUM('Output - Jobs vs Yr (BAU)'!F53:F54)</f>
        <v>797.69405289839381</v>
      </c>
      <c r="G201" s="330">
        <f>SUM('Output - Jobs vs Yr (BAU)'!G53:G54)</f>
        <v>785.10700818540283</v>
      </c>
      <c r="H201" s="286">
        <f>SUM('Output - Jobs vs Yr (BAU)'!H53:H54)</f>
        <v>812.08158326959119</v>
      </c>
      <c r="I201" s="118">
        <f>SUM('Output - Jobs vs Yr (BAU)'!I53:I54)</f>
        <v>829.18159417870334</v>
      </c>
      <c r="J201" s="118">
        <f>SUM('Output - Jobs vs Yr (BAU)'!J53:J54)</f>
        <v>776.20576124930926</v>
      </c>
      <c r="K201" s="118">
        <f>SUM('Output - Jobs vs Yr (BAU)'!K53:K54)</f>
        <v>828.75916168183915</v>
      </c>
      <c r="L201" s="118">
        <f>SUM('Output - Jobs vs Yr (BAU)'!L53:L54)</f>
        <v>871.27564986220932</v>
      </c>
      <c r="M201" s="118">
        <f>SUM('Output - Jobs vs Yr (BAU)'!M53:M54)</f>
        <v>883.56074138770157</v>
      </c>
      <c r="N201" s="177">
        <f>SUM('Output - Jobs vs Yr (BAU)'!N53:N54)</f>
        <v>870.3620064088542</v>
      </c>
      <c r="O201" s="118">
        <f>SUM('Output - Jobs vs Yr (BAU)'!O53:O54)</f>
        <v>862.78014869486162</v>
      </c>
      <c r="P201" s="118">
        <f>SUM('Output - Jobs vs Yr (BAU)'!P53:P54)</f>
        <v>842.56034533229695</v>
      </c>
      <c r="Q201" s="118">
        <f>SUM('Output - Jobs vs Yr (BAU)'!Q53:Q54)</f>
        <v>827.45341147570582</v>
      </c>
      <c r="R201" s="118">
        <f>SUM('Output - Jobs vs Yr (BAU)'!R53:R54)</f>
        <v>821.62557242492778</v>
      </c>
      <c r="S201" s="118">
        <f>SUM('Output - Jobs vs Yr (BAU)'!S53:S54)</f>
        <v>819.54821997193926</v>
      </c>
      <c r="T201" s="118">
        <f>SUM('Output - Jobs vs Yr (BAU)'!T53:T54)</f>
        <v>797.79934743046999</v>
      </c>
      <c r="U201" s="118">
        <f>SUM('Output - Jobs vs Yr (BAU)'!U53:U54)</f>
        <v>825.08988691461855</v>
      </c>
      <c r="V201" s="118">
        <f>SUM('Output - Jobs vs Yr (BAU)'!V53:V54)</f>
        <v>841.00421810709099</v>
      </c>
      <c r="W201" s="118">
        <f>SUM('Output - Jobs vs Yr (BAU)'!W53:W54)</f>
        <v>820.15040815022758</v>
      </c>
      <c r="X201" s="184">
        <f>SUM('Output - Jobs vs Yr (BAU)'!X53:X54)</f>
        <v>831.7043202674646</v>
      </c>
      <c r="Y201" s="271">
        <f>SUM('Output - Jobs vs Yr (BAU)'!Y53:Y54)</f>
        <v>840.18423087097085</v>
      </c>
      <c r="Z201" s="271">
        <f>SUM('Output - Jobs vs Yr (BAU)'!Z53:Z54)</f>
        <v>839.89194213719918</v>
      </c>
      <c r="AA201" s="271">
        <f>SUM('Output - Jobs vs Yr (BAU)'!AA53:AA54)</f>
        <v>856.69485321188426</v>
      </c>
      <c r="AB201" s="271">
        <f>SUM('Output - Jobs vs Yr (BAU)'!AB53:AB54)</f>
        <v>862.45299696360121</v>
      </c>
      <c r="AC201" s="271">
        <f>SUM('Output - Jobs vs Yr (BAU)'!AC53:AC54)</f>
        <v>850.96010992224785</v>
      </c>
      <c r="AD201" s="271">
        <f>SUM('Output - Jobs vs Yr (BAU)'!AD53:AD54)</f>
        <v>865.1880209910438</v>
      </c>
      <c r="AE201" s="271">
        <f>SUM('Output - Jobs vs Yr (BAU)'!AE53:AE54)</f>
        <v>857.62102166059617</v>
      </c>
      <c r="AF201" s="271">
        <f>SUM('Output - Jobs vs Yr (BAU)'!AF53:AF54)</f>
        <v>854.9294879308909</v>
      </c>
      <c r="AG201" s="271">
        <f>SUM('Output - Jobs vs Yr (BAU)'!AG53:AG54)</f>
        <v>845.97312399465216</v>
      </c>
      <c r="AH201" s="184">
        <f>SUM('Output - Jobs vs Yr (BAU)'!AH53:AH54)</f>
        <v>823.54662785339372</v>
      </c>
    </row>
    <row r="202" spans="1:34">
      <c r="A202" t="s">
        <v>395</v>
      </c>
      <c r="C202" s="330">
        <f>SUM('Output - Jobs vs Yr (BAU)'!C71:C72)</f>
        <v>814.57200000000012</v>
      </c>
      <c r="D202" s="330">
        <f>SUM('Output - Jobs vs Yr (BAU)'!D71:D72)</f>
        <v>836.35199999999998</v>
      </c>
      <c r="E202" s="330">
        <f>SUM('Output - Jobs vs Yr (BAU)'!E71:E72)</f>
        <v>792.76553658023113</v>
      </c>
      <c r="F202" s="330">
        <f>SUM('Output - Jobs vs Yr (BAU)'!F71:F72)</f>
        <v>717.92464760855444</v>
      </c>
      <c r="G202" s="330">
        <f>SUM('Output - Jobs vs Yr (BAU)'!G71:G72)</f>
        <v>706.59630736686267</v>
      </c>
      <c r="H202" s="286">
        <f>SUM('Output - Jobs vs Yr (BAU)'!H71:H72)</f>
        <v>730.87342494263203</v>
      </c>
      <c r="I202" s="118">
        <f>SUM('Output - Jobs vs Yr (BAU)'!I71:I72)</f>
        <v>746.26343476083298</v>
      </c>
      <c r="J202" s="118">
        <f>SUM('Output - Jobs vs Yr (BAU)'!J71:J72)</f>
        <v>698.58518512437831</v>
      </c>
      <c r="K202" s="118">
        <f>SUM('Output - Jobs vs Yr (BAU)'!K71:K72)</f>
        <v>745.8832455136552</v>
      </c>
      <c r="L202" s="118">
        <f>SUM('Output - Jobs vs Yr (BAU)'!L71:L72)</f>
        <v>784.14808487598827</v>
      </c>
      <c r="M202" s="118">
        <f>SUM('Output - Jobs vs Yr (BAU)'!M71:M72)</f>
        <v>795.2046672489314</v>
      </c>
      <c r="N202" s="177">
        <f>SUM('Output - Jobs vs Yr (BAU)'!N71:N72)</f>
        <v>783.32580576796875</v>
      </c>
      <c r="O202" s="118">
        <f>SUM('Output - Jobs vs Yr (BAU)'!O71:O72)</f>
        <v>776.50213382537549</v>
      </c>
      <c r="P202" s="118">
        <f>SUM('Output - Jobs vs Yr (BAU)'!P71:P72)</f>
        <v>758.30431079906725</v>
      </c>
      <c r="Q202" s="118">
        <f>SUM('Output - Jobs vs Yr (BAU)'!Q71:Q72)</f>
        <v>744.70807032813525</v>
      </c>
      <c r="R202" s="118">
        <f>SUM('Output - Jobs vs Yr (BAU)'!R71:R72)</f>
        <v>739.46301518243502</v>
      </c>
      <c r="S202" s="118">
        <f>SUM('Output - Jobs vs Yr (BAU)'!S71:S72)</f>
        <v>737.59339797474536</v>
      </c>
      <c r="T202" s="118">
        <f>SUM('Output - Jobs vs Yr (BAU)'!T71:T72)</f>
        <v>718.01941268742291</v>
      </c>
      <c r="U202" s="118">
        <f>SUM('Output - Jobs vs Yr (BAU)'!U71:U72)</f>
        <v>742.58089822315662</v>
      </c>
      <c r="V202" s="118">
        <f>SUM('Output - Jobs vs Yr (BAU)'!V71:V72)</f>
        <v>756.90379629638187</v>
      </c>
      <c r="W202" s="118">
        <f>SUM('Output - Jobs vs Yr (BAU)'!W71:W72)</f>
        <v>738.13536733520482</v>
      </c>
      <c r="X202" s="184">
        <f>SUM('Output - Jobs vs Yr (BAU)'!X71:X72)</f>
        <v>748.53388824071817</v>
      </c>
      <c r="Y202" s="271">
        <f>SUM('Output - Jobs vs Yr (BAU)'!Y71:Y72)</f>
        <v>756.16580778387367</v>
      </c>
      <c r="Z202" s="271">
        <f>SUM('Output - Jobs vs Yr (BAU)'!Z71:Z72)</f>
        <v>755.90274792347918</v>
      </c>
      <c r="AA202" s="271">
        <f>SUM('Output - Jobs vs Yr (BAU)'!AA71:AA72)</f>
        <v>771.02536789069586</v>
      </c>
      <c r="AB202" s="271">
        <f>SUM('Output - Jobs vs Yr (BAU)'!AB71:AB72)</f>
        <v>776.2076972672412</v>
      </c>
      <c r="AC202" s="271">
        <f>SUM('Output - Jobs vs Yr (BAU)'!AC71:AC72)</f>
        <v>765.86409893002303</v>
      </c>
      <c r="AD202" s="271">
        <f>SUM('Output - Jobs vs Yr (BAU)'!AD71:AD72)</f>
        <v>778.66921889193941</v>
      </c>
      <c r="AE202" s="271">
        <f>SUM('Output - Jobs vs Yr (BAU)'!AE71:AE72)</f>
        <v>771.85891949453662</v>
      </c>
      <c r="AF202" s="271">
        <f>SUM('Output - Jobs vs Yr (BAU)'!AF71:AF72)</f>
        <v>769.4365391378019</v>
      </c>
      <c r="AG202" s="271">
        <f>SUM('Output - Jobs vs Yr (BAU)'!AG71:AG72)</f>
        <v>761.37581159518686</v>
      </c>
      <c r="AH202" s="184">
        <f>SUM('Output - Jobs vs Yr (BAU)'!AH71:AH72)</f>
        <v>741.1919650680544</v>
      </c>
    </row>
    <row r="203" spans="1:34">
      <c r="A203" s="1" t="s">
        <v>424</v>
      </c>
      <c r="C203" s="331">
        <f>SUM(C191,C194,C197,C200)</f>
        <v>4999.4532800000006</v>
      </c>
      <c r="D203" s="331">
        <f t="shared" ref="D203:AH203" si="115">SUM(D191,D194,D197,D200)</f>
        <v>5573.9643587999999</v>
      </c>
      <c r="E203" s="331">
        <f t="shared" si="115"/>
        <v>4997.6818184128952</v>
      </c>
      <c r="F203" s="331">
        <f t="shared" si="115"/>
        <v>4937.5562802082586</v>
      </c>
      <c r="G203" s="331">
        <f t="shared" si="115"/>
        <v>4798.9700264169996</v>
      </c>
      <c r="H203" s="402">
        <f t="shared" si="115"/>
        <v>4910.4351054381768</v>
      </c>
      <c r="I203" s="14">
        <f t="shared" si="115"/>
        <v>4763.7556990129206</v>
      </c>
      <c r="J203" s="14">
        <f t="shared" si="115"/>
        <v>4837.0007200284217</v>
      </c>
      <c r="K203" s="14">
        <f t="shared" si="115"/>
        <v>4958.1758182478879</v>
      </c>
      <c r="L203" s="14">
        <f t="shared" si="115"/>
        <v>5054.4473816748905</v>
      </c>
      <c r="M203" s="132">
        <f t="shared" si="115"/>
        <v>5095.918639302924</v>
      </c>
      <c r="N203" s="193">
        <f t="shared" si="115"/>
        <v>5083.6265478906962</v>
      </c>
      <c r="O203" s="14">
        <f t="shared" si="115"/>
        <v>5104.8794066552127</v>
      </c>
      <c r="P203" s="14">
        <f t="shared" si="115"/>
        <v>5067.291884736579</v>
      </c>
      <c r="Q203" s="14">
        <f t="shared" si="115"/>
        <v>5058.1631949430503</v>
      </c>
      <c r="R203" s="14">
        <f t="shared" si="115"/>
        <v>5051.5990818181454</v>
      </c>
      <c r="S203" s="14">
        <f t="shared" si="115"/>
        <v>5049.4531612076735</v>
      </c>
      <c r="T203" s="14">
        <f t="shared" si="115"/>
        <v>5012.467263012888</v>
      </c>
      <c r="U203" s="14">
        <f t="shared" si="115"/>
        <v>5087.4504581901965</v>
      </c>
      <c r="V203" s="14">
        <f t="shared" si="115"/>
        <v>5153.4132405616865</v>
      </c>
      <c r="W203" s="14">
        <f t="shared" si="115"/>
        <v>5109.724884810922</v>
      </c>
      <c r="X203" s="187">
        <f t="shared" si="115"/>
        <v>5133.1344547344634</v>
      </c>
      <c r="Y203" s="158">
        <f t="shared" si="115"/>
        <v>5156.4320194629308</v>
      </c>
      <c r="Z203" s="158">
        <f t="shared" si="115"/>
        <v>5155.2767259037755</v>
      </c>
      <c r="AA203" s="158">
        <f t="shared" si="115"/>
        <v>5195.9259404666791</v>
      </c>
      <c r="AB203" s="158">
        <f t="shared" si="115"/>
        <v>5214.1629069754881</v>
      </c>
      <c r="AC203" s="158">
        <f t="shared" si="115"/>
        <v>5195.4687266201545</v>
      </c>
      <c r="AD203" s="158">
        <f t="shared" si="115"/>
        <v>5241.2697630799466</v>
      </c>
      <c r="AE203" s="158">
        <f t="shared" si="115"/>
        <v>5248.0800074087038</v>
      </c>
      <c r="AF203" s="158">
        <f t="shared" si="115"/>
        <v>5236.2408766074113</v>
      </c>
      <c r="AG203" s="158">
        <f t="shared" si="115"/>
        <v>5224.7333323368075</v>
      </c>
      <c r="AH203" s="187">
        <f t="shared" si="115"/>
        <v>5188.456022077693</v>
      </c>
    </row>
    <row r="204" spans="1:34">
      <c r="A204" s="1" t="s">
        <v>447</v>
      </c>
      <c r="C204" s="331"/>
      <c r="D204" s="331">
        <f>D194+D197</f>
        <v>3808.3323588000003</v>
      </c>
      <c r="E204" s="331">
        <f t="shared" ref="E204:AH204" si="116">E194+E197</f>
        <v>3324.0656856324067</v>
      </c>
      <c r="F204" s="331">
        <f t="shared" si="116"/>
        <v>3421.9375797013099</v>
      </c>
      <c r="G204" s="331">
        <f t="shared" si="116"/>
        <v>3307.2667108647343</v>
      </c>
      <c r="H204" s="402">
        <f t="shared" si="116"/>
        <v>3367.4800972259536</v>
      </c>
      <c r="I204" s="14">
        <f t="shared" si="116"/>
        <v>3188.3106700733842</v>
      </c>
      <c r="J204" s="14">
        <f t="shared" si="116"/>
        <v>3362.2097736547344</v>
      </c>
      <c r="K204" s="14">
        <f t="shared" si="116"/>
        <v>3383.5334110523936</v>
      </c>
      <c r="L204" s="14">
        <f t="shared" si="116"/>
        <v>3399.0236469366928</v>
      </c>
      <c r="M204" s="14">
        <f t="shared" si="116"/>
        <v>3417.1532306662912</v>
      </c>
      <c r="N204" s="187">
        <f t="shared" si="116"/>
        <v>3429.938735713873</v>
      </c>
      <c r="O204" s="14">
        <f t="shared" si="116"/>
        <v>3465.5971241349762</v>
      </c>
      <c r="P204" s="14">
        <f t="shared" si="116"/>
        <v>3466.4272286052146</v>
      </c>
      <c r="Q204" s="14">
        <f t="shared" si="116"/>
        <v>3486.0017131392087</v>
      </c>
      <c r="R204" s="14">
        <f t="shared" si="116"/>
        <v>3490.5104942107823</v>
      </c>
      <c r="S204" s="14">
        <f t="shared" si="116"/>
        <v>3492.3115432609884</v>
      </c>
      <c r="T204" s="14">
        <f t="shared" si="116"/>
        <v>3496.6485028949955</v>
      </c>
      <c r="U204" s="14">
        <f t="shared" si="116"/>
        <v>3519.7796730524215</v>
      </c>
      <c r="V204" s="14">
        <f t="shared" si="116"/>
        <v>3555.5052261582136</v>
      </c>
      <c r="W204" s="14">
        <f t="shared" si="116"/>
        <v>3551.4391093254899</v>
      </c>
      <c r="X204" s="187">
        <f t="shared" si="116"/>
        <v>3552.8962462262812</v>
      </c>
      <c r="Y204" s="158">
        <f t="shared" si="116"/>
        <v>3560.0819808080869</v>
      </c>
      <c r="Z204" s="158">
        <f t="shared" si="116"/>
        <v>3559.482035843097</v>
      </c>
      <c r="AA204" s="158">
        <f t="shared" si="116"/>
        <v>3568.2057193640994</v>
      </c>
      <c r="AB204" s="158">
        <f t="shared" si="116"/>
        <v>3575.5022127446455</v>
      </c>
      <c r="AC204" s="158">
        <f t="shared" si="116"/>
        <v>3578.6445177678834</v>
      </c>
      <c r="AD204" s="158">
        <f t="shared" si="116"/>
        <v>3597.4125231969629</v>
      </c>
      <c r="AE204" s="158">
        <f t="shared" si="116"/>
        <v>3618.6000662535707</v>
      </c>
      <c r="AF204" s="158">
        <f t="shared" si="116"/>
        <v>3611.874849538719</v>
      </c>
      <c r="AG204" s="158">
        <f t="shared" si="116"/>
        <v>3617.3843967469688</v>
      </c>
      <c r="AH204" s="187">
        <f t="shared" si="116"/>
        <v>3623.7174291562451</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485.04520880000001</v>
      </c>
      <c r="E206" s="331">
        <f>D206+E194</f>
        <v>926.67378875305133</v>
      </c>
      <c r="F206" s="331">
        <f>E206+F194</f>
        <v>1405.7825332261032</v>
      </c>
      <c r="G206" s="331">
        <f>F206+G194</f>
        <v>1863.4010243580838</v>
      </c>
      <c r="H206" s="402">
        <f t="shared" ref="H206:X206" si="117">G206+H194</f>
        <v>2364.2893619637184</v>
      </c>
      <c r="I206" s="14">
        <f t="shared" si="117"/>
        <v>2956.1756191485842</v>
      </c>
      <c r="J206" s="14">
        <f t="shared" si="117"/>
        <v>3690.1904879460963</v>
      </c>
      <c r="K206" s="14">
        <f t="shared" si="117"/>
        <v>4436.1535116797204</v>
      </c>
      <c r="L206" s="14">
        <f t="shared" si="117"/>
        <v>5192.1735298058784</v>
      </c>
      <c r="M206" s="14">
        <f t="shared" si="117"/>
        <v>5960.8875746088097</v>
      </c>
      <c r="N206" s="187">
        <f t="shared" si="117"/>
        <v>6740.8325386722227</v>
      </c>
      <c r="O206" s="14">
        <f t="shared" si="117"/>
        <v>7556.4357489590629</v>
      </c>
      <c r="P206" s="14">
        <f t="shared" si="117"/>
        <v>8372.8689619167126</v>
      </c>
      <c r="Q206" s="14">
        <f t="shared" si="117"/>
        <v>9189.6510634992283</v>
      </c>
      <c r="R206" s="14">
        <f t="shared" si="117"/>
        <v>10010.941997053031</v>
      </c>
      <c r="S206" s="14">
        <f t="shared" si="117"/>
        <v>10834.033521559615</v>
      </c>
      <c r="T206" s="14">
        <f t="shared" si="117"/>
        <v>11661.461140405072</v>
      </c>
      <c r="U206" s="14">
        <f t="shared" si="117"/>
        <v>12509.174951304847</v>
      </c>
      <c r="V206" s="14">
        <f t="shared" si="117"/>
        <v>13389.774609774615</v>
      </c>
      <c r="W206" s="14">
        <f t="shared" si="117"/>
        <v>14266.307693314235</v>
      </c>
      <c r="X206" s="187">
        <f t="shared" si="117"/>
        <v>15144.297964654361</v>
      </c>
      <c r="Y206" s="158">
        <f t="shared" ref="Y206:AH206" si="118">X206+Y194</f>
        <v>16029.473919676579</v>
      </c>
      <c r="Z206" s="158">
        <f t="shared" si="118"/>
        <v>16914.049827934377</v>
      </c>
      <c r="AA206" s="158">
        <f t="shared" si="118"/>
        <v>17807.350030509744</v>
      </c>
      <c r="AB206" s="158">
        <f t="shared" si="118"/>
        <v>18707.94672646566</v>
      </c>
      <c r="AC206" s="158">
        <f t="shared" si="118"/>
        <v>19611.685727444812</v>
      </c>
      <c r="AD206" s="158">
        <f t="shared" si="118"/>
        <v>20532.133636829938</v>
      </c>
      <c r="AE206" s="158">
        <f t="shared" si="118"/>
        <v>21473.768947073997</v>
      </c>
      <c r="AF206" s="158">
        <f t="shared" si="118"/>
        <v>22408.679040603205</v>
      </c>
      <c r="AG206" s="158">
        <f t="shared" si="118"/>
        <v>23349.098823538337</v>
      </c>
      <c r="AH206" s="187">
        <f t="shared" si="118"/>
        <v>24295.85112988561</v>
      </c>
    </row>
    <row r="207" spans="1:34">
      <c r="A207" s="1" t="s">
        <v>455</v>
      </c>
      <c r="C207" s="331"/>
      <c r="D207" s="331">
        <f>D200</f>
        <v>1765.6320000000001</v>
      </c>
      <c r="E207" s="331">
        <f>D207+E200</f>
        <v>3439.248132780488</v>
      </c>
      <c r="F207" s="331">
        <f>E207+F200</f>
        <v>4954.8668332874367</v>
      </c>
      <c r="G207" s="331">
        <f t="shared" ref="G207:X207" si="119">F207+G200</f>
        <v>6446.5701488397026</v>
      </c>
      <c r="H207" s="402">
        <f t="shared" si="119"/>
        <v>7989.5251570519258</v>
      </c>
      <c r="I207" s="14">
        <f t="shared" si="119"/>
        <v>9564.9701859914621</v>
      </c>
      <c r="J207" s="14">
        <f t="shared" si="119"/>
        <v>11039.761132365149</v>
      </c>
      <c r="K207" s="14">
        <f t="shared" si="119"/>
        <v>12614.403539560644</v>
      </c>
      <c r="L207" s="14">
        <f t="shared" si="119"/>
        <v>14269.827274298841</v>
      </c>
      <c r="M207" s="14">
        <f t="shared" si="119"/>
        <v>15948.592682935474</v>
      </c>
      <c r="N207" s="187">
        <f t="shared" si="119"/>
        <v>17602.280495112296</v>
      </c>
      <c r="O207" s="14">
        <f t="shared" si="119"/>
        <v>19241.562777632535</v>
      </c>
      <c r="P207" s="14">
        <f t="shared" si="119"/>
        <v>20842.4274337639</v>
      </c>
      <c r="Q207" s="14">
        <f t="shared" si="119"/>
        <v>22414.58891556774</v>
      </c>
      <c r="R207" s="14">
        <f t="shared" si="119"/>
        <v>23975.677503175102</v>
      </c>
      <c r="S207" s="14">
        <f t="shared" si="119"/>
        <v>25532.819121121785</v>
      </c>
      <c r="T207" s="14">
        <f t="shared" si="119"/>
        <v>27048.63788123968</v>
      </c>
      <c r="U207" s="14">
        <f t="shared" si="119"/>
        <v>28616.308666377456</v>
      </c>
      <c r="V207" s="14">
        <f t="shared" si="119"/>
        <v>30214.21668078093</v>
      </c>
      <c r="W207" s="14">
        <f t="shared" si="119"/>
        <v>31772.502456266364</v>
      </c>
      <c r="X207" s="187">
        <f t="shared" si="119"/>
        <v>33352.740664774545</v>
      </c>
      <c r="Y207" s="158">
        <f t="shared" ref="Y207:AH207" si="120">X207+Y200</f>
        <v>34949.090703429392</v>
      </c>
      <c r="Z207" s="158">
        <f t="shared" si="120"/>
        <v>36544.885393490069</v>
      </c>
      <c r="AA207" s="158">
        <f t="shared" si="120"/>
        <v>38172.605614592649</v>
      </c>
      <c r="AB207" s="158">
        <f t="shared" si="120"/>
        <v>39811.266308823491</v>
      </c>
      <c r="AC207" s="158">
        <f t="shared" si="120"/>
        <v>41428.090517675759</v>
      </c>
      <c r="AD207" s="158">
        <f t="shared" si="120"/>
        <v>43071.947757558744</v>
      </c>
      <c r="AE207" s="158">
        <f t="shared" si="120"/>
        <v>44701.42769871388</v>
      </c>
      <c r="AF207" s="158">
        <f t="shared" si="120"/>
        <v>46325.793725782576</v>
      </c>
      <c r="AG207" s="158">
        <f t="shared" si="120"/>
        <v>47933.142661372418</v>
      </c>
      <c r="AH207" s="187">
        <f t="shared" si="120"/>
        <v>49497.881254293869</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455.68185999999997</v>
      </c>
      <c r="D213" s="341">
        <f t="shared" ref="D213:AH213" si="124">SUM(D214:D215)</f>
        <v>572.85482708358177</v>
      </c>
      <c r="E213" s="341">
        <f t="shared" si="124"/>
        <v>617.06556085871182</v>
      </c>
      <c r="F213" s="341">
        <f t="shared" si="124"/>
        <v>698.55902358221692</v>
      </c>
      <c r="G213" s="341">
        <f t="shared" si="124"/>
        <v>776.70970131485274</v>
      </c>
      <c r="H213" s="405">
        <f t="shared" si="124"/>
        <v>500.88806760563477</v>
      </c>
      <c r="I213" s="15">
        <f t="shared" si="124"/>
        <v>606.67379818827158</v>
      </c>
      <c r="J213" s="15">
        <f t="shared" si="124"/>
        <v>747.23719677292161</v>
      </c>
      <c r="K213" s="15">
        <f t="shared" si="124"/>
        <v>773.33071903037171</v>
      </c>
      <c r="L213" s="15">
        <f t="shared" si="124"/>
        <v>844.48963211208206</v>
      </c>
      <c r="M213" s="15">
        <f t="shared" si="124"/>
        <v>923.35585271892239</v>
      </c>
      <c r="N213" s="190">
        <f t="shared" si="124"/>
        <v>1042.8288896212307</v>
      </c>
      <c r="O213" s="15">
        <f t="shared" si="124"/>
        <v>1051.7711015351369</v>
      </c>
      <c r="P213" s="15">
        <f t="shared" si="124"/>
        <v>1051.4276306872634</v>
      </c>
      <c r="Q213" s="15">
        <f t="shared" si="124"/>
        <v>1056.3396613942602</v>
      </c>
      <c r="R213" s="15">
        <f t="shared" si="124"/>
        <v>1063.0369192360934</v>
      </c>
      <c r="S213" s="15">
        <f t="shared" si="124"/>
        <v>1071.279354797904</v>
      </c>
      <c r="T213" s="15">
        <f t="shared" si="124"/>
        <v>1071.0433548411343</v>
      </c>
      <c r="U213" s="15">
        <f t="shared" si="124"/>
        <v>1095.6394208323113</v>
      </c>
      <c r="V213" s="15">
        <f t="shared" si="124"/>
        <v>1117.3999665314891</v>
      </c>
      <c r="W213" s="15">
        <f t="shared" si="124"/>
        <v>1117.4643541503215</v>
      </c>
      <c r="X213" s="190">
        <f t="shared" si="124"/>
        <v>1132.9426340381001</v>
      </c>
      <c r="Y213" s="130">
        <f t="shared" si="124"/>
        <v>1154.9287121268744</v>
      </c>
      <c r="Z213" s="130">
        <f t="shared" si="124"/>
        <v>1172.0323083345986</v>
      </c>
      <c r="AA213" s="130">
        <f t="shared" si="124"/>
        <v>1199.6469072920524</v>
      </c>
      <c r="AB213" s="130">
        <f t="shared" si="124"/>
        <v>1222.2934015195426</v>
      </c>
      <c r="AC213" s="130">
        <f t="shared" si="124"/>
        <v>1235.4936886852681</v>
      </c>
      <c r="AD213" s="130">
        <f t="shared" si="124"/>
        <v>1266.8487185824506</v>
      </c>
      <c r="AE213" s="130">
        <f t="shared" si="124"/>
        <v>1286.8756276532627</v>
      </c>
      <c r="AF213" s="130">
        <f t="shared" si="124"/>
        <v>1304.2235479449205</v>
      </c>
      <c r="AG213" s="130">
        <f t="shared" si="124"/>
        <v>1320.3134381348755</v>
      </c>
      <c r="AH213" s="190">
        <f t="shared" si="124"/>
        <v>1329.7148362269727</v>
      </c>
    </row>
    <row r="214" spans="1:34">
      <c r="A214" t="s">
        <v>397</v>
      </c>
      <c r="C214" s="331">
        <f>C115</f>
        <v>239.83269999999999</v>
      </c>
      <c r="D214" s="331">
        <f t="shared" ref="D214:AH214" si="125">D115</f>
        <v>301.50270367109169</v>
      </c>
      <c r="E214" s="331">
        <f t="shared" si="125"/>
        <v>324.77150880130074</v>
      </c>
      <c r="F214" s="331">
        <f t="shared" si="125"/>
        <v>367.66280927971957</v>
      </c>
      <c r="G214" s="331">
        <f t="shared" si="125"/>
        <v>408.79474851310505</v>
      </c>
      <c r="H214" s="402">
        <f t="shared" si="125"/>
        <v>263.6254408450709</v>
      </c>
      <c r="I214" s="14">
        <f t="shared" si="125"/>
        <v>319.30214432271453</v>
      </c>
      <c r="J214" s="14">
        <f t="shared" si="125"/>
        <v>393.28288823411179</v>
      </c>
      <c r="K214" s="14">
        <f t="shared" si="125"/>
        <v>407.01633159796654</v>
      </c>
      <c r="L214" s="14">
        <f t="shared" si="125"/>
        <v>444.46840158009667</v>
      </c>
      <c r="M214" s="14">
        <f t="shared" si="125"/>
        <v>485.97694755035366</v>
      </c>
      <c r="N214" s="182">
        <f t="shared" si="125"/>
        <v>548.85750032950466</v>
      </c>
      <c r="O214" s="14">
        <f t="shared" si="125"/>
        <v>553.56392928187654</v>
      </c>
      <c r="P214" s="14">
        <f t="shared" si="125"/>
        <v>553.3831550888367</v>
      </c>
      <c r="Q214" s="14">
        <f t="shared" si="125"/>
        <v>555.96843530327658</v>
      </c>
      <c r="R214" s="14">
        <f t="shared" si="125"/>
        <v>559.49330907184458</v>
      </c>
      <c r="S214" s="14">
        <f t="shared" si="125"/>
        <v>563.83143455350967</v>
      </c>
      <c r="T214" s="14">
        <f t="shared" si="125"/>
        <v>563.70722400694763</v>
      </c>
      <c r="U214" s="14">
        <f t="shared" si="125"/>
        <v>576.6525263784232</v>
      </c>
      <c r="V214" s="14">
        <f t="shared" si="125"/>
        <v>588.10544913221713</v>
      </c>
      <c r="W214" s="14">
        <f t="shared" si="125"/>
        <v>588.13933736438673</v>
      </c>
      <c r="X214" s="187">
        <f t="shared" si="125"/>
        <v>596.28580328334692</v>
      </c>
      <c r="Y214" s="158">
        <f t="shared" si="125"/>
        <v>607.85742733591508</v>
      </c>
      <c r="Z214" s="158">
        <f t="shared" si="125"/>
        <v>616.85932319308336</v>
      </c>
      <c r="AA214" s="158">
        <f t="shared" si="125"/>
        <v>631.39332767573137</v>
      </c>
      <c r="AB214" s="158">
        <f t="shared" si="125"/>
        <v>643.31253929005629</v>
      </c>
      <c r="AC214" s="158">
        <f t="shared" si="125"/>
        <v>650.26006125604545</v>
      </c>
      <c r="AD214" s="158">
        <f t="shared" si="125"/>
        <v>666.76271428321195</v>
      </c>
      <c r="AE214" s="158">
        <f t="shared" si="125"/>
        <v>677.30319639042011</v>
      </c>
      <c r="AF214" s="158">
        <f t="shared" si="125"/>
        <v>686.43368391522677</v>
      </c>
      <c r="AG214" s="158">
        <f t="shared" si="125"/>
        <v>694.90205010466218</v>
      </c>
      <c r="AH214" s="187">
        <f t="shared" si="125"/>
        <v>699.8501560765875</v>
      </c>
    </row>
    <row r="215" spans="1:34">
      <c r="A215" t="s">
        <v>398</v>
      </c>
      <c r="C215" s="331">
        <f>C142</f>
        <v>215.84915999999998</v>
      </c>
      <c r="D215" s="331">
        <f t="shared" ref="D215:AH215" si="126">D142</f>
        <v>271.35212341249007</v>
      </c>
      <c r="E215" s="331">
        <f t="shared" si="126"/>
        <v>292.29405205741108</v>
      </c>
      <c r="F215" s="331">
        <f t="shared" si="126"/>
        <v>330.8962143024973</v>
      </c>
      <c r="G215" s="331">
        <f t="shared" si="126"/>
        <v>367.91495280174763</v>
      </c>
      <c r="H215" s="402">
        <f t="shared" si="126"/>
        <v>237.26262676056385</v>
      </c>
      <c r="I215" s="14">
        <f t="shared" si="126"/>
        <v>287.37165386555705</v>
      </c>
      <c r="J215" s="14">
        <f t="shared" si="126"/>
        <v>353.95430853880981</v>
      </c>
      <c r="K215" s="14">
        <f t="shared" si="126"/>
        <v>366.31438743240523</v>
      </c>
      <c r="L215" s="14">
        <f t="shared" si="126"/>
        <v>400.02123053198534</v>
      </c>
      <c r="M215" s="14">
        <f t="shared" si="126"/>
        <v>437.37890516856874</v>
      </c>
      <c r="N215" s="182">
        <f t="shared" si="126"/>
        <v>493.9713892917261</v>
      </c>
      <c r="O215" s="14">
        <f t="shared" si="126"/>
        <v>498.2071722532603</v>
      </c>
      <c r="P215" s="14">
        <f t="shared" si="126"/>
        <v>498.04447559842663</v>
      </c>
      <c r="Q215" s="14">
        <f t="shared" si="126"/>
        <v>500.37122609098361</v>
      </c>
      <c r="R215" s="14">
        <f t="shared" si="126"/>
        <v>503.54361016424883</v>
      </c>
      <c r="S215" s="14">
        <f t="shared" si="126"/>
        <v>507.44792024439437</v>
      </c>
      <c r="T215" s="14">
        <f t="shared" si="126"/>
        <v>507.33613083418658</v>
      </c>
      <c r="U215" s="14">
        <f t="shared" si="126"/>
        <v>518.986894453888</v>
      </c>
      <c r="V215" s="14">
        <f t="shared" si="126"/>
        <v>529.29451739927197</v>
      </c>
      <c r="W215" s="14">
        <f t="shared" si="126"/>
        <v>529.32501678593485</v>
      </c>
      <c r="X215" s="187">
        <f t="shared" si="126"/>
        <v>536.65683075475306</v>
      </c>
      <c r="Y215" s="158">
        <f t="shared" si="126"/>
        <v>547.07128479095923</v>
      </c>
      <c r="Z215" s="158">
        <f t="shared" si="126"/>
        <v>555.17298514151526</v>
      </c>
      <c r="AA215" s="158">
        <f t="shared" si="126"/>
        <v>568.25357961632108</v>
      </c>
      <c r="AB215" s="158">
        <f t="shared" si="126"/>
        <v>578.98086222948632</v>
      </c>
      <c r="AC215" s="158">
        <f t="shared" si="126"/>
        <v>585.23362742922268</v>
      </c>
      <c r="AD215" s="158">
        <f t="shared" si="126"/>
        <v>600.08600429923854</v>
      </c>
      <c r="AE215" s="158">
        <f t="shared" si="126"/>
        <v>609.57243126284266</v>
      </c>
      <c r="AF215" s="158">
        <f t="shared" si="126"/>
        <v>617.7898640296936</v>
      </c>
      <c r="AG215" s="158">
        <f t="shared" si="126"/>
        <v>625.41138803021329</v>
      </c>
      <c r="AH215" s="187">
        <f t="shared" si="126"/>
        <v>629.86468015038508</v>
      </c>
    </row>
    <row r="216" spans="1:34">
      <c r="A216" t="s">
        <v>399</v>
      </c>
      <c r="C216" s="331">
        <f>SUM(C217:C218)</f>
        <v>2824.1191500000004</v>
      </c>
      <c r="D216" s="331">
        <f t="shared" ref="D216:AH216" si="127">SUM(D217:D218)</f>
        <v>3075.1641668158682</v>
      </c>
      <c r="E216" s="331">
        <f t="shared" si="127"/>
        <v>2879.213964238947</v>
      </c>
      <c r="F216" s="331">
        <f t="shared" si="127"/>
        <v>2803.9976732268956</v>
      </c>
      <c r="G216" s="331">
        <f t="shared" si="127"/>
        <v>2716.9084470939574</v>
      </c>
      <c r="H216" s="402">
        <f t="shared" si="127"/>
        <v>2866.591759620319</v>
      </c>
      <c r="I216" s="14">
        <f t="shared" si="127"/>
        <v>2758.3643744482251</v>
      </c>
      <c r="J216" s="14">
        <f t="shared" si="127"/>
        <v>2734.9525772607203</v>
      </c>
      <c r="K216" s="14">
        <f t="shared" si="127"/>
        <v>2750.4157629009669</v>
      </c>
      <c r="L216" s="14">
        <f t="shared" si="127"/>
        <v>2751.2260128838907</v>
      </c>
      <c r="M216" s="14">
        <f t="shared" si="127"/>
        <v>2716.3898434791581</v>
      </c>
      <c r="N216" s="190">
        <f t="shared" si="127"/>
        <v>2649.9937716504601</v>
      </c>
      <c r="O216" s="14">
        <f t="shared" si="127"/>
        <v>2653.000716162981</v>
      </c>
      <c r="P216" s="14">
        <f t="shared" si="127"/>
        <v>2632.5685992446124</v>
      </c>
      <c r="Q216" s="14">
        <f t="shared" si="127"/>
        <v>2625.3542870686538</v>
      </c>
      <c r="R216" s="14">
        <f t="shared" si="127"/>
        <v>2622.5063389462584</v>
      </c>
      <c r="S216" s="15">
        <f t="shared" si="127"/>
        <v>2623.3403820612639</v>
      </c>
      <c r="T216" s="14">
        <f t="shared" si="127"/>
        <v>2603.4096777834602</v>
      </c>
      <c r="U216" s="14">
        <f t="shared" si="127"/>
        <v>2643.5438161145225</v>
      </c>
      <c r="V216" s="14">
        <f t="shared" si="127"/>
        <v>2676.1519080820262</v>
      </c>
      <c r="W216" s="14">
        <f t="shared" si="127"/>
        <v>2656.5553927797464</v>
      </c>
      <c r="X216" s="187">
        <f t="shared" si="127"/>
        <v>2673.4745388673409</v>
      </c>
      <c r="Y216" s="158">
        <f t="shared" si="127"/>
        <v>2682.2851794860358</v>
      </c>
      <c r="Z216" s="158">
        <f t="shared" si="127"/>
        <v>2678.9823550706733</v>
      </c>
      <c r="AA216" s="158">
        <f t="shared" si="127"/>
        <v>2698.7525189152102</v>
      </c>
      <c r="AB216" s="158">
        <f t="shared" si="127"/>
        <v>2706.2212041713547</v>
      </c>
      <c r="AC216" s="158">
        <f t="shared" si="127"/>
        <v>2692.1881420699292</v>
      </c>
      <c r="AD216" s="158">
        <f t="shared" si="127"/>
        <v>2716.8491550987446</v>
      </c>
      <c r="AE216" s="158">
        <f t="shared" si="127"/>
        <v>2716.1395475843838</v>
      </c>
      <c r="AF216" s="158">
        <f t="shared" si="127"/>
        <v>2709.2002669599224</v>
      </c>
      <c r="AG216" s="158">
        <f t="shared" si="127"/>
        <v>2699.2214556006902</v>
      </c>
      <c r="AH216" s="187">
        <f t="shared" si="127"/>
        <v>2675.4153697357865</v>
      </c>
    </row>
    <row r="217" spans="1:34">
      <c r="A217" t="s">
        <v>400</v>
      </c>
      <c r="C217" s="331">
        <f>C114</f>
        <v>1486.3785</v>
      </c>
      <c r="D217" s="331">
        <f t="shared" ref="D217:AH217" si="128">D114</f>
        <v>1618.5074562188779</v>
      </c>
      <c r="E217" s="331">
        <f t="shared" si="128"/>
        <v>1515.3757706520773</v>
      </c>
      <c r="F217" s="331">
        <f t="shared" si="128"/>
        <v>1475.7882490667871</v>
      </c>
      <c r="G217" s="331">
        <f t="shared" si="128"/>
        <v>1429.9518142599775</v>
      </c>
      <c r="H217" s="402">
        <f t="shared" si="128"/>
        <v>1508.7325050633258</v>
      </c>
      <c r="I217" s="14">
        <f t="shared" si="128"/>
        <v>1451.7707233938027</v>
      </c>
      <c r="J217" s="14">
        <f t="shared" si="128"/>
        <v>1439.4487248740631</v>
      </c>
      <c r="K217" s="14">
        <f t="shared" si="128"/>
        <v>1447.5872436320878</v>
      </c>
      <c r="L217" s="14">
        <f t="shared" si="128"/>
        <v>1448.0136909915213</v>
      </c>
      <c r="M217" s="14">
        <f t="shared" si="128"/>
        <v>1429.6788649890307</v>
      </c>
      <c r="N217" s="187">
        <f t="shared" si="128"/>
        <v>1394.7335640265578</v>
      </c>
      <c r="O217" s="14">
        <f t="shared" si="128"/>
        <v>1396.316166401569</v>
      </c>
      <c r="P217" s="14">
        <f t="shared" si="128"/>
        <v>1385.5624206550592</v>
      </c>
      <c r="Q217" s="14">
        <f t="shared" si="128"/>
        <v>1381.7654142466599</v>
      </c>
      <c r="R217" s="14">
        <f t="shared" si="128"/>
        <v>1380.2664941822411</v>
      </c>
      <c r="S217" s="14">
        <f t="shared" si="128"/>
        <v>1380.7054642427704</v>
      </c>
      <c r="T217" s="14">
        <f t="shared" si="128"/>
        <v>1370.2156198860316</v>
      </c>
      <c r="U217" s="14">
        <f t="shared" si="128"/>
        <v>1391.3388505865908</v>
      </c>
      <c r="V217" s="14">
        <f t="shared" si="128"/>
        <v>1408.5010042536981</v>
      </c>
      <c r="W217" s="14">
        <f t="shared" si="128"/>
        <v>1398.1870488314453</v>
      </c>
      <c r="X217" s="187">
        <f t="shared" si="128"/>
        <v>1407.0918625617583</v>
      </c>
      <c r="Y217" s="158">
        <f t="shared" si="128"/>
        <v>1411.7290418347557</v>
      </c>
      <c r="Z217" s="158">
        <f t="shared" si="128"/>
        <v>1409.9907131950911</v>
      </c>
      <c r="AA217" s="158">
        <f t="shared" si="128"/>
        <v>1420.3960625869527</v>
      </c>
      <c r="AB217" s="158">
        <f t="shared" si="128"/>
        <v>1424.3269495638708</v>
      </c>
      <c r="AC217" s="158">
        <f t="shared" si="128"/>
        <v>1416.9411274052259</v>
      </c>
      <c r="AD217" s="158">
        <f t="shared" si="128"/>
        <v>1429.9206079467078</v>
      </c>
      <c r="AE217" s="158">
        <f t="shared" si="128"/>
        <v>1429.5471303075703</v>
      </c>
      <c r="AF217" s="158">
        <f t="shared" si="128"/>
        <v>1425.8948773473276</v>
      </c>
      <c r="AG217" s="158">
        <f t="shared" si="128"/>
        <v>1420.6428713687842</v>
      </c>
      <c r="AH217" s="187">
        <f t="shared" si="128"/>
        <v>1408.1133524925192</v>
      </c>
    </row>
    <row r="218" spans="1:34">
      <c r="A218" t="s">
        <v>401</v>
      </c>
      <c r="C218" s="331">
        <f>C141</f>
        <v>1337.7406500000002</v>
      </c>
      <c r="D218" s="331">
        <f t="shared" ref="D218:AH218" si="129">D141</f>
        <v>1456.65671059699</v>
      </c>
      <c r="E218" s="331">
        <f t="shared" si="129"/>
        <v>1363.8381935868697</v>
      </c>
      <c r="F218" s="331">
        <f t="shared" si="129"/>
        <v>1328.2094241601085</v>
      </c>
      <c r="G218" s="331">
        <f t="shared" si="129"/>
        <v>1286.9566328339799</v>
      </c>
      <c r="H218" s="402">
        <f t="shared" si="129"/>
        <v>1357.8592545569934</v>
      </c>
      <c r="I218" s="14">
        <f t="shared" si="129"/>
        <v>1306.5936510544225</v>
      </c>
      <c r="J218" s="14">
        <f t="shared" si="129"/>
        <v>1295.5038523866569</v>
      </c>
      <c r="K218" s="14">
        <f t="shared" si="129"/>
        <v>1302.8285192688793</v>
      </c>
      <c r="L218" s="14">
        <f t="shared" si="129"/>
        <v>1303.2123218923693</v>
      </c>
      <c r="M218" s="14">
        <f t="shared" si="129"/>
        <v>1286.7109784901274</v>
      </c>
      <c r="N218" s="187">
        <f t="shared" si="129"/>
        <v>1255.260207623902</v>
      </c>
      <c r="O218" s="14">
        <f t="shared" si="129"/>
        <v>1256.6845497614122</v>
      </c>
      <c r="P218" s="14">
        <f t="shared" si="129"/>
        <v>1247.0061785895532</v>
      </c>
      <c r="Q218" s="14">
        <f t="shared" si="129"/>
        <v>1243.5888728219938</v>
      </c>
      <c r="R218" s="14">
        <f t="shared" si="129"/>
        <v>1242.2398447640171</v>
      </c>
      <c r="S218" s="14">
        <f t="shared" si="129"/>
        <v>1242.6349178184932</v>
      </c>
      <c r="T218" s="14">
        <f t="shared" si="129"/>
        <v>1233.1940578974286</v>
      </c>
      <c r="U218" s="14">
        <f t="shared" si="129"/>
        <v>1252.2049655279318</v>
      </c>
      <c r="V218" s="14">
        <f t="shared" si="129"/>
        <v>1267.6509038283282</v>
      </c>
      <c r="W218" s="14">
        <f t="shared" si="129"/>
        <v>1258.3683439483009</v>
      </c>
      <c r="X218" s="187">
        <f t="shared" si="129"/>
        <v>1266.3826763055824</v>
      </c>
      <c r="Y218" s="158">
        <f t="shared" si="129"/>
        <v>1270.5561376512801</v>
      </c>
      <c r="Z218" s="158">
        <f t="shared" si="129"/>
        <v>1268.991641875582</v>
      </c>
      <c r="AA218" s="158">
        <f t="shared" si="129"/>
        <v>1278.3564563282575</v>
      </c>
      <c r="AB218" s="158">
        <f t="shared" si="129"/>
        <v>1281.8942546074838</v>
      </c>
      <c r="AC218" s="158">
        <f t="shared" si="129"/>
        <v>1275.2470146647033</v>
      </c>
      <c r="AD218" s="158">
        <f t="shared" si="129"/>
        <v>1286.928547152037</v>
      </c>
      <c r="AE218" s="158">
        <f t="shared" si="129"/>
        <v>1286.5924172768134</v>
      </c>
      <c r="AF218" s="158">
        <f t="shared" si="129"/>
        <v>1283.3053896125948</v>
      </c>
      <c r="AG218" s="158">
        <f t="shared" si="129"/>
        <v>1278.5785842319058</v>
      </c>
      <c r="AH218" s="187">
        <f t="shared" si="129"/>
        <v>1267.3020172432673</v>
      </c>
    </row>
    <row r="219" spans="1:34" s="1" customFormat="1">
      <c r="A219" s="1" t="s">
        <v>393</v>
      </c>
      <c r="B219" s="13"/>
      <c r="C219" s="341">
        <f>SUM(C220:C221)</f>
        <v>1719.8609999999999</v>
      </c>
      <c r="D219" s="341">
        <f t="shared" ref="D219:AH219" si="130">SUM(D220:D221)</f>
        <v>1914.2459151574344</v>
      </c>
      <c r="E219" s="341">
        <f t="shared" si="130"/>
        <v>1596.5217032668975</v>
      </c>
      <c r="F219" s="341">
        <f t="shared" si="130"/>
        <v>1542.8692224687031</v>
      </c>
      <c r="G219" s="341">
        <f t="shared" si="130"/>
        <v>1493.8177833800362</v>
      </c>
      <c r="H219" s="405">
        <f t="shared" si="130"/>
        <v>1604.5866419868339</v>
      </c>
      <c r="I219" s="15">
        <f t="shared" si="130"/>
        <v>1566.6578951327288</v>
      </c>
      <c r="J219" s="15">
        <f t="shared" si="130"/>
        <v>1550.2892531676257</v>
      </c>
      <c r="K219" s="15">
        <f t="shared" si="130"/>
        <v>1638.3218131415338</v>
      </c>
      <c r="L219" s="15">
        <f t="shared" si="130"/>
        <v>1691.8305183415089</v>
      </c>
      <c r="M219" s="15">
        <f t="shared" si="130"/>
        <v>1712.2134519248884</v>
      </c>
      <c r="N219" s="190">
        <f t="shared" si="130"/>
        <v>1678.9523169466115</v>
      </c>
      <c r="O219" s="15">
        <f t="shared" si="130"/>
        <v>1674.3762294780997</v>
      </c>
      <c r="P219" s="15">
        <f t="shared" si="130"/>
        <v>1653.1866143475681</v>
      </c>
      <c r="Q219" s="15">
        <f t="shared" si="130"/>
        <v>1641.190171445578</v>
      </c>
      <c r="R219" s="15">
        <f t="shared" si="130"/>
        <v>1632.4894762858264</v>
      </c>
      <c r="S219" s="15">
        <f t="shared" si="130"/>
        <v>1626.1298130658256</v>
      </c>
      <c r="T219" s="15">
        <f t="shared" si="130"/>
        <v>1605.3163428616526</v>
      </c>
      <c r="U219" s="15">
        <f t="shared" si="130"/>
        <v>1626.1174524922237</v>
      </c>
      <c r="V219" s="15">
        <f t="shared" si="130"/>
        <v>1641.6173463949813</v>
      </c>
      <c r="W219" s="15">
        <f t="shared" si="130"/>
        <v>1620.9013061731227</v>
      </c>
      <c r="X219" s="190">
        <f t="shared" si="130"/>
        <v>1625.3607010012329</v>
      </c>
      <c r="Y219" s="130">
        <f t="shared" si="130"/>
        <v>1629.1036182680334</v>
      </c>
      <c r="Z219" s="130">
        <f t="shared" si="130"/>
        <v>1624.4707446996656</v>
      </c>
      <c r="AA219" s="130">
        <f t="shared" si="130"/>
        <v>1635.4578993969153</v>
      </c>
      <c r="AB219" s="130">
        <f t="shared" si="130"/>
        <v>1637.8555233413281</v>
      </c>
      <c r="AC219" s="130">
        <f t="shared" si="130"/>
        <v>1625.469439756798</v>
      </c>
      <c r="AD219" s="130">
        <f t="shared" si="130"/>
        <v>1639.2292916907875</v>
      </c>
      <c r="AE219" s="130">
        <f t="shared" si="130"/>
        <v>1635.6131161549342</v>
      </c>
      <c r="AF219" s="130">
        <f t="shared" si="130"/>
        <v>1627.5783530789799</v>
      </c>
      <c r="AG219" s="130">
        <f t="shared" si="130"/>
        <v>1617.3587395846394</v>
      </c>
      <c r="AH219" s="190">
        <f t="shared" si="130"/>
        <v>1597.6509986390433</v>
      </c>
    </row>
    <row r="220" spans="1:34">
      <c r="A220" t="s">
        <v>402</v>
      </c>
      <c r="C220" s="331">
        <f>SUM(C116:C117)</f>
        <v>905.18999999999983</v>
      </c>
      <c r="D220" s="331">
        <f t="shared" ref="D220:AH220" si="131">SUM(D116:D117)</f>
        <v>1007.4978500828603</v>
      </c>
      <c r="E220" s="331">
        <f t="shared" si="131"/>
        <v>840.27458066678821</v>
      </c>
      <c r="F220" s="331">
        <f t="shared" si="131"/>
        <v>812.0364328782648</v>
      </c>
      <c r="G220" s="331">
        <f t="shared" si="131"/>
        <v>786.2198859894927</v>
      </c>
      <c r="H220" s="402">
        <f t="shared" si="131"/>
        <v>844.51928525622839</v>
      </c>
      <c r="I220" s="14">
        <f t="shared" si="131"/>
        <v>824.5567869119626</v>
      </c>
      <c r="J220" s="14">
        <f t="shared" si="131"/>
        <v>815.94171219348721</v>
      </c>
      <c r="K220" s="14">
        <f t="shared" si="131"/>
        <v>862.27463849554408</v>
      </c>
      <c r="L220" s="14">
        <f t="shared" si="131"/>
        <v>890.4371149165836</v>
      </c>
      <c r="M220" s="14">
        <f t="shared" si="131"/>
        <v>901.16497469730973</v>
      </c>
      <c r="N220" s="187">
        <f t="shared" si="131"/>
        <v>883.65911418242717</v>
      </c>
      <c r="O220" s="14">
        <f t="shared" si="131"/>
        <v>881.25064709373669</v>
      </c>
      <c r="P220" s="14">
        <f t="shared" si="131"/>
        <v>870.09821807766741</v>
      </c>
      <c r="Q220" s="14">
        <f t="shared" si="131"/>
        <v>863.78430076083043</v>
      </c>
      <c r="R220" s="14">
        <f t="shared" si="131"/>
        <v>859.204987518856</v>
      </c>
      <c r="S220" s="14">
        <f t="shared" si="131"/>
        <v>855.85779635043446</v>
      </c>
      <c r="T220" s="14">
        <f t="shared" si="131"/>
        <v>844.90333834823821</v>
      </c>
      <c r="U220" s="14">
        <f t="shared" si="131"/>
        <v>855.85129078538091</v>
      </c>
      <c r="V220" s="14">
        <f t="shared" si="131"/>
        <v>864.00912968156911</v>
      </c>
      <c r="W220" s="14">
        <f t="shared" si="131"/>
        <v>853.105950617433</v>
      </c>
      <c r="X220" s="187">
        <f t="shared" si="131"/>
        <v>855.45300052696462</v>
      </c>
      <c r="Y220" s="158">
        <f t="shared" si="131"/>
        <v>857.42295698317548</v>
      </c>
      <c r="Z220" s="158">
        <f t="shared" si="131"/>
        <v>854.98460247350818</v>
      </c>
      <c r="AA220" s="158">
        <f t="shared" si="131"/>
        <v>860.76731547206066</v>
      </c>
      <c r="AB220" s="158">
        <f t="shared" si="131"/>
        <v>862.02922281122528</v>
      </c>
      <c r="AC220" s="158">
        <f t="shared" si="131"/>
        <v>855.51023145094632</v>
      </c>
      <c r="AD220" s="158">
        <f t="shared" si="131"/>
        <v>862.75225878462493</v>
      </c>
      <c r="AE220" s="158">
        <f t="shared" si="131"/>
        <v>860.84900850259703</v>
      </c>
      <c r="AF220" s="158">
        <f t="shared" si="131"/>
        <v>856.62018583104214</v>
      </c>
      <c r="AG220" s="158">
        <f t="shared" si="131"/>
        <v>851.2414418866523</v>
      </c>
      <c r="AH220" s="187">
        <f t="shared" si="131"/>
        <v>840.86894665212799</v>
      </c>
    </row>
    <row r="221" spans="1:34">
      <c r="A221" t="s">
        <v>403</v>
      </c>
      <c r="C221" s="331">
        <f>SUM(C143:C144)</f>
        <v>814.67099999999994</v>
      </c>
      <c r="D221" s="331">
        <f t="shared" ref="D221:AH221" si="132">SUM(D143:D144)</f>
        <v>906.74806507457424</v>
      </c>
      <c r="E221" s="331">
        <f t="shared" si="132"/>
        <v>756.24712260010938</v>
      </c>
      <c r="F221" s="331">
        <f t="shared" si="132"/>
        <v>730.83278959043832</v>
      </c>
      <c r="G221" s="331">
        <f t="shared" si="132"/>
        <v>707.59789739054349</v>
      </c>
      <c r="H221" s="402">
        <f t="shared" si="132"/>
        <v>760.06735673060552</v>
      </c>
      <c r="I221" s="14">
        <f t="shared" si="132"/>
        <v>742.10110822076626</v>
      </c>
      <c r="J221" s="14">
        <f t="shared" si="132"/>
        <v>734.3475409741385</v>
      </c>
      <c r="K221" s="14">
        <f t="shared" si="132"/>
        <v>776.04717464598968</v>
      </c>
      <c r="L221" s="14">
        <f t="shared" si="132"/>
        <v>801.39340342492528</v>
      </c>
      <c r="M221" s="14">
        <f t="shared" si="132"/>
        <v>811.04847722757881</v>
      </c>
      <c r="N221" s="187">
        <f t="shared" si="132"/>
        <v>795.29320276418446</v>
      </c>
      <c r="O221" s="14">
        <f t="shared" si="132"/>
        <v>793.12558238436304</v>
      </c>
      <c r="P221" s="14">
        <f t="shared" si="132"/>
        <v>783.08839626990073</v>
      </c>
      <c r="Q221" s="14">
        <f t="shared" si="132"/>
        <v>777.40587068474747</v>
      </c>
      <c r="R221" s="14">
        <f t="shared" si="132"/>
        <v>773.28448876697041</v>
      </c>
      <c r="S221" s="14">
        <f t="shared" si="132"/>
        <v>770.27201671539103</v>
      </c>
      <c r="T221" s="14">
        <f t="shared" si="132"/>
        <v>760.41300451341453</v>
      </c>
      <c r="U221" s="14">
        <f t="shared" si="132"/>
        <v>770.26616170684281</v>
      </c>
      <c r="V221" s="14">
        <f t="shared" si="132"/>
        <v>777.60821671341228</v>
      </c>
      <c r="W221" s="14">
        <f t="shared" si="132"/>
        <v>767.79535555568975</v>
      </c>
      <c r="X221" s="187">
        <f t="shared" si="132"/>
        <v>769.90770047426815</v>
      </c>
      <c r="Y221" s="158">
        <f t="shared" si="132"/>
        <v>771.68066128485793</v>
      </c>
      <c r="Z221" s="158">
        <f t="shared" si="132"/>
        <v>769.48614222615743</v>
      </c>
      <c r="AA221" s="158">
        <f t="shared" si="132"/>
        <v>774.69058392485465</v>
      </c>
      <c r="AB221" s="158">
        <f t="shared" si="132"/>
        <v>775.8263005301028</v>
      </c>
      <c r="AC221" s="158">
        <f t="shared" si="132"/>
        <v>769.95920830585169</v>
      </c>
      <c r="AD221" s="158">
        <f t="shared" si="132"/>
        <v>776.47703290616255</v>
      </c>
      <c r="AE221" s="158">
        <f t="shared" si="132"/>
        <v>774.76410765233732</v>
      </c>
      <c r="AF221" s="158">
        <f t="shared" si="132"/>
        <v>770.95816724793781</v>
      </c>
      <c r="AG221" s="158">
        <f t="shared" si="132"/>
        <v>766.11729769798706</v>
      </c>
      <c r="AH221" s="187">
        <f t="shared" si="132"/>
        <v>756.78205198691523</v>
      </c>
    </row>
    <row r="222" spans="1:34">
      <c r="A222" s="1" t="s">
        <v>425</v>
      </c>
      <c r="C222" s="331">
        <f>SUM(C210,C213,C216,C219)</f>
        <v>4999.66201</v>
      </c>
      <c r="D222" s="331">
        <f t="shared" ref="D222:AH222" si="133">SUM(D210,D213,D216,D219)</f>
        <v>5562.2649090568848</v>
      </c>
      <c r="E222" s="331">
        <f t="shared" si="133"/>
        <v>5092.8012283645567</v>
      </c>
      <c r="F222" s="331">
        <f t="shared" si="133"/>
        <v>5045.4259192778154</v>
      </c>
      <c r="G222" s="331">
        <f t="shared" si="133"/>
        <v>4987.4359317888466</v>
      </c>
      <c r="H222" s="402">
        <f t="shared" si="133"/>
        <v>4972.0664692127875</v>
      </c>
      <c r="I222" s="14">
        <f t="shared" si="133"/>
        <v>4931.6960677692259</v>
      </c>
      <c r="J222" s="14">
        <f t="shared" si="133"/>
        <v>5032.4790272012669</v>
      </c>
      <c r="K222" s="14">
        <f t="shared" si="133"/>
        <v>5162.0682950728724</v>
      </c>
      <c r="L222" s="14">
        <f t="shared" si="133"/>
        <v>5287.5461633374816</v>
      </c>
      <c r="M222" s="14">
        <f t="shared" si="133"/>
        <v>5351.9591481229691</v>
      </c>
      <c r="N222" s="187">
        <f t="shared" si="133"/>
        <v>5371.7749782183018</v>
      </c>
      <c r="O222" s="14">
        <f t="shared" si="133"/>
        <v>5379.1480471762179</v>
      </c>
      <c r="P222" s="14">
        <f t="shared" si="133"/>
        <v>5337.182844279444</v>
      </c>
      <c r="Q222" s="14">
        <f t="shared" si="133"/>
        <v>5322.8841199084918</v>
      </c>
      <c r="R222" s="14">
        <f t="shared" si="133"/>
        <v>5318.0327344681782</v>
      </c>
      <c r="S222" s="14">
        <f t="shared" si="133"/>
        <v>5320.7495499249935</v>
      </c>
      <c r="T222" s="14">
        <f t="shared" si="133"/>
        <v>5279.7693754862466</v>
      </c>
      <c r="U222" s="14">
        <f t="shared" si="133"/>
        <v>5365.3006894390574</v>
      </c>
      <c r="V222" s="14">
        <f t="shared" si="133"/>
        <v>5435.1692210084966</v>
      </c>
      <c r="W222" s="14">
        <f t="shared" si="133"/>
        <v>5394.9210531031904</v>
      </c>
      <c r="X222" s="187">
        <f t="shared" si="133"/>
        <v>5431.7778739066744</v>
      </c>
      <c r="Y222" s="158">
        <f t="shared" si="133"/>
        <v>5466.3175098809434</v>
      </c>
      <c r="Z222" s="158">
        <f t="shared" si="133"/>
        <v>5475.4854081049371</v>
      </c>
      <c r="AA222" s="158">
        <f t="shared" si="133"/>
        <v>5533.8573256041782</v>
      </c>
      <c r="AB222" s="158">
        <f t="shared" si="133"/>
        <v>5566.3701290322251</v>
      </c>
      <c r="AC222" s="158">
        <f t="shared" si="133"/>
        <v>5553.1512705119958</v>
      </c>
      <c r="AD222" s="158">
        <f t="shared" si="133"/>
        <v>5622.9271653719825</v>
      </c>
      <c r="AE222" s="158">
        <f t="shared" si="133"/>
        <v>5638.6282913925806</v>
      </c>
      <c r="AF222" s="158">
        <f t="shared" si="133"/>
        <v>5641.0021679838228</v>
      </c>
      <c r="AG222" s="158">
        <f t="shared" si="133"/>
        <v>5636.8936333202055</v>
      </c>
      <c r="AH222" s="187">
        <f t="shared" si="133"/>
        <v>5602.7812046018025</v>
      </c>
    </row>
    <row r="223" spans="1:34" s="1" customFormat="1">
      <c r="A223" s="1" t="s">
        <v>443</v>
      </c>
      <c r="B223" s="13"/>
      <c r="C223" s="328" t="s">
        <v>0</v>
      </c>
      <c r="D223" s="341">
        <f>D210+D213</f>
        <v>572.85482708358177</v>
      </c>
      <c r="E223" s="341">
        <f t="shared" ref="E223:AH223" si="134">E210+E213</f>
        <v>617.06556085871182</v>
      </c>
      <c r="F223" s="341">
        <f t="shared" si="134"/>
        <v>698.55902358221692</v>
      </c>
      <c r="G223" s="341">
        <f t="shared" si="134"/>
        <v>776.70970131485274</v>
      </c>
      <c r="H223" s="405">
        <f>H210+H213</f>
        <v>500.88806760563477</v>
      </c>
      <c r="I223" s="15">
        <f t="shared" si="134"/>
        <v>606.67379818827158</v>
      </c>
      <c r="J223" s="15">
        <f t="shared" si="134"/>
        <v>747.23719677292161</v>
      </c>
      <c r="K223" s="15">
        <f t="shared" si="134"/>
        <v>773.33071903037171</v>
      </c>
      <c r="L223" s="15">
        <f t="shared" si="134"/>
        <v>844.48963211208206</v>
      </c>
      <c r="M223" s="15">
        <f t="shared" si="134"/>
        <v>923.35585271892239</v>
      </c>
      <c r="N223" s="190">
        <f t="shared" si="134"/>
        <v>1042.8288896212307</v>
      </c>
      <c r="O223" s="15">
        <f t="shared" si="134"/>
        <v>1051.7711015351369</v>
      </c>
      <c r="P223" s="15">
        <f t="shared" si="134"/>
        <v>1051.4276306872634</v>
      </c>
      <c r="Q223" s="15">
        <f t="shared" si="134"/>
        <v>1056.3396613942602</v>
      </c>
      <c r="R223" s="15">
        <f t="shared" si="134"/>
        <v>1063.0369192360934</v>
      </c>
      <c r="S223" s="15">
        <f t="shared" si="134"/>
        <v>1071.279354797904</v>
      </c>
      <c r="T223" s="15">
        <f t="shared" si="134"/>
        <v>1071.0433548411343</v>
      </c>
      <c r="U223" s="15">
        <f t="shared" si="134"/>
        <v>1095.6394208323113</v>
      </c>
      <c r="V223" s="15">
        <f t="shared" si="134"/>
        <v>1117.3999665314891</v>
      </c>
      <c r="W223" s="15">
        <f t="shared" si="134"/>
        <v>1117.4643541503215</v>
      </c>
      <c r="X223" s="190">
        <f t="shared" si="134"/>
        <v>1132.9426340381001</v>
      </c>
      <c r="Y223" s="130">
        <f t="shared" si="134"/>
        <v>1154.9287121268744</v>
      </c>
      <c r="Z223" s="130">
        <f t="shared" si="134"/>
        <v>1172.0323083345986</v>
      </c>
      <c r="AA223" s="130">
        <f t="shared" si="134"/>
        <v>1199.6469072920524</v>
      </c>
      <c r="AB223" s="130">
        <f t="shared" si="134"/>
        <v>1222.2934015195426</v>
      </c>
      <c r="AC223" s="130">
        <f t="shared" si="134"/>
        <v>1235.4936886852681</v>
      </c>
      <c r="AD223" s="130">
        <f t="shared" si="134"/>
        <v>1266.8487185824506</v>
      </c>
      <c r="AE223" s="130">
        <f t="shared" si="134"/>
        <v>1286.8756276532627</v>
      </c>
      <c r="AF223" s="130">
        <f t="shared" si="134"/>
        <v>1304.2235479449205</v>
      </c>
      <c r="AG223" s="130">
        <f t="shared" si="134"/>
        <v>1320.3134381348755</v>
      </c>
      <c r="AH223" s="190">
        <f t="shared" si="134"/>
        <v>1329.7148362269727</v>
      </c>
    </row>
    <row r="224" spans="1:34">
      <c r="A224" t="s">
        <v>446</v>
      </c>
      <c r="D224" s="331">
        <f>D210+D213+D216</f>
        <v>3648.0189938994499</v>
      </c>
      <c r="E224" s="331">
        <f t="shared" ref="E224:AH224" si="135">E210+E213+E216</f>
        <v>3496.2795250976587</v>
      </c>
      <c r="F224" s="331">
        <f t="shared" si="135"/>
        <v>3502.5566968091125</v>
      </c>
      <c r="G224" s="331">
        <f t="shared" si="135"/>
        <v>3493.6181484088102</v>
      </c>
      <c r="H224" s="402">
        <f t="shared" si="135"/>
        <v>3367.4798272259536</v>
      </c>
      <c r="I224" s="14">
        <f t="shared" si="135"/>
        <v>3365.0381726364967</v>
      </c>
      <c r="J224" s="14">
        <f t="shared" si="135"/>
        <v>3482.1897740336417</v>
      </c>
      <c r="K224" s="14">
        <f t="shared" si="135"/>
        <v>3523.7464819313386</v>
      </c>
      <c r="L224" s="14">
        <f t="shared" si="135"/>
        <v>3595.715644995973</v>
      </c>
      <c r="M224" s="14">
        <f t="shared" si="135"/>
        <v>3639.7456961980806</v>
      </c>
      <c r="N224" s="187">
        <f t="shared" si="135"/>
        <v>3692.8226612716908</v>
      </c>
      <c r="O224" s="14">
        <f t="shared" si="135"/>
        <v>3704.771817698118</v>
      </c>
      <c r="P224" s="14">
        <f t="shared" si="135"/>
        <v>3683.9962299318759</v>
      </c>
      <c r="Q224" s="14">
        <f t="shared" si="135"/>
        <v>3681.6939484629138</v>
      </c>
      <c r="R224" s="14">
        <f t="shared" si="135"/>
        <v>3685.5432581823516</v>
      </c>
      <c r="S224" s="14">
        <f t="shared" si="135"/>
        <v>3694.6197368591679</v>
      </c>
      <c r="T224" s="14">
        <f t="shared" si="135"/>
        <v>3674.4530326245945</v>
      </c>
      <c r="U224" s="14">
        <f t="shared" si="135"/>
        <v>3739.1832369468339</v>
      </c>
      <c r="V224" s="14">
        <f t="shared" si="135"/>
        <v>3793.5518746135153</v>
      </c>
      <c r="W224" s="14">
        <f t="shared" si="135"/>
        <v>3774.0197469300679</v>
      </c>
      <c r="X224" s="187">
        <f t="shared" si="135"/>
        <v>3806.417172905441</v>
      </c>
      <c r="Y224" s="158">
        <f t="shared" si="135"/>
        <v>3837.2138916129102</v>
      </c>
      <c r="Z224" s="158">
        <f t="shared" si="135"/>
        <v>3851.0146634052717</v>
      </c>
      <c r="AA224" s="158">
        <f t="shared" si="135"/>
        <v>3898.3994262072629</v>
      </c>
      <c r="AB224" s="158">
        <f t="shared" si="135"/>
        <v>3928.514605690897</v>
      </c>
      <c r="AC224" s="158">
        <f t="shared" si="135"/>
        <v>3927.6818307551976</v>
      </c>
      <c r="AD224" s="158">
        <f t="shared" si="135"/>
        <v>3983.6978736811952</v>
      </c>
      <c r="AE224" s="158">
        <f t="shared" si="135"/>
        <v>4003.0151752376464</v>
      </c>
      <c r="AF224" s="158">
        <f t="shared" si="135"/>
        <v>4013.4238149048429</v>
      </c>
      <c r="AG224" s="158">
        <f t="shared" si="135"/>
        <v>4019.5348937355657</v>
      </c>
      <c r="AH224" s="187">
        <f t="shared" si="135"/>
        <v>4005.1302059627592</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572.85482708358177</v>
      </c>
      <c r="E226" s="331">
        <f>D226+E210+E213</f>
        <v>1189.9203879422935</v>
      </c>
      <c r="F226" s="331">
        <f>E226+F210+F213</f>
        <v>1888.4794115245104</v>
      </c>
      <c r="G226" s="331">
        <f>F226+G210+G213</f>
        <v>2665.1891128393631</v>
      </c>
      <c r="H226" s="402">
        <f t="shared" ref="H226:X226" si="136">G226+H210+H213</f>
        <v>3166.0771804449978</v>
      </c>
      <c r="I226" s="14">
        <f t="shared" si="136"/>
        <v>3772.7509786332694</v>
      </c>
      <c r="J226" s="14">
        <f t="shared" si="136"/>
        <v>4519.9881754061907</v>
      </c>
      <c r="K226" s="14">
        <f t="shared" si="136"/>
        <v>5293.3188944365629</v>
      </c>
      <c r="L226" s="14">
        <f t="shared" si="136"/>
        <v>6137.8085265486452</v>
      </c>
      <c r="M226" s="14">
        <f t="shared" si="136"/>
        <v>7061.1643792675677</v>
      </c>
      <c r="N226" s="187">
        <f t="shared" si="136"/>
        <v>8103.9932688887984</v>
      </c>
      <c r="O226" s="14">
        <f t="shared" si="136"/>
        <v>9155.7643704239345</v>
      </c>
      <c r="P226" s="14">
        <f t="shared" si="136"/>
        <v>10207.192001111198</v>
      </c>
      <c r="Q226" s="14">
        <f t="shared" si="136"/>
        <v>11263.531662505458</v>
      </c>
      <c r="R226" s="14">
        <f t="shared" si="136"/>
        <v>12326.568581741552</v>
      </c>
      <c r="S226" s="14">
        <f t="shared" si="136"/>
        <v>13397.847936539456</v>
      </c>
      <c r="T226" s="14">
        <f t="shared" si="136"/>
        <v>14468.891291380591</v>
      </c>
      <c r="U226" s="14">
        <f t="shared" si="136"/>
        <v>15564.530712212902</v>
      </c>
      <c r="V226" s="14">
        <f t="shared" si="136"/>
        <v>16681.930678744389</v>
      </c>
      <c r="W226" s="14">
        <f t="shared" si="136"/>
        <v>17799.39503289471</v>
      </c>
      <c r="X226" s="187">
        <f t="shared" si="136"/>
        <v>18932.33766693281</v>
      </c>
      <c r="Y226" s="158">
        <f t="shared" ref="Y226:AH226" si="137">X226+Y210+Y213</f>
        <v>20087.266379059685</v>
      </c>
      <c r="Z226" s="158">
        <f t="shared" si="137"/>
        <v>21259.298687394283</v>
      </c>
      <c r="AA226" s="158">
        <f t="shared" si="137"/>
        <v>22458.945594686335</v>
      </c>
      <c r="AB226" s="158">
        <f t="shared" si="137"/>
        <v>23681.238996205877</v>
      </c>
      <c r="AC226" s="158">
        <f t="shared" si="137"/>
        <v>24916.732684891143</v>
      </c>
      <c r="AD226" s="158">
        <f t="shared" si="137"/>
        <v>26183.581403473596</v>
      </c>
      <c r="AE226" s="158">
        <f t="shared" si="137"/>
        <v>27470.457031126858</v>
      </c>
      <c r="AF226" s="158">
        <f t="shared" si="137"/>
        <v>28774.680579071777</v>
      </c>
      <c r="AG226" s="158">
        <f t="shared" si="137"/>
        <v>30094.994017206653</v>
      </c>
      <c r="AH226" s="187">
        <f t="shared" si="137"/>
        <v>31424.708853433625</v>
      </c>
    </row>
    <row r="227" spans="1:34">
      <c r="A227" s="1" t="s">
        <v>454</v>
      </c>
      <c r="D227" s="331">
        <f>D219</f>
        <v>1914.2459151574344</v>
      </c>
      <c r="E227" s="331">
        <f>D227+E219</f>
        <v>3510.7676184243319</v>
      </c>
      <c r="F227" s="331">
        <f>E227+F219</f>
        <v>5053.6368408930348</v>
      </c>
      <c r="G227" s="331">
        <f t="shared" ref="G227:X227" si="138">F227+G219</f>
        <v>6547.4546242730712</v>
      </c>
      <c r="H227" s="402">
        <f t="shared" si="138"/>
        <v>8152.0412662599047</v>
      </c>
      <c r="I227" s="14">
        <f t="shared" si="138"/>
        <v>9718.699161392633</v>
      </c>
      <c r="J227" s="14">
        <f t="shared" si="138"/>
        <v>11268.988414560259</v>
      </c>
      <c r="K227" s="14">
        <f t="shared" si="138"/>
        <v>12907.310227701793</v>
      </c>
      <c r="L227" s="14">
        <f t="shared" si="138"/>
        <v>14599.140746043302</v>
      </c>
      <c r="M227" s="14">
        <f t="shared" si="138"/>
        <v>16311.35419796819</v>
      </c>
      <c r="N227" s="187">
        <f t="shared" si="138"/>
        <v>17990.306514914802</v>
      </c>
      <c r="O227" s="14">
        <f t="shared" si="138"/>
        <v>19664.682744392903</v>
      </c>
      <c r="P227" s="14">
        <f t="shared" si="138"/>
        <v>21317.86935874047</v>
      </c>
      <c r="Q227" s="14">
        <f t="shared" si="138"/>
        <v>22959.059530186049</v>
      </c>
      <c r="R227" s="14">
        <f t="shared" si="138"/>
        <v>24591.549006471876</v>
      </c>
      <c r="S227" s="14">
        <f t="shared" si="138"/>
        <v>26217.678819537701</v>
      </c>
      <c r="T227" s="14">
        <f t="shared" si="138"/>
        <v>27822.995162399355</v>
      </c>
      <c r="U227" s="14">
        <f t="shared" si="138"/>
        <v>29449.112614891579</v>
      </c>
      <c r="V227" s="14">
        <f t="shared" si="138"/>
        <v>31090.729961286561</v>
      </c>
      <c r="W227" s="14">
        <f t="shared" si="138"/>
        <v>32711.631267459685</v>
      </c>
      <c r="X227" s="187">
        <f t="shared" si="138"/>
        <v>34336.991968460919</v>
      </c>
      <c r="Y227" s="158">
        <f t="shared" ref="Y227:AH227" si="139">X227+Y219</f>
        <v>35966.095586728952</v>
      </c>
      <c r="Z227" s="158">
        <f t="shared" si="139"/>
        <v>37590.566331428621</v>
      </c>
      <c r="AA227" s="158">
        <f t="shared" si="139"/>
        <v>39226.02423082554</v>
      </c>
      <c r="AB227" s="158">
        <f t="shared" si="139"/>
        <v>40863.879754166868</v>
      </c>
      <c r="AC227" s="158">
        <f t="shared" si="139"/>
        <v>42489.349193923663</v>
      </c>
      <c r="AD227" s="158">
        <f t="shared" si="139"/>
        <v>44128.578485614453</v>
      </c>
      <c r="AE227" s="158">
        <f t="shared" si="139"/>
        <v>45764.191601769387</v>
      </c>
      <c r="AF227" s="158">
        <f t="shared" si="139"/>
        <v>47391.769954848365</v>
      </c>
      <c r="AG227" s="158">
        <f t="shared" si="139"/>
        <v>49009.128694433006</v>
      </c>
      <c r="AH227" s="187">
        <f t="shared" si="139"/>
        <v>50606.779693072051</v>
      </c>
    </row>
    <row r="228" spans="1:34">
      <c r="A228" s="1" t="s">
        <v>456</v>
      </c>
      <c r="D228" s="331">
        <f t="shared" ref="D228:AH228" si="140">D227-D207</f>
        <v>148.61391515743435</v>
      </c>
      <c r="E228" s="331">
        <f t="shared" si="140"/>
        <v>71.519485643843836</v>
      </c>
      <c r="F228" s="331">
        <f t="shared" si="140"/>
        <v>98.770007605598039</v>
      </c>
      <c r="G228" s="331">
        <f t="shared" si="140"/>
        <v>100.88447543336861</v>
      </c>
      <c r="H228" s="402">
        <f>H227-H207</f>
        <v>162.51610920797884</v>
      </c>
      <c r="I228" s="14">
        <f t="shared" si="140"/>
        <v>153.72897540117083</v>
      </c>
      <c r="J228" s="14">
        <f t="shared" si="140"/>
        <v>229.22728219511009</v>
      </c>
      <c r="K228" s="14">
        <f t="shared" si="140"/>
        <v>292.90668814114906</v>
      </c>
      <c r="L228" s="14">
        <f t="shared" si="140"/>
        <v>329.31347174446091</v>
      </c>
      <c r="M228" s="14">
        <f t="shared" si="140"/>
        <v>362.76151503271649</v>
      </c>
      <c r="N228" s="187">
        <f t="shared" si="140"/>
        <v>388.0260198025062</v>
      </c>
      <c r="O228" s="14">
        <f t="shared" si="140"/>
        <v>423.1199667603687</v>
      </c>
      <c r="P228" s="14">
        <f t="shared" si="140"/>
        <v>475.44192497657059</v>
      </c>
      <c r="Q228" s="14">
        <f t="shared" si="140"/>
        <v>544.4706146183089</v>
      </c>
      <c r="R228" s="14">
        <f t="shared" si="140"/>
        <v>615.87150329677388</v>
      </c>
      <c r="S228" s="14">
        <f t="shared" si="140"/>
        <v>684.85969841591577</v>
      </c>
      <c r="T228" s="14">
        <f t="shared" si="140"/>
        <v>774.35728115967504</v>
      </c>
      <c r="U228" s="14">
        <f t="shared" si="140"/>
        <v>832.80394851412348</v>
      </c>
      <c r="V228" s="14">
        <f t="shared" si="140"/>
        <v>876.51328050563097</v>
      </c>
      <c r="W228" s="14">
        <f t="shared" si="140"/>
        <v>939.12881119332087</v>
      </c>
      <c r="X228" s="187">
        <f t="shared" si="140"/>
        <v>984.25130368637474</v>
      </c>
      <c r="Y228" s="158">
        <f t="shared" si="140"/>
        <v>1017.0048832995599</v>
      </c>
      <c r="Z228" s="158">
        <f t="shared" si="140"/>
        <v>1045.6809379385522</v>
      </c>
      <c r="AA228" s="158">
        <f t="shared" si="140"/>
        <v>1053.4186162328915</v>
      </c>
      <c r="AB228" s="158">
        <f t="shared" si="140"/>
        <v>1052.613445343377</v>
      </c>
      <c r="AC228" s="158">
        <f t="shared" si="140"/>
        <v>1061.2586762479041</v>
      </c>
      <c r="AD228" s="158">
        <f t="shared" si="140"/>
        <v>1056.6307280557085</v>
      </c>
      <c r="AE228" s="158">
        <f t="shared" si="140"/>
        <v>1062.7639030555074</v>
      </c>
      <c r="AF228" s="158">
        <f t="shared" si="140"/>
        <v>1065.9762290657891</v>
      </c>
      <c r="AG228" s="158">
        <f t="shared" si="140"/>
        <v>1075.9860330605879</v>
      </c>
      <c r="AH228" s="187">
        <f t="shared" si="140"/>
        <v>1108.898438778182</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87.809618283581756</v>
      </c>
      <c r="E234" s="331">
        <f t="shared" si="145"/>
        <v>175.4369809056605</v>
      </c>
      <c r="F234" s="331">
        <f t="shared" si="145"/>
        <v>219.45027910916519</v>
      </c>
      <c r="G234" s="331">
        <f t="shared" si="145"/>
        <v>319.09121018287215</v>
      </c>
      <c r="H234" s="402">
        <f>H213-H194</f>
        <v>-2.7000000000043656E-4</v>
      </c>
      <c r="I234" s="14">
        <f t="shared" si="145"/>
        <v>14.787541003405636</v>
      </c>
      <c r="J234" s="14">
        <f t="shared" si="145"/>
        <v>13.222327975409598</v>
      </c>
      <c r="K234" s="14">
        <f t="shared" si="145"/>
        <v>27.367695296747115</v>
      </c>
      <c r="L234" s="14">
        <f t="shared" si="145"/>
        <v>88.469613985924298</v>
      </c>
      <c r="M234" s="14">
        <f t="shared" si="145"/>
        <v>154.64180791599131</v>
      </c>
      <c r="N234" s="187">
        <f t="shared" si="145"/>
        <v>262.88392555781775</v>
      </c>
      <c r="O234" s="14">
        <f t="shared" si="145"/>
        <v>236.16789124829643</v>
      </c>
      <c r="P234" s="14">
        <f t="shared" si="145"/>
        <v>234.99441772961291</v>
      </c>
      <c r="Q234" s="14">
        <f t="shared" si="145"/>
        <v>239.55755981174445</v>
      </c>
      <c r="R234" s="14">
        <f t="shared" si="145"/>
        <v>241.74598568229044</v>
      </c>
      <c r="S234" s="14">
        <f t="shared" si="145"/>
        <v>248.18783029131964</v>
      </c>
      <c r="T234" s="14">
        <f t="shared" si="145"/>
        <v>243.61573599567748</v>
      </c>
      <c r="U234" s="14">
        <f t="shared" si="145"/>
        <v>247.92560993253551</v>
      </c>
      <c r="V234" s="14">
        <f t="shared" si="145"/>
        <v>236.80030806172078</v>
      </c>
      <c r="W234" s="14">
        <f t="shared" si="145"/>
        <v>240.93127061070129</v>
      </c>
      <c r="X234" s="187">
        <f t="shared" si="145"/>
        <v>254.95236269797454</v>
      </c>
      <c r="Y234" s="158">
        <f t="shared" si="145"/>
        <v>269.75275710465689</v>
      </c>
      <c r="Z234" s="158">
        <f t="shared" si="145"/>
        <v>287.45640007679867</v>
      </c>
      <c r="AA234" s="158">
        <f t="shared" si="145"/>
        <v>306.34670471668414</v>
      </c>
      <c r="AB234" s="158">
        <f t="shared" si="145"/>
        <v>321.69670556362871</v>
      </c>
      <c r="AC234" s="158">
        <f t="shared" si="145"/>
        <v>331.75468770611633</v>
      </c>
      <c r="AD234" s="158">
        <f t="shared" si="145"/>
        <v>346.40080919732293</v>
      </c>
      <c r="AE234" s="158">
        <f t="shared" si="145"/>
        <v>345.24031740920373</v>
      </c>
      <c r="AF234" s="158">
        <f t="shared" si="145"/>
        <v>369.31345441571352</v>
      </c>
      <c r="AG234" s="158">
        <f t="shared" si="145"/>
        <v>379.89365519974172</v>
      </c>
      <c r="AH234" s="187">
        <f t="shared" si="145"/>
        <v>382.96252987970115</v>
      </c>
    </row>
    <row r="235" spans="1:34">
      <c r="A235" t="s">
        <v>417</v>
      </c>
      <c r="C235" s="331">
        <f t="shared" ref="C235:AH235" si="146">C214-C195</f>
        <v>0</v>
      </c>
      <c r="D235" s="331">
        <f t="shared" si="146"/>
        <v>46.215751671091709</v>
      </c>
      <c r="E235" s="331">
        <f t="shared" si="146"/>
        <v>92.335414089168495</v>
      </c>
      <c r="F235" s="331">
        <f t="shared" si="146"/>
        <v>115.5003121886397</v>
      </c>
      <c r="G235" s="331">
        <f t="shared" si="146"/>
        <v>167.94291107522054</v>
      </c>
      <c r="H235" s="402">
        <f t="shared" si="146"/>
        <v>0</v>
      </c>
      <c r="I235" s="14">
        <f t="shared" si="146"/>
        <v>7.783061593837715</v>
      </c>
      <c r="J235" s="14">
        <f t="shared" si="146"/>
        <v>6.9592730775265181</v>
      </c>
      <c r="K235" s="14">
        <f t="shared" si="146"/>
        <v>14.404213843427272</v>
      </c>
      <c r="L235" s="14">
        <f t="shared" si="146"/>
        <v>46.563128882118917</v>
      </c>
      <c r="M235" s="14">
        <f t="shared" si="146"/>
        <v>81.390608180389904</v>
      </c>
      <c r="N235" s="187">
        <f t="shared" si="146"/>
        <v>138.36015082244518</v>
      </c>
      <c r="O235" s="14">
        <f t="shared" si="146"/>
        <v>124.29908176248676</v>
      </c>
      <c r="P235" s="14">
        <f t="shared" si="146"/>
        <v>123.68146405849433</v>
      </c>
      <c r="Q235" s="14">
        <f t="shared" si="146"/>
        <v>126.08311868089982</v>
      </c>
      <c r="R235" s="14">
        <f t="shared" si="146"/>
        <v>127.2349229908956</v>
      </c>
      <c r="S235" s="14">
        <f t="shared" si="146"/>
        <v>130.62536902372835</v>
      </c>
      <c r="T235" s="14">
        <f t="shared" si="146"/>
        <v>128.21900356197034</v>
      </c>
      <c r="U235" s="14">
        <f t="shared" si="146"/>
        <v>130.48736274696222</v>
      </c>
      <c r="V235" s="14">
        <f t="shared" si="146"/>
        <v>124.6319446744443</v>
      </c>
      <c r="W235" s="14">
        <f t="shared" si="146"/>
        <v>126.80613550142868</v>
      </c>
      <c r="X235" s="187">
        <f t="shared" si="146"/>
        <v>134.18566047275448</v>
      </c>
      <c r="Y235" s="158">
        <f t="shared" si="146"/>
        <v>141.97534574527424</v>
      </c>
      <c r="Z235" s="158">
        <f t="shared" si="146"/>
        <v>151.29305568897803</v>
      </c>
      <c r="AA235" s="158">
        <f t="shared" si="146"/>
        <v>161.23532632027434</v>
      </c>
      <c r="AB235" s="158">
        <f t="shared" si="146"/>
        <v>169.31427826062793</v>
      </c>
      <c r="AC235" s="158">
        <f t="shared" si="146"/>
        <v>174.60795547754446</v>
      </c>
      <c r="AD235" s="158">
        <f t="shared" si="146"/>
        <v>182.31644618577627</v>
      </c>
      <c r="AE235" s="158">
        <f t="shared" si="146"/>
        <v>181.7056646830207</v>
      </c>
      <c r="AF235" s="158">
        <f t="shared" si="146"/>
        <v>194.37573995248624</v>
      </c>
      <c r="AG235" s="158">
        <f t="shared" si="146"/>
        <v>199.94426961248644</v>
      </c>
      <c r="AH235" s="187">
        <f t="shared" si="146"/>
        <v>201.55946852539194</v>
      </c>
    </row>
    <row r="236" spans="1:34">
      <c r="A236" t="s">
        <v>418</v>
      </c>
      <c r="C236" s="331">
        <f t="shared" ref="C236:AH236" si="147">C215-C196</f>
        <v>-2.7000000000043656E-4</v>
      </c>
      <c r="D236" s="331">
        <f t="shared" si="147"/>
        <v>41.593866612490046</v>
      </c>
      <c r="E236" s="331">
        <f t="shared" si="147"/>
        <v>83.10156681649201</v>
      </c>
      <c r="F236" s="331">
        <f t="shared" si="147"/>
        <v>103.94996692052544</v>
      </c>
      <c r="G236" s="331">
        <f t="shared" si="147"/>
        <v>151.14829910765155</v>
      </c>
      <c r="H236" s="402">
        <f>H215-H196</f>
        <v>-2.7000000000043656E-4</v>
      </c>
      <c r="I236" s="14">
        <f t="shared" si="147"/>
        <v>7.0044794095679208</v>
      </c>
      <c r="J236" s="14">
        <f t="shared" si="147"/>
        <v>6.2630548978831371</v>
      </c>
      <c r="K236" s="14">
        <f t="shared" si="147"/>
        <v>12.963481453319901</v>
      </c>
      <c r="L236" s="14">
        <f t="shared" si="147"/>
        <v>41.90648510380538</v>
      </c>
      <c r="M236" s="14">
        <f t="shared" si="147"/>
        <v>73.251199735601404</v>
      </c>
      <c r="N236" s="187">
        <f t="shared" si="147"/>
        <v>124.52377473537257</v>
      </c>
      <c r="O236" s="14">
        <f t="shared" si="147"/>
        <v>111.86880948580961</v>
      </c>
      <c r="P236" s="14">
        <f t="shared" si="147"/>
        <v>111.31295367111852</v>
      </c>
      <c r="Q236" s="14">
        <f t="shared" si="147"/>
        <v>113.47444113084458</v>
      </c>
      <c r="R236" s="14">
        <f t="shared" si="147"/>
        <v>114.51106269139484</v>
      </c>
      <c r="S236" s="14">
        <f t="shared" si="147"/>
        <v>117.56246126759135</v>
      </c>
      <c r="T236" s="14">
        <f t="shared" si="147"/>
        <v>115.39673243370709</v>
      </c>
      <c r="U236" s="14">
        <f t="shared" si="147"/>
        <v>117.43824718557318</v>
      </c>
      <c r="V236" s="14">
        <f t="shared" si="147"/>
        <v>112.16836338727649</v>
      </c>
      <c r="W236" s="14">
        <f t="shared" si="147"/>
        <v>114.12513510927272</v>
      </c>
      <c r="X236" s="187">
        <f t="shared" si="147"/>
        <v>120.76670222521994</v>
      </c>
      <c r="Y236" s="158">
        <f t="shared" si="147"/>
        <v>127.77741135938254</v>
      </c>
      <c r="Z236" s="158">
        <f t="shared" si="147"/>
        <v>136.16334438782059</v>
      </c>
      <c r="AA236" s="158">
        <f t="shared" si="147"/>
        <v>145.1113783964098</v>
      </c>
      <c r="AB236" s="158">
        <f t="shared" si="147"/>
        <v>152.38242730300078</v>
      </c>
      <c r="AC236" s="158">
        <f t="shared" si="147"/>
        <v>157.14673222857181</v>
      </c>
      <c r="AD236" s="158">
        <f t="shared" si="147"/>
        <v>164.08436301154654</v>
      </c>
      <c r="AE236" s="158">
        <f t="shared" si="147"/>
        <v>163.5346527261832</v>
      </c>
      <c r="AF236" s="158">
        <f t="shared" si="147"/>
        <v>174.93771446322717</v>
      </c>
      <c r="AG236" s="158">
        <f t="shared" si="147"/>
        <v>179.94938558725522</v>
      </c>
      <c r="AH236" s="187">
        <f t="shared" si="147"/>
        <v>181.4030613543091</v>
      </c>
    </row>
    <row r="237" spans="1:34">
      <c r="A237" t="s">
        <v>419</v>
      </c>
      <c r="C237" s="331">
        <f t="shared" ref="C237:AH237" si="148">C216-C197</f>
        <v>0</v>
      </c>
      <c r="D237" s="331">
        <f t="shared" si="148"/>
        <v>-248.12298318413195</v>
      </c>
      <c r="E237" s="331">
        <f t="shared" si="148"/>
        <v>-3.2231414404081988</v>
      </c>
      <c r="F237" s="331">
        <f t="shared" si="148"/>
        <v>-138.83116200136237</v>
      </c>
      <c r="G237" s="331">
        <f t="shared" si="148"/>
        <v>-132.73977263879624</v>
      </c>
      <c r="H237" s="402">
        <f t="shared" si="148"/>
        <v>0</v>
      </c>
      <c r="I237" s="14">
        <f t="shared" si="148"/>
        <v>161.93996155970672</v>
      </c>
      <c r="J237" s="14">
        <f t="shared" si="148"/>
        <v>106.75767240349796</v>
      </c>
      <c r="K237" s="14">
        <f t="shared" si="148"/>
        <v>112.8453755821979</v>
      </c>
      <c r="L237" s="14">
        <f t="shared" si="148"/>
        <v>108.22238407335544</v>
      </c>
      <c r="M237" s="14">
        <f t="shared" si="148"/>
        <v>67.950657615797809</v>
      </c>
      <c r="N237" s="187">
        <f t="shared" si="148"/>
        <v>0</v>
      </c>
      <c r="O237" s="14">
        <f t="shared" si="148"/>
        <v>3.0068023148451175</v>
      </c>
      <c r="P237" s="14">
        <f t="shared" si="148"/>
        <v>-17.425416402951669</v>
      </c>
      <c r="Q237" s="14">
        <f t="shared" si="148"/>
        <v>-43.865324488039278</v>
      </c>
      <c r="R237" s="14">
        <f t="shared" si="148"/>
        <v>-46.713221710720973</v>
      </c>
      <c r="S237" s="14">
        <f t="shared" si="148"/>
        <v>-45.879636693140128</v>
      </c>
      <c r="T237" s="14">
        <f t="shared" si="148"/>
        <v>-65.811206266078443</v>
      </c>
      <c r="U237" s="14">
        <f t="shared" si="148"/>
        <v>-28.52204603812288</v>
      </c>
      <c r="V237" s="14">
        <f t="shared" si="148"/>
        <v>1.2463403935807946</v>
      </c>
      <c r="W237" s="14">
        <f t="shared" si="148"/>
        <v>-18.350633006123189</v>
      </c>
      <c r="X237" s="187">
        <f t="shared" si="148"/>
        <v>-1.4314360188145656</v>
      </c>
      <c r="Y237" s="158">
        <f t="shared" si="148"/>
        <v>7.3791537001661709</v>
      </c>
      <c r="Z237" s="158">
        <f t="shared" si="148"/>
        <v>4.0762274853759664</v>
      </c>
      <c r="AA237" s="158">
        <f t="shared" si="148"/>
        <v>23.847002126478856</v>
      </c>
      <c r="AB237" s="158">
        <f t="shared" si="148"/>
        <v>31.31568738262331</v>
      </c>
      <c r="AC237" s="158">
        <f t="shared" si="148"/>
        <v>17.282625281197852</v>
      </c>
      <c r="AD237" s="158">
        <f t="shared" si="148"/>
        <v>39.884541286909553</v>
      </c>
      <c r="AE237" s="158">
        <f t="shared" si="148"/>
        <v>39.174791574871961</v>
      </c>
      <c r="AF237" s="158">
        <f t="shared" si="148"/>
        <v>32.235510950410571</v>
      </c>
      <c r="AG237" s="158">
        <f t="shared" si="148"/>
        <v>22.256841788855127</v>
      </c>
      <c r="AH237" s="187">
        <f t="shared" si="148"/>
        <v>-1.549753073186821</v>
      </c>
    </row>
    <row r="238" spans="1:34">
      <c r="A238" t="s">
        <v>420</v>
      </c>
      <c r="C238" s="331">
        <f t="shared" ref="C238:AH238" si="149">C217-C198</f>
        <v>0</v>
      </c>
      <c r="D238" s="331">
        <f t="shared" si="149"/>
        <v>-130.59104378112215</v>
      </c>
      <c r="E238" s="331">
        <f t="shared" si="149"/>
        <v>-1.6963902317936572</v>
      </c>
      <c r="F238" s="331">
        <f t="shared" si="149"/>
        <v>-73.069032632296057</v>
      </c>
      <c r="G238" s="331">
        <f t="shared" si="149"/>
        <v>-69.863038230945449</v>
      </c>
      <c r="H238" s="402">
        <f t="shared" si="149"/>
        <v>0</v>
      </c>
      <c r="I238" s="14">
        <f t="shared" si="149"/>
        <v>85.231558715634947</v>
      </c>
      <c r="J238" s="14">
        <f t="shared" si="149"/>
        <v>56.188248633419789</v>
      </c>
      <c r="K238" s="14">
        <f t="shared" si="149"/>
        <v>59.39230293799892</v>
      </c>
      <c r="L238" s="14">
        <f t="shared" si="149"/>
        <v>56.959149512292242</v>
      </c>
      <c r="M238" s="14">
        <f t="shared" si="149"/>
        <v>35.76350400831484</v>
      </c>
      <c r="N238" s="187">
        <f t="shared" si="149"/>
        <v>0</v>
      </c>
      <c r="O238" s="14">
        <f t="shared" si="149"/>
        <v>1.5825275341289853</v>
      </c>
      <c r="P238" s="14">
        <f t="shared" si="149"/>
        <v>-9.1712717910270385</v>
      </c>
      <c r="Q238" s="14">
        <f t="shared" si="149"/>
        <v>-23.087012888441677</v>
      </c>
      <c r="R238" s="14">
        <f t="shared" si="149"/>
        <v>-24.585906163537402</v>
      </c>
      <c r="S238" s="14">
        <f t="shared" si="149"/>
        <v>-24.147177206915785</v>
      </c>
      <c r="T238" s="14">
        <f t="shared" si="149"/>
        <v>-34.637476982146609</v>
      </c>
      <c r="U238" s="14">
        <f t="shared" si="149"/>
        <v>-15.011603177959614</v>
      </c>
      <c r="V238" s="14">
        <f t="shared" si="149"/>
        <v>0.65596862820052593</v>
      </c>
      <c r="W238" s="14">
        <f t="shared" si="149"/>
        <v>-9.6582278979597049</v>
      </c>
      <c r="X238" s="187">
        <f t="shared" si="149"/>
        <v>-0.75338737832362312</v>
      </c>
      <c r="Y238" s="158">
        <f t="shared" si="149"/>
        <v>3.8837651053506761</v>
      </c>
      <c r="Z238" s="158">
        <f t="shared" si="149"/>
        <v>2.1453828870398866</v>
      </c>
      <c r="AA238" s="158">
        <f t="shared" si="149"/>
        <v>12.551053750778237</v>
      </c>
      <c r="AB238" s="158">
        <f t="shared" si="149"/>
        <v>16.481940727696383</v>
      </c>
      <c r="AC238" s="158">
        <f t="shared" si="149"/>
        <v>9.0961185690514412</v>
      </c>
      <c r="AD238" s="158">
        <f t="shared" si="149"/>
        <v>20.991863835215554</v>
      </c>
      <c r="AE238" s="158">
        <f t="shared" si="149"/>
        <v>20.618311355195829</v>
      </c>
      <c r="AF238" s="158">
        <f t="shared" si="149"/>
        <v>16.966058394953052</v>
      </c>
      <c r="AG238" s="158">
        <f t="shared" si="149"/>
        <v>11.714127257291921</v>
      </c>
      <c r="AH238" s="187">
        <f t="shared" si="149"/>
        <v>-0.81565951220363786</v>
      </c>
    </row>
    <row r="239" spans="1:34">
      <c r="A239" t="s">
        <v>421</v>
      </c>
      <c r="C239" s="331">
        <f t="shared" ref="C239:AH239" si="150">C218-C199</f>
        <v>0</v>
      </c>
      <c r="D239" s="331">
        <f t="shared" si="150"/>
        <v>-117.53193940301003</v>
      </c>
      <c r="E239" s="331">
        <f t="shared" si="150"/>
        <v>-1.5267512086143142</v>
      </c>
      <c r="F239" s="331">
        <f t="shared" si="150"/>
        <v>-65.762129369066315</v>
      </c>
      <c r="G239" s="331">
        <f t="shared" si="150"/>
        <v>-62.87673440785079</v>
      </c>
      <c r="H239" s="402">
        <f t="shared" si="150"/>
        <v>0</v>
      </c>
      <c r="I239" s="14">
        <f t="shared" si="150"/>
        <v>76.708402844071543</v>
      </c>
      <c r="J239" s="14">
        <f t="shared" si="150"/>
        <v>50.569423770077947</v>
      </c>
      <c r="K239" s="14">
        <f t="shared" si="150"/>
        <v>53.45307264419921</v>
      </c>
      <c r="L239" s="14">
        <f t="shared" si="150"/>
        <v>51.2632345610632</v>
      </c>
      <c r="M239" s="14">
        <f t="shared" si="150"/>
        <v>32.187153607482969</v>
      </c>
      <c r="N239" s="187">
        <f t="shared" si="150"/>
        <v>0</v>
      </c>
      <c r="O239" s="14">
        <f t="shared" si="150"/>
        <v>1.4242747807161322</v>
      </c>
      <c r="P239" s="14">
        <f t="shared" si="150"/>
        <v>-8.2541446119244029</v>
      </c>
      <c r="Q239" s="14">
        <f t="shared" si="150"/>
        <v>-20.7783115995976</v>
      </c>
      <c r="R239" s="14">
        <f t="shared" si="150"/>
        <v>-22.127315547183571</v>
      </c>
      <c r="S239" s="14">
        <f t="shared" si="150"/>
        <v>-21.732459486224343</v>
      </c>
      <c r="T239" s="14">
        <f t="shared" si="150"/>
        <v>-31.173729283931834</v>
      </c>
      <c r="U239" s="14">
        <f t="shared" si="150"/>
        <v>-13.510442860163494</v>
      </c>
      <c r="V239" s="14">
        <f t="shared" si="150"/>
        <v>0.59037176538049607</v>
      </c>
      <c r="W239" s="14">
        <f t="shared" si="150"/>
        <v>-8.6924051081637117</v>
      </c>
      <c r="X239" s="187">
        <f t="shared" si="150"/>
        <v>-0.67804864049139724</v>
      </c>
      <c r="Y239" s="158">
        <f t="shared" si="150"/>
        <v>3.4953885948154948</v>
      </c>
      <c r="Z239" s="158">
        <f t="shared" si="150"/>
        <v>1.9308445983358524</v>
      </c>
      <c r="AA239" s="158">
        <f t="shared" si="150"/>
        <v>11.295948375700618</v>
      </c>
      <c r="AB239" s="158">
        <f t="shared" si="150"/>
        <v>14.833746654926927</v>
      </c>
      <c r="AC239" s="158">
        <f t="shared" si="150"/>
        <v>8.1865067121464108</v>
      </c>
      <c r="AD239" s="158">
        <f t="shared" si="150"/>
        <v>18.892677451693999</v>
      </c>
      <c r="AE239" s="158">
        <f t="shared" si="150"/>
        <v>18.556480219676359</v>
      </c>
      <c r="AF239" s="158">
        <f t="shared" si="150"/>
        <v>15.269452555457747</v>
      </c>
      <c r="AG239" s="158">
        <f t="shared" si="150"/>
        <v>10.542714531562751</v>
      </c>
      <c r="AH239" s="187">
        <f t="shared" si="150"/>
        <v>-0.7340935609834105</v>
      </c>
    </row>
    <row r="240" spans="1:34">
      <c r="A240" t="s">
        <v>393</v>
      </c>
      <c r="C240" s="331">
        <f>C219-C200</f>
        <v>0.20899999999983265</v>
      </c>
      <c r="D240" s="331">
        <f t="shared" ref="D240:AH240" si="151">D219-D200+D249+D252</f>
        <v>148.61391515743435</v>
      </c>
      <c r="E240" s="331">
        <f t="shared" si="151"/>
        <v>-77.094429513590512</v>
      </c>
      <c r="F240" s="331">
        <f t="shared" si="151"/>
        <v>27.250521961754885</v>
      </c>
      <c r="G240" s="331">
        <f t="shared" si="151"/>
        <v>2.1144678277707953</v>
      </c>
      <c r="H240" s="402">
        <f t="shared" si="151"/>
        <v>61.631633774610691</v>
      </c>
      <c r="I240" s="14">
        <f t="shared" si="151"/>
        <v>-8.7871338068075602</v>
      </c>
      <c r="J240" s="14">
        <f t="shared" si="151"/>
        <v>75.498306793938127</v>
      </c>
      <c r="K240" s="14">
        <f t="shared" si="151"/>
        <v>63.679405946039424</v>
      </c>
      <c r="L240" s="14">
        <f t="shared" si="151"/>
        <v>36.406783603311169</v>
      </c>
      <c r="M240" s="14">
        <f t="shared" si="151"/>
        <v>33.448043288255576</v>
      </c>
      <c r="N240" s="187">
        <f t="shared" si="151"/>
        <v>25.264504769788573</v>
      </c>
      <c r="O240" s="14">
        <f t="shared" si="151"/>
        <v>35.093946957862727</v>
      </c>
      <c r="P240" s="14">
        <f t="shared" si="151"/>
        <v>52.321958216203939</v>
      </c>
      <c r="Q240" s="14">
        <f t="shared" si="151"/>
        <v>69.028689641736946</v>
      </c>
      <c r="R240" s="14">
        <f t="shared" si="151"/>
        <v>71.400888678463616</v>
      </c>
      <c r="S240" s="14">
        <f t="shared" si="151"/>
        <v>68.988195119140983</v>
      </c>
      <c r="T240" s="14">
        <f t="shared" si="151"/>
        <v>89.497582743759722</v>
      </c>
      <c r="U240" s="14">
        <f t="shared" si="151"/>
        <v>58.446667354448664</v>
      </c>
      <c r="V240" s="14">
        <f t="shared" si="151"/>
        <v>43.709331991508407</v>
      </c>
      <c r="W240" s="14">
        <f t="shared" si="151"/>
        <v>62.615530687690352</v>
      </c>
      <c r="X240" s="187">
        <f t="shared" si="151"/>
        <v>45.122492493050231</v>
      </c>
      <c r="Y240" s="158">
        <f t="shared" si="151"/>
        <v>32.753579613189004</v>
      </c>
      <c r="Z240" s="158">
        <f t="shared" si="151"/>
        <v>28.676054638987125</v>
      </c>
      <c r="AA240" s="158">
        <f t="shared" si="151"/>
        <v>7.7376782943351827</v>
      </c>
      <c r="AB240" s="158">
        <f t="shared" si="151"/>
        <v>-0.80517088951432925</v>
      </c>
      <c r="AC240" s="158">
        <f t="shared" si="151"/>
        <v>8.6452309045271249</v>
      </c>
      <c r="AD240" s="158">
        <f t="shared" si="151"/>
        <v>-4.627948192195845</v>
      </c>
      <c r="AE240" s="158">
        <f t="shared" si="151"/>
        <v>6.1331749998014402</v>
      </c>
      <c r="AF240" s="158">
        <f t="shared" si="151"/>
        <v>3.2123260102871427</v>
      </c>
      <c r="AG240" s="158">
        <f t="shared" si="151"/>
        <v>10.009803994800222</v>
      </c>
      <c r="AH240" s="187">
        <f t="shared" si="151"/>
        <v>32.91240571759522</v>
      </c>
    </row>
    <row r="241" spans="1:34">
      <c r="A241" t="s">
        <v>422</v>
      </c>
      <c r="C241" s="331">
        <f>C220-C201</f>
        <v>0.10999999999989996</v>
      </c>
      <c r="D241" s="331">
        <f t="shared" ref="D241:AH241" si="152">D220-D201+D250+D253</f>
        <v>78.217850082860309</v>
      </c>
      <c r="E241" s="331">
        <f t="shared" si="152"/>
        <v>-40.576015533468649</v>
      </c>
      <c r="F241" s="331">
        <f t="shared" si="152"/>
        <v>14.342379979870998</v>
      </c>
      <c r="G241" s="331">
        <f t="shared" si="152"/>
        <v>1.1128778040898624</v>
      </c>
      <c r="H241" s="402">
        <f t="shared" si="152"/>
        <v>32.437701986637194</v>
      </c>
      <c r="I241" s="14">
        <f t="shared" si="152"/>
        <v>-4.6248072667407314</v>
      </c>
      <c r="J241" s="14">
        <f t="shared" si="152"/>
        <v>39.735950944177944</v>
      </c>
      <c r="K241" s="14">
        <f t="shared" si="152"/>
        <v>33.515476813704936</v>
      </c>
      <c r="L241" s="14">
        <f t="shared" si="152"/>
        <v>19.161465054374275</v>
      </c>
      <c r="M241" s="14">
        <f t="shared" si="152"/>
        <v>17.604233309608162</v>
      </c>
      <c r="N241" s="187">
        <f t="shared" si="152"/>
        <v>13.297107773572975</v>
      </c>
      <c r="O241" s="14">
        <f t="shared" si="152"/>
        <v>18.470498398875066</v>
      </c>
      <c r="P241" s="14">
        <f t="shared" si="152"/>
        <v>27.537872745370464</v>
      </c>
      <c r="Q241" s="14">
        <f t="shared" si="152"/>
        <v>36.330889285124613</v>
      </c>
      <c r="R241" s="14">
        <f t="shared" si="152"/>
        <v>37.579415093928219</v>
      </c>
      <c r="S241" s="14">
        <f t="shared" si="152"/>
        <v>36.309576378495194</v>
      </c>
      <c r="T241" s="14">
        <f t="shared" si="152"/>
        <v>47.103990917768215</v>
      </c>
      <c r="U241" s="14">
        <f t="shared" si="152"/>
        <v>30.761403870762365</v>
      </c>
      <c r="V241" s="14">
        <f t="shared" si="152"/>
        <v>23.004911574478115</v>
      </c>
      <c r="W241" s="14">
        <f t="shared" si="152"/>
        <v>32.955542467205419</v>
      </c>
      <c r="X241" s="187">
        <f t="shared" si="152"/>
        <v>23.74868025950002</v>
      </c>
      <c r="Y241" s="158">
        <f t="shared" si="152"/>
        <v>17.238726112204631</v>
      </c>
      <c r="Z241" s="158">
        <f t="shared" si="152"/>
        <v>15.092660336308995</v>
      </c>
      <c r="AA241" s="158">
        <f t="shared" si="152"/>
        <v>4.072462260176394</v>
      </c>
      <c r="AB241" s="158">
        <f t="shared" si="152"/>
        <v>-0.42377415237592686</v>
      </c>
      <c r="AC241" s="158">
        <f t="shared" si="152"/>
        <v>4.5501215286984689</v>
      </c>
      <c r="AD241" s="158">
        <f t="shared" si="152"/>
        <v>-2.4357622064188718</v>
      </c>
      <c r="AE241" s="158">
        <f t="shared" si="152"/>
        <v>3.2279868420008597</v>
      </c>
      <c r="AF241" s="158">
        <f t="shared" si="152"/>
        <v>1.6906979001512354</v>
      </c>
      <c r="AG241" s="158">
        <f t="shared" si="152"/>
        <v>5.268317892000141</v>
      </c>
      <c r="AH241" s="187">
        <f t="shared" si="152"/>
        <v>17.322318798734273</v>
      </c>
    </row>
    <row r="242" spans="1:34">
      <c r="A242" t="s">
        <v>423</v>
      </c>
      <c r="C242" s="331">
        <f>C221-C202</f>
        <v>9.8999999999819011E-2</v>
      </c>
      <c r="D242" s="331">
        <f t="shared" ref="D242:AH242" si="153">D221-D202+D251+D254</f>
        <v>70.396065074574267</v>
      </c>
      <c r="E242" s="331">
        <f t="shared" si="153"/>
        <v>-36.51841398012175</v>
      </c>
      <c r="F242" s="331">
        <f t="shared" si="153"/>
        <v>12.908141981883887</v>
      </c>
      <c r="G242" s="331">
        <f t="shared" si="153"/>
        <v>1.0015900236808193</v>
      </c>
      <c r="H242" s="402">
        <f t="shared" si="153"/>
        <v>29.193931787973497</v>
      </c>
      <c r="I242" s="14">
        <f t="shared" si="153"/>
        <v>-4.1623265400667151</v>
      </c>
      <c r="J242" s="14">
        <f t="shared" si="153"/>
        <v>35.762355849760183</v>
      </c>
      <c r="K242" s="14">
        <f t="shared" si="153"/>
        <v>30.163929132334488</v>
      </c>
      <c r="L242" s="14">
        <f t="shared" si="153"/>
        <v>17.245318548937007</v>
      </c>
      <c r="M242" s="14">
        <f t="shared" si="153"/>
        <v>15.843809978647414</v>
      </c>
      <c r="N242" s="187">
        <f t="shared" si="153"/>
        <v>11.967396996215712</v>
      </c>
      <c r="O242" s="14">
        <f t="shared" si="153"/>
        <v>16.623448558987548</v>
      </c>
      <c r="P242" s="14">
        <f t="shared" si="153"/>
        <v>24.784085470833475</v>
      </c>
      <c r="Q242" s="14">
        <f t="shared" si="153"/>
        <v>32.69780035661222</v>
      </c>
      <c r="R242" s="14">
        <f t="shared" si="153"/>
        <v>33.821473584535397</v>
      </c>
      <c r="S242" s="14">
        <f t="shared" si="153"/>
        <v>32.678618740645675</v>
      </c>
      <c r="T242" s="14">
        <f t="shared" si="153"/>
        <v>42.393591825991621</v>
      </c>
      <c r="U242" s="14">
        <f t="shared" si="153"/>
        <v>27.685263483686185</v>
      </c>
      <c r="V242" s="14">
        <f t="shared" si="153"/>
        <v>20.704420417030406</v>
      </c>
      <c r="W242" s="14">
        <f t="shared" si="153"/>
        <v>29.659988220484934</v>
      </c>
      <c r="X242" s="187">
        <f t="shared" si="153"/>
        <v>21.373812233549984</v>
      </c>
      <c r="Y242" s="158">
        <f t="shared" si="153"/>
        <v>15.514853500984259</v>
      </c>
      <c r="Z242" s="158">
        <f t="shared" si="153"/>
        <v>13.583394302678244</v>
      </c>
      <c r="AA242" s="158">
        <f t="shared" si="153"/>
        <v>3.6652160341587887</v>
      </c>
      <c r="AB242" s="158">
        <f t="shared" si="153"/>
        <v>-0.38139673713840239</v>
      </c>
      <c r="AC242" s="158">
        <f t="shared" si="153"/>
        <v>4.0951093758286561</v>
      </c>
      <c r="AD242" s="158">
        <f t="shared" si="153"/>
        <v>-2.1921859857768595</v>
      </c>
      <c r="AE242" s="158">
        <f t="shared" si="153"/>
        <v>2.9051881578006942</v>
      </c>
      <c r="AF242" s="158">
        <f t="shared" si="153"/>
        <v>1.5216281101359073</v>
      </c>
      <c r="AG242" s="158">
        <f t="shared" si="153"/>
        <v>4.7414861028001951</v>
      </c>
      <c r="AH242" s="187">
        <f t="shared" si="153"/>
        <v>15.590086918860834</v>
      </c>
    </row>
    <row r="243" spans="1:34" s="1" customFormat="1">
      <c r="A243" s="1" t="s">
        <v>404</v>
      </c>
      <c r="B243" s="13"/>
      <c r="C243" s="341">
        <f>C222-C203</f>
        <v>0.20872999999937747</v>
      </c>
      <c r="D243" s="341">
        <f t="shared" ref="D243:AH243" si="154">D222-D203+D249+D252</f>
        <v>-11.69944974311511</v>
      </c>
      <c r="E243" s="341">
        <f t="shared" si="154"/>
        <v>95.11940995166151</v>
      </c>
      <c r="F243" s="341">
        <f t="shared" si="154"/>
        <v>107.8696390695568</v>
      </c>
      <c r="G243" s="341">
        <f t="shared" si="154"/>
        <v>188.46590537184693</v>
      </c>
      <c r="H243" s="405">
        <f t="shared" si="154"/>
        <v>61.631363774610691</v>
      </c>
      <c r="I243" s="15">
        <f t="shared" si="154"/>
        <v>167.94036875630536</v>
      </c>
      <c r="J243" s="15">
        <f t="shared" si="154"/>
        <v>195.47830717284523</v>
      </c>
      <c r="K243" s="15">
        <f t="shared" si="154"/>
        <v>203.89247682498444</v>
      </c>
      <c r="L243" s="15">
        <f t="shared" si="154"/>
        <v>233.09878166259114</v>
      </c>
      <c r="M243" s="15">
        <f t="shared" si="154"/>
        <v>256.04050882004503</v>
      </c>
      <c r="N243" s="190">
        <f t="shared" si="154"/>
        <v>288.14843032760564</v>
      </c>
      <c r="O243" s="15">
        <f t="shared" si="154"/>
        <v>274.26864052100518</v>
      </c>
      <c r="P243" s="15">
        <f t="shared" si="154"/>
        <v>269.89095954286495</v>
      </c>
      <c r="Q243" s="15">
        <f t="shared" si="154"/>
        <v>264.72092496544155</v>
      </c>
      <c r="R243" s="15">
        <f t="shared" si="154"/>
        <v>266.43365265003285</v>
      </c>
      <c r="S243" s="15">
        <f t="shared" si="154"/>
        <v>271.29638871732004</v>
      </c>
      <c r="T243" s="15">
        <f t="shared" si="154"/>
        <v>267.30211247335865</v>
      </c>
      <c r="U243" s="15">
        <f t="shared" si="154"/>
        <v>277.85023124886084</v>
      </c>
      <c r="V243" s="15">
        <f t="shared" si="154"/>
        <v>281.7559804468101</v>
      </c>
      <c r="W243" s="15">
        <f t="shared" si="154"/>
        <v>285.19616829226834</v>
      </c>
      <c r="X243" s="190">
        <f t="shared" si="154"/>
        <v>298.643419172211</v>
      </c>
      <c r="Y243" s="130">
        <f t="shared" si="154"/>
        <v>309.88549041801252</v>
      </c>
      <c r="Z243" s="130">
        <f t="shared" si="154"/>
        <v>320.20868220116154</v>
      </c>
      <c r="AA243" s="130">
        <f t="shared" si="154"/>
        <v>337.93138513749909</v>
      </c>
      <c r="AB243" s="130">
        <f t="shared" si="154"/>
        <v>352.20722205673701</v>
      </c>
      <c r="AC243" s="130">
        <f t="shared" si="154"/>
        <v>357.68254389184131</v>
      </c>
      <c r="AD243" s="130">
        <f t="shared" si="154"/>
        <v>381.65740229203584</v>
      </c>
      <c r="AE243" s="130">
        <f t="shared" si="154"/>
        <v>390.5482839838769</v>
      </c>
      <c r="AF243" s="130">
        <f t="shared" si="154"/>
        <v>404.76129137641146</v>
      </c>
      <c r="AG243" s="130">
        <f t="shared" si="154"/>
        <v>412.16030098339797</v>
      </c>
      <c r="AH243" s="190">
        <f t="shared" si="154"/>
        <v>414.32518252410955</v>
      </c>
    </row>
    <row r="244" spans="1:34">
      <c r="A244" t="s">
        <v>444</v>
      </c>
      <c r="C244" s="331"/>
      <c r="D244" s="331">
        <f>D231+D234</f>
        <v>87.809618283581756</v>
      </c>
      <c r="E244" s="331">
        <f t="shared" ref="E244:N244" si="155">E231+E234</f>
        <v>175.4369809056605</v>
      </c>
      <c r="F244" s="331">
        <f t="shared" si="155"/>
        <v>219.45027910916519</v>
      </c>
      <c r="G244" s="331">
        <f t="shared" si="155"/>
        <v>319.09121018287215</v>
      </c>
      <c r="H244" s="402">
        <f t="shared" si="155"/>
        <v>-2.7000000000043656E-4</v>
      </c>
      <c r="I244" s="14">
        <f t="shared" si="155"/>
        <v>14.787541003405636</v>
      </c>
      <c r="J244" s="14">
        <f t="shared" si="155"/>
        <v>13.222327975409598</v>
      </c>
      <c r="K244" s="14">
        <f t="shared" si="155"/>
        <v>27.367695296747115</v>
      </c>
      <c r="L244" s="14">
        <f t="shared" si="155"/>
        <v>88.469613985924298</v>
      </c>
      <c r="M244" s="14">
        <f t="shared" si="155"/>
        <v>154.64180791599131</v>
      </c>
      <c r="N244" s="187">
        <f t="shared" si="155"/>
        <v>262.88392555781775</v>
      </c>
      <c r="O244" s="14">
        <f>O231+O234</f>
        <v>236.16789124829643</v>
      </c>
      <c r="P244" s="14">
        <f t="shared" ref="P244:AH244" si="156">P231+P234</f>
        <v>234.99441772961291</v>
      </c>
      <c r="Q244" s="14">
        <f t="shared" si="156"/>
        <v>239.55755981174445</v>
      </c>
      <c r="R244" s="14">
        <f t="shared" si="156"/>
        <v>241.74598568229044</v>
      </c>
      <c r="S244" s="14">
        <f t="shared" si="156"/>
        <v>248.18783029131964</v>
      </c>
      <c r="T244" s="14">
        <f t="shared" si="156"/>
        <v>243.61573599567748</v>
      </c>
      <c r="U244" s="14">
        <f t="shared" si="156"/>
        <v>247.92560993253551</v>
      </c>
      <c r="V244" s="14">
        <f t="shared" si="156"/>
        <v>236.80030806172078</v>
      </c>
      <c r="W244" s="14">
        <f t="shared" si="156"/>
        <v>240.93127061070129</v>
      </c>
      <c r="X244" s="187">
        <f t="shared" si="156"/>
        <v>254.95236269797454</v>
      </c>
      <c r="Y244" s="158">
        <f t="shared" si="156"/>
        <v>269.75275710465689</v>
      </c>
      <c r="Z244" s="158">
        <f t="shared" si="156"/>
        <v>287.45640007679867</v>
      </c>
      <c r="AA244" s="158">
        <f t="shared" si="156"/>
        <v>306.34670471668414</v>
      </c>
      <c r="AB244" s="158">
        <f t="shared" si="156"/>
        <v>321.69670556362871</v>
      </c>
      <c r="AC244" s="158">
        <f t="shared" si="156"/>
        <v>331.75468770611633</v>
      </c>
      <c r="AD244" s="158">
        <f t="shared" si="156"/>
        <v>346.40080919732293</v>
      </c>
      <c r="AE244" s="158">
        <f t="shared" si="156"/>
        <v>345.24031740920373</v>
      </c>
      <c r="AF244" s="158">
        <f t="shared" si="156"/>
        <v>369.31345441571352</v>
      </c>
      <c r="AG244" s="158">
        <f t="shared" si="156"/>
        <v>379.89365519974172</v>
      </c>
      <c r="AH244" s="187">
        <f t="shared" si="156"/>
        <v>382.96252987970115</v>
      </c>
    </row>
    <row r="245" spans="1:34">
      <c r="A245" t="s">
        <v>445</v>
      </c>
      <c r="D245" s="331">
        <f>D231+D234+D237</f>
        <v>-160.3133649005502</v>
      </c>
      <c r="E245" s="331">
        <f t="shared" ref="E245:N245" si="157">E231+E234+E237</f>
        <v>172.21383946525231</v>
      </c>
      <c r="F245" s="331">
        <f t="shared" si="157"/>
        <v>80.619117107802822</v>
      </c>
      <c r="G245" s="331">
        <f t="shared" si="157"/>
        <v>186.35143754407591</v>
      </c>
      <c r="H245" s="402">
        <f t="shared" si="157"/>
        <v>-2.7000000000043656E-4</v>
      </c>
      <c r="I245" s="14">
        <f t="shared" si="157"/>
        <v>176.72750256311235</v>
      </c>
      <c r="J245" s="14">
        <f t="shared" si="157"/>
        <v>119.98000037890756</v>
      </c>
      <c r="K245" s="14">
        <f t="shared" si="157"/>
        <v>140.21307087894502</v>
      </c>
      <c r="L245" s="14">
        <f t="shared" si="157"/>
        <v>196.69199805927974</v>
      </c>
      <c r="M245" s="14">
        <f t="shared" si="157"/>
        <v>222.59246553178912</v>
      </c>
      <c r="N245" s="187">
        <f t="shared" si="157"/>
        <v>262.88392555781775</v>
      </c>
      <c r="O245" s="14">
        <f>O231+O234+O237</f>
        <v>239.17469356314155</v>
      </c>
      <c r="P245" s="14">
        <f t="shared" ref="P245:AH245" si="158">P231+P234+P237</f>
        <v>217.56900132666124</v>
      </c>
      <c r="Q245" s="14">
        <f t="shared" si="158"/>
        <v>195.69223532370518</v>
      </c>
      <c r="R245" s="14">
        <f t="shared" si="158"/>
        <v>195.03276397156947</v>
      </c>
      <c r="S245" s="14">
        <f t="shared" si="158"/>
        <v>202.30819359817951</v>
      </c>
      <c r="T245" s="14">
        <f t="shared" si="158"/>
        <v>177.80452972959904</v>
      </c>
      <c r="U245" s="14">
        <f t="shared" si="158"/>
        <v>219.40356389441263</v>
      </c>
      <c r="V245" s="14">
        <f t="shared" si="158"/>
        <v>238.04664845530158</v>
      </c>
      <c r="W245" s="14">
        <f t="shared" si="158"/>
        <v>222.5806376045781</v>
      </c>
      <c r="X245" s="187">
        <f t="shared" si="158"/>
        <v>253.52092667915997</v>
      </c>
      <c r="Y245" s="158">
        <f t="shared" si="158"/>
        <v>277.13191080482306</v>
      </c>
      <c r="Z245" s="158">
        <f t="shared" si="158"/>
        <v>291.53262756217464</v>
      </c>
      <c r="AA245" s="158">
        <f t="shared" si="158"/>
        <v>330.193706843163</v>
      </c>
      <c r="AB245" s="158">
        <f t="shared" si="158"/>
        <v>353.01239294625202</v>
      </c>
      <c r="AC245" s="158">
        <f t="shared" si="158"/>
        <v>349.03731298731418</v>
      </c>
      <c r="AD245" s="158">
        <f t="shared" si="158"/>
        <v>386.28535048423248</v>
      </c>
      <c r="AE245" s="158">
        <f t="shared" si="158"/>
        <v>384.41510898407569</v>
      </c>
      <c r="AF245" s="158">
        <f t="shared" si="158"/>
        <v>401.54896536612409</v>
      </c>
      <c r="AG245" s="158">
        <f t="shared" si="158"/>
        <v>402.15049698859684</v>
      </c>
      <c r="AH245" s="187">
        <f t="shared" si="158"/>
        <v>381.41277680651433</v>
      </c>
    </row>
    <row r="246" spans="1:34" s="1" customFormat="1">
      <c r="A246" s="1" t="s">
        <v>448</v>
      </c>
      <c r="B246" s="13"/>
      <c r="C246" s="328"/>
      <c r="D246" s="341">
        <f>D243</f>
        <v>-11.69944974311511</v>
      </c>
      <c r="E246" s="341">
        <f>D246+E243</f>
        <v>83.419960208546399</v>
      </c>
      <c r="F246" s="341">
        <f>E246+F243</f>
        <v>191.2895992781032</v>
      </c>
      <c r="G246" s="341">
        <f>F246+G243</f>
        <v>379.75550464995013</v>
      </c>
      <c r="H246" s="405"/>
      <c r="I246" s="15">
        <f t="shared" ref="I246:X246" si="159">H246+I243</f>
        <v>167.94036875630536</v>
      </c>
      <c r="J246" s="15">
        <f t="shared" si="159"/>
        <v>363.4186759291506</v>
      </c>
      <c r="K246" s="15">
        <f t="shared" si="159"/>
        <v>567.31115275413504</v>
      </c>
      <c r="L246" s="15">
        <f t="shared" si="159"/>
        <v>800.40993441672617</v>
      </c>
      <c r="M246" s="15">
        <f t="shared" si="159"/>
        <v>1056.4504432367712</v>
      </c>
      <c r="N246" s="190">
        <f t="shared" si="159"/>
        <v>1344.5988735643768</v>
      </c>
      <c r="O246" s="15">
        <f t="shared" si="159"/>
        <v>1618.867514085382</v>
      </c>
      <c r="P246" s="15">
        <f t="shared" si="159"/>
        <v>1888.758473628247</v>
      </c>
      <c r="Q246" s="15">
        <f t="shared" si="159"/>
        <v>2153.4793985936885</v>
      </c>
      <c r="R246" s="15">
        <f t="shared" si="159"/>
        <v>2419.9130512437214</v>
      </c>
      <c r="S246" s="15">
        <f t="shared" si="159"/>
        <v>2691.2094399610414</v>
      </c>
      <c r="T246" s="15">
        <f t="shared" si="159"/>
        <v>2958.5115524344001</v>
      </c>
      <c r="U246" s="15">
        <f t="shared" si="159"/>
        <v>3236.3617836832609</v>
      </c>
      <c r="V246" s="15">
        <f t="shared" si="159"/>
        <v>3518.117764130071</v>
      </c>
      <c r="W246" s="15">
        <f t="shared" si="159"/>
        <v>3803.3139324223393</v>
      </c>
      <c r="X246" s="190">
        <f t="shared" si="159"/>
        <v>4101.9573515945503</v>
      </c>
      <c r="Y246" s="130">
        <f t="shared" ref="Y246:AH246" si="160">X246+Y243</f>
        <v>4411.8428420125629</v>
      </c>
      <c r="Z246" s="130">
        <f t="shared" si="160"/>
        <v>4732.0515242137244</v>
      </c>
      <c r="AA246" s="130">
        <f t="shared" si="160"/>
        <v>5069.9829093512235</v>
      </c>
      <c r="AB246" s="130">
        <f t="shared" si="160"/>
        <v>5422.1901314079605</v>
      </c>
      <c r="AC246" s="130">
        <f t="shared" si="160"/>
        <v>5779.8726752998018</v>
      </c>
      <c r="AD246" s="130">
        <f t="shared" si="160"/>
        <v>6161.5300775918377</v>
      </c>
      <c r="AE246" s="130">
        <f t="shared" si="160"/>
        <v>6552.0783615757146</v>
      </c>
      <c r="AF246" s="130">
        <f t="shared" si="160"/>
        <v>6956.839652952126</v>
      </c>
      <c r="AG246" s="130">
        <f t="shared" si="160"/>
        <v>7368.999953935524</v>
      </c>
      <c r="AH246" s="190">
        <f t="shared" si="160"/>
        <v>7783.3251364596335</v>
      </c>
    </row>
    <row r="247" spans="1:34">
      <c r="A247" t="s">
        <v>457</v>
      </c>
      <c r="D247" s="343" t="b">
        <f t="shared" ref="D247:AH247" si="161">IF(D185-D246&lt;1,TRUE,FALSE)</f>
        <v>1</v>
      </c>
      <c r="E247" s="343" t="b">
        <f t="shared" si="161"/>
        <v>1</v>
      </c>
      <c r="F247" s="343" t="b">
        <f t="shared" si="161"/>
        <v>1</v>
      </c>
      <c r="G247" s="343" t="b">
        <f t="shared" si="161"/>
        <v>1</v>
      </c>
      <c r="H247" s="408"/>
      <c r="I247" s="133" t="b">
        <f t="shared" si="161"/>
        <v>0</v>
      </c>
      <c r="J247" s="133" t="b">
        <f t="shared" si="161"/>
        <v>0</v>
      </c>
      <c r="K247" s="133" t="b">
        <f t="shared" si="161"/>
        <v>0</v>
      </c>
      <c r="L247" s="133" t="b">
        <f t="shared" si="161"/>
        <v>0</v>
      </c>
      <c r="M247" s="133" t="b">
        <f t="shared" si="161"/>
        <v>0</v>
      </c>
      <c r="N247" s="194" t="b">
        <f t="shared" si="161"/>
        <v>0</v>
      </c>
      <c r="O247" s="133" t="b">
        <f t="shared" si="161"/>
        <v>0</v>
      </c>
      <c r="P247" s="133" t="b">
        <f t="shared" si="161"/>
        <v>0</v>
      </c>
      <c r="Q247" s="133" t="b">
        <f t="shared" si="161"/>
        <v>0</v>
      </c>
      <c r="R247" s="133" t="b">
        <f t="shared" si="161"/>
        <v>0</v>
      </c>
      <c r="S247" s="133" t="b">
        <f t="shared" si="161"/>
        <v>0</v>
      </c>
      <c r="T247" s="133" t="b">
        <f t="shared" si="161"/>
        <v>0</v>
      </c>
      <c r="U247" s="133" t="b">
        <f t="shared" si="161"/>
        <v>0</v>
      </c>
      <c r="V247" s="133" t="b">
        <f t="shared" si="161"/>
        <v>0</v>
      </c>
      <c r="W247" s="133" t="b">
        <f t="shared" si="161"/>
        <v>0</v>
      </c>
      <c r="X247" s="194" t="b">
        <f t="shared" si="161"/>
        <v>0</v>
      </c>
      <c r="Y247" s="290" t="b">
        <f t="shared" si="161"/>
        <v>0</v>
      </c>
      <c r="Z247" s="290" t="b">
        <f t="shared" si="161"/>
        <v>0</v>
      </c>
      <c r="AA247" s="290" t="b">
        <f t="shared" si="161"/>
        <v>0</v>
      </c>
      <c r="AB247" s="290" t="b">
        <f t="shared" si="161"/>
        <v>0</v>
      </c>
      <c r="AC247" s="290" t="b">
        <f t="shared" si="161"/>
        <v>0</v>
      </c>
      <c r="AD247" s="290" t="b">
        <f t="shared" si="161"/>
        <v>0</v>
      </c>
      <c r="AE247" s="290" t="b">
        <f t="shared" si="161"/>
        <v>0</v>
      </c>
      <c r="AF247" s="290" t="b">
        <f t="shared" si="161"/>
        <v>0</v>
      </c>
      <c r="AG247" s="290" t="b">
        <f t="shared" si="161"/>
        <v>0</v>
      </c>
      <c r="AH247" s="194" t="b">
        <f t="shared" si="161"/>
        <v>0</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W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20164</v>
      </c>
      <c r="D4" s="329">
        <f>EIA_electricity_aeo2014!F58 * 1000</f>
        <v>22197</v>
      </c>
      <c r="E4" s="329">
        <f>EIA_electricity_aeo2014!G58 * 1000</f>
        <v>21012.820686356619</v>
      </c>
      <c r="F4" s="329">
        <f>EIA_electricity_aeo2014!H58 * 1000</f>
        <v>20693.111462371187</v>
      </c>
      <c r="G4" s="329">
        <f>EIA_electricity_aeo2014!I58 * 1000</f>
        <v>20277.545399427716</v>
      </c>
      <c r="H4" s="21">
        <f>EIA_electricity_aeo2014!J58 * 1000</f>
        <v>20638.933947049623</v>
      </c>
      <c r="I4" s="21">
        <f>EIA_electricity_aeo2014!K58 * 1000</f>
        <v>20236.874570622258</v>
      </c>
      <c r="J4" s="21">
        <f>EIA_electricity_aeo2014!L58 * 1000</f>
        <v>20453.548206560037</v>
      </c>
      <c r="K4" s="21">
        <f>EIA_electricity_aeo2014!M58 * 1000</f>
        <v>20975.245251175984</v>
      </c>
      <c r="L4" s="21">
        <f>EIA_electricity_aeo2014!N58 * 1000</f>
        <v>21403.957894781903</v>
      </c>
      <c r="M4" s="21">
        <f>EIA_electricity_aeo2014!O58 * 1000</f>
        <v>21567.271409847403</v>
      </c>
      <c r="N4" s="388">
        <f>EIA_electricity_aeo2014!P58 * 1000</f>
        <v>21481.605171242038</v>
      </c>
      <c r="O4" s="21">
        <f>EIA_electricity_aeo2014!Q58 * 1000</f>
        <v>21493.082188513541</v>
      </c>
      <c r="P4" s="21">
        <f>EIA_electricity_aeo2014!R58 * 1000</f>
        <v>21314.769503171687</v>
      </c>
      <c r="Q4" s="21">
        <f>EIA_electricity_aeo2014!S58 * 1000</f>
        <v>21243.625188077847</v>
      </c>
      <c r="R4" s="21">
        <f>EIA_electricity_aeo2014!T58 * 1000</f>
        <v>21207.87628934547</v>
      </c>
      <c r="S4" s="21">
        <f>EIA_electricity_aeo2014!U58 * 1000</f>
        <v>21201.928149688927</v>
      </c>
      <c r="T4" s="21">
        <f>EIA_electricity_aeo2014!V58 * 1000</f>
        <v>21028.266062633695</v>
      </c>
      <c r="U4" s="21">
        <f>EIA_electricity_aeo2014!W58 * 1000</f>
        <v>21339.677479536836</v>
      </c>
      <c r="V4" s="21">
        <f>EIA_electricity_aeo2014!X58 * 1000</f>
        <v>21590.000136630122</v>
      </c>
      <c r="W4" s="21">
        <f>EIA_electricity_aeo2014!Y58 * 1000</f>
        <v>21419.111862149537</v>
      </c>
      <c r="X4" s="388">
        <f>EIA_electricity_aeo2014!Z58 * 1000</f>
        <v>21542.668074054218</v>
      </c>
      <c r="Y4" s="21">
        <f>EIA_electricity_aeo2014!AA58 * 1000</f>
        <v>21648.706740885347</v>
      </c>
      <c r="Z4" s="21">
        <f>EIA_electricity_aeo2014!AB58 * 1000</f>
        <v>21657.163343982196</v>
      </c>
      <c r="AA4" s="21">
        <f>EIA_electricity_aeo2014!AC58 * 1000</f>
        <v>21852.475224465663</v>
      </c>
      <c r="AB4" s="21">
        <f>EIA_electricity_aeo2014!AD58 * 1000</f>
        <v>21948.653093305817</v>
      </c>
      <c r="AC4" s="21">
        <f>EIA_electricity_aeo2014!AE58 * 1000</f>
        <v>21870.471584524901</v>
      </c>
      <c r="AD4" s="21">
        <f>EIA_electricity_aeo2014!AF58 * 1000</f>
        <v>22106.886536681293</v>
      </c>
      <c r="AE4" s="21">
        <f>EIA_electricity_aeo2014!AG58 * 1000</f>
        <v>22137.297976453254</v>
      </c>
      <c r="AF4" s="21">
        <f>EIA_electricity_aeo2014!AH58 * 1000</f>
        <v>22116.952316135492</v>
      </c>
      <c r="AG4" s="21">
        <f>EIA_electricity_aeo2014!AI58 * 1000</f>
        <v>22071.685400783706</v>
      </c>
      <c r="AH4" s="21">
        <f>EIA_electricity_aeo2014!AJ58 * 1000</f>
        <v>21913.01709145827</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1679.99</v>
      </c>
      <c r="D7" s="330">
        <f>EIA_RE_aeo2014!F73*1000-D15</f>
        <v>1477.99</v>
      </c>
      <c r="E7" s="330">
        <f>EIA_RE_aeo2014!G73*1000-E15</f>
        <v>1561.2476379040936</v>
      </c>
      <c r="F7" s="330">
        <f>EIA_RE_aeo2014!H73*1000-F15</f>
        <v>1315.8706546842634</v>
      </c>
      <c r="G7" s="330">
        <f>EIA_RE_aeo2014!I73*1000-G15</f>
        <v>1275.7897196811091</v>
      </c>
      <c r="H7" s="174">
        <f>EIA_RE_aeo2014!J73*1000-H15</f>
        <v>1297.2679701516461</v>
      </c>
      <c r="I7" s="174">
        <f>EIA_RE_aeo2014!K73*1000-I15</f>
        <v>1322.890707496003</v>
      </c>
      <c r="J7" s="174">
        <f>EIA_RE_aeo2014!L73*1000-J15</f>
        <v>1348.6348897715927</v>
      </c>
      <c r="K7" s="174">
        <f>EIA_RE_aeo2014!M73*1000-K15</f>
        <v>1362.4790761457145</v>
      </c>
      <c r="L7" s="174">
        <f>EIA_RE_aeo2014!N73*1000-L15</f>
        <v>1362.4796119321757</v>
      </c>
      <c r="M7" s="174">
        <f>EIA_RE_aeo2014!O73*1000-M15</f>
        <v>1362.479790527663</v>
      </c>
      <c r="N7" s="184">
        <f>EIA_RE_aeo2014!P73*1000-N15</f>
        <v>1362.4790761457145</v>
      </c>
      <c r="O7" s="174">
        <f>EIA_RE_aeo2014!Q73*1000-O15</f>
        <v>1362.4790761457145</v>
      </c>
      <c r="P7" s="174">
        <f>EIA_RE_aeo2014!R73*1000-P15</f>
        <v>1362.4794333366885</v>
      </c>
      <c r="Q7" s="174">
        <f>EIA_RE_aeo2014!S73*1000-Q15</f>
        <v>1429.9381635360064</v>
      </c>
      <c r="R7" s="174">
        <f>EIA_RE_aeo2014!T73*1000-R15</f>
        <v>1429.9379849405193</v>
      </c>
      <c r="S7" s="83">
        <f>EIA_RE_aeo2014!U73*1000-S15</f>
        <v>1429.9395922999033</v>
      </c>
      <c r="T7" s="83">
        <f>EIA_RE_aeo2014!V73*1000-T15</f>
        <v>1429.942628423184</v>
      </c>
      <c r="U7" s="83">
        <f>EIA_RE_aeo2014!W73*1000-U15</f>
        <v>1439.9245087931163</v>
      </c>
      <c r="V7" s="83">
        <f>EIA_RE_aeo2014!X73*1000-V15</f>
        <v>1449.888886805312</v>
      </c>
      <c r="W7" s="83">
        <f>EIA_RE_aeo2014!Y73*1000-W15</f>
        <v>1449.8904941646961</v>
      </c>
      <c r="X7" s="184">
        <f>EIA_RE_aeo2014!Z73*1000-X15</f>
        <v>1449.8903155692087</v>
      </c>
      <c r="Y7" s="174">
        <f>EIA_RE_aeo2014!AA73*1000-Y15</f>
        <v>1449.8904941646961</v>
      </c>
      <c r="Z7" s="174">
        <f>EIA_RE_aeo2014!AB73*1000-Z15</f>
        <v>1449.8908513556701</v>
      </c>
      <c r="AA7" s="174">
        <f>EIA_RE_aeo2014!AC73*1000-AA15</f>
        <v>1449.8887082098249</v>
      </c>
      <c r="AB7" s="174">
        <f>EIA_RE_aeo2014!AD73*1000-AB15</f>
        <v>1449.8887082098249</v>
      </c>
      <c r="AC7" s="174">
        <f>EIA_RE_aeo2014!AE73*1000-AC15</f>
        <v>1449.8887082098249</v>
      </c>
      <c r="AD7" s="174">
        <f>EIA_RE_aeo2014!AF73*1000-AD15</f>
        <v>1457.1136100452768</v>
      </c>
      <c r="AE7" s="174">
        <f>EIA_RE_aeo2014!AG73*1000-AE15</f>
        <v>1457.1136100452768</v>
      </c>
      <c r="AF7" s="174">
        <f>EIA_RE_aeo2014!AH73*1000-AF15</f>
        <v>1457.1136100452768</v>
      </c>
      <c r="AG7" s="174">
        <f>EIA_RE_aeo2014!AI73*1000-AG15</f>
        <v>1457.1136100452768</v>
      </c>
      <c r="AH7" s="174">
        <f>EIA_RE_aeo2014!AJ73*1000-AH15</f>
        <v>1457.1153960001479</v>
      </c>
    </row>
    <row r="8" spans="1:34">
      <c r="A8" s="9" t="s">
        <v>59</v>
      </c>
      <c r="B8" s="34">
        <v>0</v>
      </c>
      <c r="C8" s="330">
        <f>EIA_electricity_aeo2014!E52*1000</f>
        <v>8817</v>
      </c>
      <c r="D8" s="330">
        <f>EIA_electricity_aeo2014!F52*1000</f>
        <v>10910</v>
      </c>
      <c r="E8" s="330">
        <f>EIA_electricity_aeo2014!G52*1000</f>
        <v>9163.4643942732637</v>
      </c>
      <c r="F8" s="330">
        <f>EIA_electricity_aeo2014!H52*1000</f>
        <v>9653.4048821174547</v>
      </c>
      <c r="G8" s="330">
        <f>EIA_electricity_aeo2014!I52*1000</f>
        <v>9346.0456752768314</v>
      </c>
      <c r="H8" s="3">
        <f>EIA_electricity_aeo2014!J52*1000</f>
        <v>9386.7307824327054</v>
      </c>
      <c r="I8" s="3">
        <f>EIA_electricity_aeo2014!K52*1000</f>
        <v>8343.6111325269085</v>
      </c>
      <c r="J8" s="3">
        <f>EIA_electricity_aeo2014!L52*1000</f>
        <v>8435.4660198207457</v>
      </c>
      <c r="K8" s="3">
        <f>EIA_electricity_aeo2014!M52*1000</f>
        <v>8455.8791376587978</v>
      </c>
      <c r="L8" s="3">
        <f>EIA_electricity_aeo2014!N52*1000</f>
        <v>8476.3042834957323</v>
      </c>
      <c r="M8" s="3">
        <f>EIA_electricity_aeo2014!O52*1000</f>
        <v>8496.7385171540463</v>
      </c>
      <c r="N8" s="388">
        <f>EIA_electricity_aeo2014!P52*1000</f>
        <v>8502.5835900335751</v>
      </c>
      <c r="O8" s="3">
        <f>EIA_electricity_aeo2014!Q52*1000</f>
        <v>8502.584124611305</v>
      </c>
      <c r="P8" s="3">
        <f>EIA_electricity_aeo2014!R52*1000</f>
        <v>8502.584124611305</v>
      </c>
      <c r="Q8" s="3">
        <f>EIA_electricity_aeo2014!S52*1000</f>
        <v>8502.5835900335751</v>
      </c>
      <c r="R8" s="3">
        <f>EIA_electricity_aeo2014!T52*1000</f>
        <v>8502.5835900335751</v>
      </c>
      <c r="S8" s="3">
        <f>EIA_electricity_aeo2014!U52*1000</f>
        <v>8502.5835900335751</v>
      </c>
      <c r="T8" s="3">
        <f>EIA_electricity_aeo2014!V52*1000</f>
        <v>8502.5835900335751</v>
      </c>
      <c r="U8" s="3">
        <f>EIA_electricity_aeo2014!W52*1000</f>
        <v>8502.584124611305</v>
      </c>
      <c r="V8" s="3">
        <f>EIA_electricity_aeo2014!X52*1000</f>
        <v>8502.5835900335751</v>
      </c>
      <c r="W8" s="3">
        <f>EIA_electricity_aeo2014!Y52*1000</f>
        <v>8502.5835900335751</v>
      </c>
      <c r="X8" s="184">
        <f>EIA_electricity_aeo2014!Z52*1000</f>
        <v>8502.5835900335751</v>
      </c>
      <c r="Y8" s="174">
        <f>EIA_electricity_aeo2014!AA52*1000</f>
        <v>8502.5835900335751</v>
      </c>
      <c r="Z8" s="174">
        <f>EIA_electricity_aeo2014!AB52*1000</f>
        <v>8502.5835900335751</v>
      </c>
      <c r="AA8" s="174">
        <f>EIA_electricity_aeo2014!AC52*1000</f>
        <v>8502.5835900335751</v>
      </c>
      <c r="AB8" s="174">
        <f>EIA_electricity_aeo2014!AD52*1000</f>
        <v>8502.5835900335751</v>
      </c>
      <c r="AC8" s="174">
        <f>EIA_electricity_aeo2014!AE52*1000</f>
        <v>8502.5835900335751</v>
      </c>
      <c r="AD8" s="174">
        <f>EIA_electricity_aeo2014!AF52*1000</f>
        <v>8502.5835900335751</v>
      </c>
      <c r="AE8" s="174">
        <f>EIA_electricity_aeo2014!AG52*1000</f>
        <v>8502.584124611305</v>
      </c>
      <c r="AF8" s="174">
        <f>EIA_electricity_aeo2014!AH52*1000</f>
        <v>8502.584124611305</v>
      </c>
      <c r="AG8" s="174">
        <f>EIA_electricity_aeo2014!AI52*1000</f>
        <v>8502.5835900335751</v>
      </c>
      <c r="AH8" s="174">
        <f>EIA_electricity_aeo2014!AJ52*1000</f>
        <v>8502.5835900335751</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984</v>
      </c>
      <c r="D10" s="330">
        <f>EIA_RE_aeo2014!F76*1000</f>
        <v>1030</v>
      </c>
      <c r="E10" s="330">
        <f>EIA_RE_aeo2014!G76*1000</f>
        <v>886.48041604001412</v>
      </c>
      <c r="F10" s="330">
        <f>EIA_RE_aeo2014!H76*1000</f>
        <v>898.34597872964446</v>
      </c>
      <c r="G10" s="330">
        <f>EIA_RE_aeo2014!I76*1000</f>
        <v>746.36707389667174</v>
      </c>
      <c r="H10" s="83">
        <f>EIA_RE_aeo2014!J76*1000</f>
        <v>772.71461895407333</v>
      </c>
      <c r="I10" s="174">
        <f>EIA_RE_aeo2014!K76*1000</f>
        <v>821.77275914447273</v>
      </c>
      <c r="J10" s="174">
        <f>EIA_RE_aeo2014!L76*1000</f>
        <v>1051.5875275579497</v>
      </c>
      <c r="K10" s="174">
        <f>EIA_RE_aeo2014!M76*1000</f>
        <v>1075.6544298095191</v>
      </c>
      <c r="L10" s="174">
        <f>EIA_RE_aeo2014!N76*1000</f>
        <v>1096.1529117191324</v>
      </c>
      <c r="M10" s="174">
        <f>EIA_RE_aeo2014!O76*1000</f>
        <v>1126.1034131349745</v>
      </c>
      <c r="N10" s="184">
        <f>EIA_RE_aeo2014!P76*1000</f>
        <v>1155.1286747793552</v>
      </c>
      <c r="O10" s="174">
        <f>EIA_RE_aeo2014!Q76*1000</f>
        <v>1244.4140415001184</v>
      </c>
      <c r="P10" s="174">
        <f>EIA_RE_aeo2014!R76*1000</f>
        <v>1248.5350381058199</v>
      </c>
      <c r="Q10" s="174">
        <f>EIA_RE_aeo2014!S76*1000</f>
        <v>1250.0721620646227</v>
      </c>
      <c r="R10" s="174">
        <f>EIA_RE_aeo2014!T76*1000</f>
        <v>1261.3592916823548</v>
      </c>
      <c r="S10" s="83">
        <f>EIA_RE_aeo2014!U76*1000</f>
        <v>1265.8576530336184</v>
      </c>
      <c r="T10" s="83">
        <f>EIA_RE_aeo2014!V76*1000</f>
        <v>1276.6312628250944</v>
      </c>
      <c r="U10" s="83">
        <f>EIA_RE_aeo2014!W76*1000</f>
        <v>1322.7746355509721</v>
      </c>
      <c r="V10" s="83">
        <f>EIA_RE_aeo2014!X76*1000</f>
        <v>1394.3086706157499</v>
      </c>
      <c r="W10" s="83">
        <f>EIA_RE_aeo2014!Y76*1000</f>
        <v>1377.8966492953543</v>
      </c>
      <c r="X10" s="184">
        <f>EIA_RE_aeo2014!Z76*1000</f>
        <v>1378.0149035088652</v>
      </c>
      <c r="Y10" s="174">
        <f>EIA_RE_aeo2014!AA76*1000</f>
        <v>1394.192224570641</v>
      </c>
      <c r="Z10" s="174">
        <f>EIA_RE_aeo2014!AB76*1000</f>
        <v>1392.3374054235528</v>
      </c>
      <c r="AA10" s="174">
        <f>EIA_RE_aeo2014!AC76*1000</f>
        <v>1405.3153533142838</v>
      </c>
      <c r="AB10" s="174">
        <f>EIA_RE_aeo2014!AD76*1000</f>
        <v>1414.0028792200162</v>
      </c>
      <c r="AC10" s="174">
        <f>EIA_RE_aeo2014!AE76*1000</f>
        <v>1419.5582958192697</v>
      </c>
      <c r="AD10" s="174">
        <f>EIA_RE_aeo2014!AF76*1000</f>
        <v>1431.4963660618325</v>
      </c>
      <c r="AE10" s="174">
        <f>EIA_RE_aeo2014!AG76*1000</f>
        <v>1463.8023684553621</v>
      </c>
      <c r="AF10" s="174">
        <f>EIA_RE_aeo2014!AH76*1000</f>
        <v>1444.3441258275971</v>
      </c>
      <c r="AG10" s="174">
        <f>EIA_RE_aeo2014!AI76*1000</f>
        <v>1453.6419085691089</v>
      </c>
      <c r="AH10" s="174">
        <f>EIA_RE_aeo2014!AJ76*1000</f>
        <v>1463.4919059406857</v>
      </c>
    </row>
    <row r="11" spans="1:34" s="20" customFormat="1">
      <c r="A11" s="9" t="s">
        <v>50</v>
      </c>
      <c r="B11" s="35">
        <v>1</v>
      </c>
      <c r="C11" s="330">
        <f>EIA_RE_aeo2014!E74*1000</f>
        <v>0</v>
      </c>
      <c r="D11" s="330">
        <f>EIA_RE_aeo2014!F74*1000</f>
        <v>0</v>
      </c>
      <c r="E11" s="330">
        <f>EIA_RE_aeo2014!G74*1000</f>
        <v>1.0000000000000001E-7</v>
      </c>
      <c r="F11" s="330">
        <f>EIA_RE_aeo2014!H74*1000</f>
        <v>1.0000000000000001E-7</v>
      </c>
      <c r="G11" s="330">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8">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30">
        <f>EIA_RE_aeo2014!E75*1000</f>
        <v>151</v>
      </c>
      <c r="D12" s="330">
        <f>EIA_RE_aeo2014!F75*1000</f>
        <v>127</v>
      </c>
      <c r="E12" s="330">
        <f>EIA_RE_aeo2014!G75*1000</f>
        <v>149.79308473355502</v>
      </c>
      <c r="F12" s="330">
        <f>EIA_RE_aeo2014!H75*1000</f>
        <v>155.64524760749669</v>
      </c>
      <c r="G12" s="330">
        <f>EIA_RE_aeo2014!I75*1000</f>
        <v>174.44585916245728</v>
      </c>
      <c r="H12" s="83">
        <f>EIA_RE_aeo2014!J75*1000</f>
        <v>174.32834485343835</v>
      </c>
      <c r="I12" s="174">
        <f>EIA_RE_aeo2014!K75*1000</f>
        <v>174.31113096470312</v>
      </c>
      <c r="J12" s="174">
        <f>EIA_RE_aeo2014!L75*1000</f>
        <v>174.31380315681727</v>
      </c>
      <c r="K12" s="174">
        <f>EIA_RE_aeo2014!M75*1000</f>
        <v>174.31430030883851</v>
      </c>
      <c r="L12" s="174">
        <f>EIA_RE_aeo2014!N75*1000</f>
        <v>174.31728322096589</v>
      </c>
      <c r="M12" s="174">
        <f>EIA_RE_aeo2014!O75*1000</f>
        <v>174.31759394097918</v>
      </c>
      <c r="N12" s="184">
        <f>EIA_RE_aeo2014!P75*1000</f>
        <v>174.31597819691015</v>
      </c>
      <c r="O12" s="174">
        <f>EIA_RE_aeo2014!Q75*1000</f>
        <v>174.31479746085972</v>
      </c>
      <c r="P12" s="174">
        <f>EIA_RE_aeo2014!R75*1000</f>
        <v>174.31398958882522</v>
      </c>
      <c r="Q12" s="174">
        <f>EIA_RE_aeo2014!S75*1000</f>
        <v>174.3129331407801</v>
      </c>
      <c r="R12" s="174">
        <f>EIA_RE_aeo2014!T75*1000</f>
        <v>174.31181454873231</v>
      </c>
      <c r="S12" s="83">
        <f>EIA_RE_aeo2014!U75*1000</f>
        <v>174.80126071363622</v>
      </c>
      <c r="T12" s="83">
        <f>EIA_RE_aeo2014!V75*1000</f>
        <v>174.79952068156192</v>
      </c>
      <c r="U12" s="83">
        <f>EIA_RE_aeo2014!W75*1000</f>
        <v>174.30696731652532</v>
      </c>
      <c r="V12" s="83">
        <f>EIA_RE_aeo2014!X75*1000</f>
        <v>174.79628919342392</v>
      </c>
      <c r="W12" s="83">
        <f>EIA_RE_aeo2014!Y75*1000</f>
        <v>174.30286581235015</v>
      </c>
      <c r="X12" s="184">
        <f>EIA_RE_aeo2014!Z75*1000</f>
        <v>174.30125006828115</v>
      </c>
      <c r="Y12" s="174">
        <f>EIA_RE_aeo2014!AA75*1000</f>
        <v>174.79050980117708</v>
      </c>
      <c r="Z12" s="174">
        <f>EIA_RE_aeo2014!AB75*1000</f>
        <v>174.78852119309212</v>
      </c>
      <c r="AA12" s="174">
        <f>EIA_RE_aeo2014!AC75*1000</f>
        <v>174.78653258500719</v>
      </c>
      <c r="AB12" s="174">
        <f>EIA_RE_aeo2014!AD75*1000</f>
        <v>174.28962913978484</v>
      </c>
      <c r="AC12" s="174">
        <f>EIA_RE_aeo2014!AE75*1000</f>
        <v>174.28677051566271</v>
      </c>
      <c r="AD12" s="174">
        <f>EIA_RE_aeo2014!AF75*1000</f>
        <v>174.28167470744506</v>
      </c>
      <c r="AE12" s="174">
        <f>EIA_RE_aeo2014!AG75*1000</f>
        <v>174.27931323534423</v>
      </c>
      <c r="AF12" s="174">
        <f>EIA_RE_aeo2014!AH75*1000</f>
        <v>174.77702455260112</v>
      </c>
      <c r="AG12" s="174">
        <f>EIA_RE_aeo2014!AI75*1000</f>
        <v>174.27465243514519</v>
      </c>
      <c r="AH12" s="174">
        <f>EIA_RE_aeo2014!AJ75*1000</f>
        <v>174.27303669107616</v>
      </c>
    </row>
    <row r="13" spans="1:34">
      <c r="A13" s="9" t="s">
        <v>347</v>
      </c>
      <c r="B13" s="34">
        <v>1</v>
      </c>
      <c r="C13" s="330">
        <f>(EIA_RE_aeo2014!E34+EIA_RE_aeo2014!E54)*1000</f>
        <v>0</v>
      </c>
      <c r="D13" s="330">
        <f>(EIA_RE_aeo2014!F34+EIA_RE_aeo2014!F54)*1000</f>
        <v>8.8788000000000018</v>
      </c>
      <c r="E13" s="330">
        <f>(EIA_RE_aeo2014!G34+EIA_RE_aeo2014!G54)*1000</f>
        <v>16.910256549085297</v>
      </c>
      <c r="F13" s="330">
        <f>(EIA_RE_aeo2014!H34+EIA_RE_aeo2014!H54)*1000</f>
        <v>31.139667193556782</v>
      </c>
      <c r="G13" s="330">
        <f>(EIA_RE_aeo2014!I34+EIA_RE_aeo2014!I54)*1000</f>
        <v>40.65509079885544</v>
      </c>
      <c r="H13" s="83">
        <f>(EIA_RE_aeo2014!J34+EIA_RE_aeo2014!J54)*1000</f>
        <v>62.016801841148869</v>
      </c>
      <c r="I13" s="83">
        <f>(EIA_RE_aeo2014!K34+EIA_RE_aeo2014!K54)*1000</f>
        <v>60.810623711866782</v>
      </c>
      <c r="J13" s="83">
        <f>(EIA_RE_aeo2014!L34+EIA_RE_aeo2014!L54)*1000</f>
        <v>61.460644619680117</v>
      </c>
      <c r="K13" s="83">
        <f>(EIA_RE_aeo2014!M34+EIA_RE_aeo2014!M54)*1000</f>
        <v>63.025735753527961</v>
      </c>
      <c r="L13" s="83">
        <f>(EIA_RE_aeo2014!N34+EIA_RE_aeo2014!N54)*1000</f>
        <v>64.311873684345713</v>
      </c>
      <c r="M13" s="83">
        <f>(EIA_RE_aeo2014!O34+EIA_RE_aeo2014!O54)*1000</f>
        <v>64.801814229542217</v>
      </c>
      <c r="N13" s="388">
        <f>(EIA_RE_aeo2014!P34+EIA_RE_aeo2014!P54)*1000</f>
        <v>64.544815513726121</v>
      </c>
      <c r="O13" s="83">
        <f>(EIA_RE_aeo2014!Q34+EIA_RE_aeo2014!Q54)*1000</f>
        <v>64.579246565540615</v>
      </c>
      <c r="P13" s="83">
        <f>(EIA_RE_aeo2014!R34+EIA_RE_aeo2014!R54)*1000</f>
        <v>64.044308509515062</v>
      </c>
      <c r="Q13" s="83">
        <f>(EIA_RE_aeo2014!S34+EIA_RE_aeo2014!S54)*1000</f>
        <v>63.830875564233544</v>
      </c>
      <c r="R13" s="83">
        <f>(EIA_RE_aeo2014!T34+EIA_RE_aeo2014!T54)*1000</f>
        <v>63.723628868036414</v>
      </c>
      <c r="S13" s="83">
        <f>(EIA_RE_aeo2014!U34+EIA_RE_aeo2014!U54)*1000</f>
        <v>63.705784449066783</v>
      </c>
      <c r="T13" s="83">
        <f>(EIA_RE_aeo2014!V34+EIA_RE_aeo2014!V54)*1000</f>
        <v>63.184798187901087</v>
      </c>
      <c r="U13" s="83">
        <f>(EIA_RE_aeo2014!W34+EIA_RE_aeo2014!W54)*1000</f>
        <v>64.119032438610517</v>
      </c>
      <c r="V13" s="83">
        <f>(EIA_RE_aeo2014!X34+EIA_RE_aeo2014!X54)*1000</f>
        <v>64.87000040989038</v>
      </c>
      <c r="W13" s="83">
        <f>(EIA_RE_aeo2014!Y34+EIA_RE_aeo2014!Y54)*1000</f>
        <v>64.357335586448613</v>
      </c>
      <c r="X13" s="184">
        <f>(EIA_RE_aeo2014!Z34+EIA_RE_aeo2014!Z54)*1000</f>
        <v>64.728004222162667</v>
      </c>
      <c r="Y13" s="174">
        <f>(EIA_RE_aeo2014!AA34+EIA_RE_aeo2014!AA54)*1000</f>
        <v>65.046120222656043</v>
      </c>
      <c r="Z13" s="174">
        <f>(EIA_RE_aeo2014!AB34+EIA_RE_aeo2014!AB54)*1000</f>
        <v>65.071490031946595</v>
      </c>
      <c r="AA13" s="174">
        <f>(EIA_RE_aeo2014!AC34+EIA_RE_aeo2014!AC54)*1000</f>
        <v>65.657425673397</v>
      </c>
      <c r="AB13" s="174">
        <f>(EIA_RE_aeo2014!AD34+EIA_RE_aeo2014!AD54)*1000</f>
        <v>65.94595927991746</v>
      </c>
      <c r="AC13" s="174">
        <f>(EIA_RE_aeo2014!AE34+EIA_RE_aeo2014!AE54)*1000</f>
        <v>65.711414753574701</v>
      </c>
      <c r="AD13" s="174">
        <f>(EIA_RE_aeo2014!AF34+EIA_RE_aeo2014!AF54)*1000</f>
        <v>66.420659610043884</v>
      </c>
      <c r="AE13" s="174">
        <f>(EIA_RE_aeo2014!AG34+EIA_RE_aeo2014!AG54)*1000</f>
        <v>66.511893929359772</v>
      </c>
      <c r="AF13" s="174">
        <f>(EIA_RE_aeo2014!AH34+EIA_RE_aeo2014!AH54)*1000</f>
        <v>66.450856948406482</v>
      </c>
      <c r="AG13" s="174">
        <f>(EIA_RE_aeo2014!AI34+EIA_RE_aeo2014!AI54)*1000</f>
        <v>66.315056202351116</v>
      </c>
      <c r="AH13" s="174">
        <f>(EIA_RE_aeo2014!AJ34+EIA_RE_aeo2014!AJ54)*1000</f>
        <v>65.839051274374825</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62</v>
      </c>
      <c r="D16" s="330">
        <f>EIA_RE_aeo2014!F78*1000</f>
        <v>76</v>
      </c>
      <c r="E16" s="330">
        <f>EIA_RE_aeo2014!G78*1000</f>
        <v>61.302599617168539</v>
      </c>
      <c r="F16" s="330">
        <f>EIA_RE_aeo2014!H78*1000</f>
        <v>91.394219463648085</v>
      </c>
      <c r="G16" s="330">
        <f>EIA_RE_aeo2014!I78*1000</f>
        <v>151.79206640658279</v>
      </c>
      <c r="H16" s="3">
        <f>EIA_RE_aeo2014!J78*1000</f>
        <v>154.04203327760106</v>
      </c>
      <c r="I16" s="3">
        <f>EIA_RE_aeo2014!K78*1000</f>
        <v>380.78847592033702</v>
      </c>
      <c r="J16" s="3">
        <f>EIA_RE_aeo2014!L78*1000</f>
        <v>533.90326247850544</v>
      </c>
      <c r="K16" s="3">
        <f>EIA_RE_aeo2014!M78*1000</f>
        <v>533.89124222310227</v>
      </c>
      <c r="L16" s="3">
        <f>EIA_RE_aeo2014!N78*1000</f>
        <v>533.72640304812921</v>
      </c>
      <c r="M16" s="3">
        <f>EIA_RE_aeo2014!O78*1000</f>
        <v>533.75206031843413</v>
      </c>
      <c r="N16" s="388">
        <f>EIA_RE_aeo2014!P78*1000</f>
        <v>533.8636870177337</v>
      </c>
      <c r="O16" s="3">
        <f>EIA_RE_aeo2014!Q78*1000</f>
        <v>533.80808454975761</v>
      </c>
      <c r="P16" s="3">
        <f>EIA_RE_aeo2014!R78*1000</f>
        <v>533.77371083693811</v>
      </c>
      <c r="Q16" s="3">
        <f>EIA_RE_aeo2014!S78*1000</f>
        <v>533.94782880555567</v>
      </c>
      <c r="R16" s="3">
        <f>EIA_RE_aeo2014!T78*1000</f>
        <v>534.46350479174009</v>
      </c>
      <c r="S16" s="3">
        <f>EIA_RE_aeo2014!U78*1000</f>
        <v>534.13235027007772</v>
      </c>
      <c r="T16" s="3">
        <f>EIA_RE_aeo2014!V78*1000</f>
        <v>536.67080327077178</v>
      </c>
      <c r="U16" s="3">
        <f>EIA_RE_aeo2014!W78*1000</f>
        <v>538.56887892220993</v>
      </c>
      <c r="V16" s="3">
        <f>EIA_RE_aeo2014!X78*1000</f>
        <v>548.0955288272844</v>
      </c>
      <c r="W16" s="3">
        <f>EIA_RE_aeo2014!Y78*1000</f>
        <v>558.59694412227418</v>
      </c>
      <c r="X16" s="184">
        <f>EIA_RE_aeo2014!Z78*1000</f>
        <v>561.2411894292942</v>
      </c>
      <c r="Y16" s="174">
        <f>EIA_RE_aeo2014!AA78*1000</f>
        <v>561.59413505724297</v>
      </c>
      <c r="Z16" s="174">
        <f>EIA_RE_aeo2014!AB78*1000</f>
        <v>561.91151197622094</v>
      </c>
      <c r="AA16" s="174">
        <f>EIA_RE_aeo2014!AC78*1000</f>
        <v>570.16900567483958</v>
      </c>
      <c r="AB16" s="174">
        <f>EIA_RE_aeo2014!AD78*1000</f>
        <v>581.12473038895564</v>
      </c>
      <c r="AC16" s="174">
        <f>EIA_RE_aeo2014!AE78*1000</f>
        <v>585.0831199928291</v>
      </c>
      <c r="AD16" s="174">
        <f>EIA_RE_aeo2014!AF78*1000</f>
        <v>618.77505236117236</v>
      </c>
      <c r="AE16" s="174">
        <f>EIA_RE_aeo2014!AG78*1000</f>
        <v>644.04141833692654</v>
      </c>
      <c r="AF16" s="174">
        <f>EIA_RE_aeo2014!AH78*1000</f>
        <v>647.10145201066962</v>
      </c>
      <c r="AG16" s="174">
        <f>EIA_RE_aeo2014!AI78*1000</f>
        <v>653.74816119137449</v>
      </c>
      <c r="AH16" s="174">
        <f>EIA_RE_aeo2014!AJ78*1000</f>
        <v>663.39930157784659</v>
      </c>
    </row>
    <row r="17" spans="1:34">
      <c r="A17" s="11" t="s">
        <v>327</v>
      </c>
      <c r="B17" s="36"/>
      <c r="C17" s="330">
        <f t="shared" ref="C17:AH17" si="0">SUM(C7:C16)</f>
        <v>11694</v>
      </c>
      <c r="D17" s="330">
        <f t="shared" si="0"/>
        <v>13629.8788</v>
      </c>
      <c r="E17" s="330">
        <f t="shared" si="0"/>
        <v>11839.308389217184</v>
      </c>
      <c r="F17" s="330">
        <f t="shared" si="0"/>
        <v>12145.910649896066</v>
      </c>
      <c r="G17" s="330">
        <f t="shared" si="0"/>
        <v>11735.205485322507</v>
      </c>
      <c r="H17" s="3">
        <f t="shared" si="0"/>
        <v>11847.210551610615</v>
      </c>
      <c r="I17" s="3">
        <f t="shared" si="0"/>
        <v>11104.294829864291</v>
      </c>
      <c r="J17" s="3">
        <f t="shared" si="0"/>
        <v>11605.476147505291</v>
      </c>
      <c r="K17" s="3">
        <f t="shared" si="0"/>
        <v>11665.353921999504</v>
      </c>
      <c r="L17" s="3">
        <f t="shared" si="0"/>
        <v>11707.402367200484</v>
      </c>
      <c r="M17" s="3">
        <f t="shared" si="0"/>
        <v>11758.303189405642</v>
      </c>
      <c r="N17" s="388">
        <f t="shared" si="0"/>
        <v>11793.025821787016</v>
      </c>
      <c r="O17" s="3">
        <f t="shared" si="0"/>
        <v>11882.289370933298</v>
      </c>
      <c r="P17" s="3">
        <f t="shared" si="0"/>
        <v>11885.840605089094</v>
      </c>
      <c r="Q17" s="3">
        <f t="shared" si="0"/>
        <v>11954.795553244774</v>
      </c>
      <c r="R17" s="3">
        <f t="shared" si="0"/>
        <v>11966.489814964958</v>
      </c>
      <c r="S17" s="3">
        <f t="shared" si="0"/>
        <v>11971.130230899878</v>
      </c>
      <c r="T17" s="3">
        <f t="shared" si="0"/>
        <v>11983.922603522089</v>
      </c>
      <c r="U17" s="3">
        <f t="shared" si="0"/>
        <v>12042.388147732738</v>
      </c>
      <c r="V17" s="3">
        <f t="shared" si="0"/>
        <v>12134.652965985239</v>
      </c>
      <c r="W17" s="3">
        <f t="shared" si="0"/>
        <v>12127.737879114698</v>
      </c>
      <c r="X17" s="184">
        <f t="shared" si="0"/>
        <v>12130.869252931388</v>
      </c>
      <c r="Y17" s="174">
        <f t="shared" si="0"/>
        <v>12148.20707394999</v>
      </c>
      <c r="Z17" s="174">
        <f t="shared" si="0"/>
        <v>12146.693370114059</v>
      </c>
      <c r="AA17" s="174">
        <f t="shared" si="0"/>
        <v>12168.510615590927</v>
      </c>
      <c r="AB17" s="174">
        <f t="shared" si="0"/>
        <v>12187.945496372075</v>
      </c>
      <c r="AC17" s="174">
        <f t="shared" si="0"/>
        <v>12197.221899424736</v>
      </c>
      <c r="AD17" s="174">
        <f t="shared" si="0"/>
        <v>12250.780952919346</v>
      </c>
      <c r="AE17" s="174">
        <f t="shared" si="0"/>
        <v>12308.442728713577</v>
      </c>
      <c r="AF17" s="174">
        <f t="shared" si="0"/>
        <v>12292.481194095857</v>
      </c>
      <c r="AG17" s="174">
        <f t="shared" si="0"/>
        <v>12307.786978576834</v>
      </c>
      <c r="AH17" s="174">
        <f t="shared" si="0"/>
        <v>12326.812281617709</v>
      </c>
    </row>
    <row r="18" spans="1:34">
      <c r="A18" s="10" t="s">
        <v>126</v>
      </c>
      <c r="B18" s="37"/>
      <c r="C18" s="331">
        <f t="shared" ref="C18:AH18" si="1">SUMPRODUCT($B7:$B16,C7:C16)</f>
        <v>1197.01</v>
      </c>
      <c r="D18" s="331">
        <f t="shared" si="1"/>
        <v>1241.8887999999999</v>
      </c>
      <c r="E18" s="331">
        <f t="shared" si="1"/>
        <v>1114.5963570398226</v>
      </c>
      <c r="F18" s="331">
        <f t="shared" si="1"/>
        <v>1176.6351130943458</v>
      </c>
      <c r="G18" s="331">
        <f t="shared" si="1"/>
        <v>1113.3700903645672</v>
      </c>
      <c r="H18" s="14">
        <f t="shared" si="1"/>
        <v>1163.2117990262616</v>
      </c>
      <c r="I18" s="14">
        <f t="shared" si="1"/>
        <v>1437.7929898413795</v>
      </c>
      <c r="J18" s="14">
        <f t="shared" si="1"/>
        <v>1821.3752379129526</v>
      </c>
      <c r="K18" s="14">
        <f t="shared" si="1"/>
        <v>1846.9957081949879</v>
      </c>
      <c r="L18" s="14">
        <f t="shared" si="1"/>
        <v>1868.6184717725732</v>
      </c>
      <c r="M18" s="14">
        <f t="shared" si="1"/>
        <v>1899.08488172393</v>
      </c>
      <c r="N18" s="190">
        <f t="shared" si="1"/>
        <v>1927.9631556077252</v>
      </c>
      <c r="O18" s="14">
        <f t="shared" si="1"/>
        <v>2017.2261701762764</v>
      </c>
      <c r="P18" s="14">
        <f t="shared" si="1"/>
        <v>2020.7770471410984</v>
      </c>
      <c r="Q18" s="14">
        <f t="shared" si="1"/>
        <v>2022.2737996751921</v>
      </c>
      <c r="R18" s="14">
        <f t="shared" si="1"/>
        <v>2033.9682399908638</v>
      </c>
      <c r="S18" s="14">
        <f t="shared" si="1"/>
        <v>2038.607048566399</v>
      </c>
      <c r="T18" s="14">
        <f t="shared" si="1"/>
        <v>2051.396385065329</v>
      </c>
      <c r="U18" s="14">
        <f t="shared" si="1"/>
        <v>2099.8795143283178</v>
      </c>
      <c r="V18" s="14">
        <f t="shared" si="1"/>
        <v>2182.1804891463485</v>
      </c>
      <c r="W18" s="14">
        <f t="shared" si="1"/>
        <v>2175.2637949164273</v>
      </c>
      <c r="X18" s="187">
        <f t="shared" si="1"/>
        <v>2178.3953473286033</v>
      </c>
      <c r="Y18" s="14">
        <f t="shared" si="1"/>
        <v>2195.732989751717</v>
      </c>
      <c r="Z18" s="14">
        <f t="shared" si="1"/>
        <v>2194.218928724812</v>
      </c>
      <c r="AA18" s="14">
        <f t="shared" si="1"/>
        <v>2216.0383173475275</v>
      </c>
      <c r="AB18" s="14">
        <f t="shared" si="1"/>
        <v>2235.4731981286741</v>
      </c>
      <c r="AC18" s="14">
        <f t="shared" si="1"/>
        <v>2244.7496011813364</v>
      </c>
      <c r="AD18" s="14">
        <f t="shared" si="1"/>
        <v>2291.0837528404936</v>
      </c>
      <c r="AE18" s="14">
        <f t="shared" si="1"/>
        <v>2348.7449940569927</v>
      </c>
      <c r="AF18" s="14">
        <f t="shared" si="1"/>
        <v>2332.7834594392743</v>
      </c>
      <c r="AG18" s="14">
        <f t="shared" si="1"/>
        <v>2348.0897784979798</v>
      </c>
      <c r="AH18" s="14">
        <f t="shared" si="1"/>
        <v>2367.1132955839835</v>
      </c>
    </row>
    <row r="19" spans="1:34">
      <c r="A19" s="10" t="s">
        <v>112</v>
      </c>
      <c r="B19" s="37"/>
      <c r="C19" s="332">
        <f t="shared" ref="C19:AH19" si="2">C18/C4</f>
        <v>5.9363717516365801E-2</v>
      </c>
      <c r="D19" s="332">
        <f t="shared" si="2"/>
        <v>5.5948497544713247E-2</v>
      </c>
      <c r="E19" s="332">
        <f t="shared" si="2"/>
        <v>5.3043633392994075E-2</v>
      </c>
      <c r="F19" s="332">
        <f t="shared" si="2"/>
        <v>5.6861198241451756E-2</v>
      </c>
      <c r="G19" s="332">
        <f t="shared" si="2"/>
        <v>5.4906551480140654E-2</v>
      </c>
      <c r="H19" s="23">
        <f t="shared" si="2"/>
        <v>5.6360071794916762E-2</v>
      </c>
      <c r="I19" s="23">
        <f t="shared" si="2"/>
        <v>7.1048174204163636E-2</v>
      </c>
      <c r="J19" s="23">
        <f t="shared" si="2"/>
        <v>8.9049353174271512E-2</v>
      </c>
      <c r="K19" s="23">
        <f t="shared" si="2"/>
        <v>8.8055976751520243E-2</v>
      </c>
      <c r="L19" s="23">
        <f t="shared" si="2"/>
        <v>8.7302473727446733E-2</v>
      </c>
      <c r="M19" s="23">
        <f t="shared" si="2"/>
        <v>8.8054016923848177E-2</v>
      </c>
      <c r="N19" s="183">
        <f t="shared" si="2"/>
        <v>8.9749492192917585E-2</v>
      </c>
      <c r="O19" s="23">
        <f t="shared" si="2"/>
        <v>9.3854671586113145E-2</v>
      </c>
      <c r="P19" s="23">
        <f t="shared" si="2"/>
        <v>9.4806422693916634E-2</v>
      </c>
      <c r="Q19" s="23">
        <f t="shared" si="2"/>
        <v>9.5194383339530675E-2</v>
      </c>
      <c r="R19" s="23">
        <f t="shared" si="2"/>
        <v>9.5906266720949332E-2</v>
      </c>
      <c r="S19" s="23">
        <f t="shared" si="2"/>
        <v>9.6151964772897752E-2</v>
      </c>
      <c r="T19" s="23">
        <f t="shared" si="2"/>
        <v>9.7554233856236502E-2</v>
      </c>
      <c r="U19" s="23">
        <f t="shared" si="2"/>
        <v>9.8402589089827908E-2</v>
      </c>
      <c r="V19" s="23">
        <f t="shared" si="2"/>
        <v>0.10107366722263275</v>
      </c>
      <c r="W19" s="23">
        <f t="shared" si="2"/>
        <v>0.10155714246772352</v>
      </c>
      <c r="X19" s="185">
        <f t="shared" si="2"/>
        <v>0.1011200348926251</v>
      </c>
      <c r="Y19" s="172">
        <f t="shared" si="2"/>
        <v>0.10142559627383636</v>
      </c>
      <c r="Z19" s="172">
        <f t="shared" si="2"/>
        <v>0.10131608160652823</v>
      </c>
      <c r="AA19" s="172">
        <f t="shared" si="2"/>
        <v>0.10140903007941582</v>
      </c>
      <c r="AB19" s="172">
        <f t="shared" si="2"/>
        <v>0.10185013124156021</v>
      </c>
      <c r="AC19" s="172">
        <f t="shared" si="2"/>
        <v>0.10263837213138446</v>
      </c>
      <c r="AD19" s="172">
        <f t="shared" si="2"/>
        <v>0.10363665408238139</v>
      </c>
      <c r="AE19" s="172">
        <f t="shared" si="2"/>
        <v>0.10609899169064259</v>
      </c>
      <c r="AF19" s="172">
        <f t="shared" si="2"/>
        <v>0.10547490567845484</v>
      </c>
      <c r="AG19" s="172">
        <f t="shared" si="2"/>
        <v>0.10638470673447553</v>
      </c>
      <c r="AH19" s="172">
        <f t="shared" si="2"/>
        <v>0.10802315745496717</v>
      </c>
    </row>
    <row r="20" spans="1:34">
      <c r="A20" s="10" t="s">
        <v>142</v>
      </c>
      <c r="B20" s="37"/>
      <c r="C20" s="331">
        <f>EIA_electricity_aeo2014!E49*1000</f>
        <v>2886</v>
      </c>
      <c r="D20" s="331">
        <f>EIA_electricity_aeo2014!F49*1000</f>
        <v>3083</v>
      </c>
      <c r="E20" s="331">
        <f>EIA_electricity_aeo2014!G49*1000</f>
        <v>1344.937541270164</v>
      </c>
      <c r="F20" s="331">
        <f>EIA_electricity_aeo2014!H49*1000</f>
        <v>697.98572009489624</v>
      </c>
      <c r="G20" s="331">
        <f>EIA_electricity_aeo2014!I49*1000</f>
        <v>758.65309475691595</v>
      </c>
      <c r="H20" s="14">
        <f>EIA_electricity_aeo2014!J49*1000</f>
        <v>754.7273642612779</v>
      </c>
      <c r="I20" s="14">
        <f>EIA_electricity_aeo2014!K49*1000</f>
        <v>762.1266990107938</v>
      </c>
      <c r="J20" s="14">
        <f>EIA_electricity_aeo2014!L49*1000</f>
        <v>103.35864813566661</v>
      </c>
      <c r="K20" s="14">
        <f>EIA_electricity_aeo2014!M49*1000</f>
        <v>393.79777390768612</v>
      </c>
      <c r="L20" s="14">
        <f>EIA_electricity_aeo2014!N49*1000</f>
        <v>748.49260313976788</v>
      </c>
      <c r="M20" s="14">
        <f>EIA_electricity_aeo2014!O49*1000</f>
        <v>895.53999092473612</v>
      </c>
      <c r="N20" s="190">
        <f>EIA_electricity_aeo2014!P49*1000</f>
        <v>925.82627471145577</v>
      </c>
      <c r="O20" s="14">
        <f>EIA_electricity_aeo2014!Q49*1000</f>
        <v>947.80817456691523</v>
      </c>
      <c r="P20" s="14">
        <f>EIA_electricity_aeo2014!R49*1000</f>
        <v>962.78888960998609</v>
      </c>
      <c r="Q20" s="14">
        <f>EIA_electricity_aeo2014!S49*1000</f>
        <v>974.02631805056978</v>
      </c>
      <c r="R20" s="14">
        <f>EIA_electricity_aeo2014!T49*1000</f>
        <v>979.3293405998528</v>
      </c>
      <c r="S20" s="14">
        <f>EIA_electricity_aeo2014!U49*1000</f>
        <v>984.57759014627925</v>
      </c>
      <c r="T20" s="14">
        <f>EIA_electricity_aeo2014!V49*1000</f>
        <v>984.98131697097017</v>
      </c>
      <c r="U20" s="14">
        <f>EIA_electricity_aeo2014!W49*1000</f>
        <v>1524.7973437335909</v>
      </c>
      <c r="V20" s="14">
        <f>EIA_electricity_aeo2014!X49*1000</f>
        <v>1667.8365427568024</v>
      </c>
      <c r="W20" s="14">
        <f>EIA_electricity_aeo2014!Y49*1000</f>
        <v>1692.8411156717143</v>
      </c>
      <c r="X20" s="187">
        <f>EIA_electricity_aeo2014!Z49*1000</f>
        <v>1702.5996730351742</v>
      </c>
      <c r="Y20" s="14">
        <f>EIA_electricity_aeo2014!AA49*1000</f>
        <v>1693.4880346290879</v>
      </c>
      <c r="Z20" s="14">
        <f>EIA_electricity_aeo2014!AB49*1000</f>
        <v>1502.5812146004619</v>
      </c>
      <c r="AA20" s="14">
        <f>EIA_electricity_aeo2014!AC49*1000</f>
        <v>1476.5911259832458</v>
      </c>
      <c r="AB20" s="14">
        <f>EIA_electricity_aeo2014!AD49*1000</f>
        <v>1420.3547876650341</v>
      </c>
      <c r="AC20" s="14">
        <f>EIA_electricity_aeo2014!AE49*1000</f>
        <v>1386.4128540803977</v>
      </c>
      <c r="AD20" s="14">
        <f>EIA_electricity_aeo2014!AF49*1000</f>
        <v>1577.6483121261624</v>
      </c>
      <c r="AE20" s="14">
        <f>EIA_electricity_aeo2014!AG49*1000</f>
        <v>1552.5324006345352</v>
      </c>
      <c r="AF20" s="14">
        <f>EIA_electricity_aeo2014!AH49*1000</f>
        <v>1585.3707080052532</v>
      </c>
      <c r="AG20" s="14">
        <f>EIA_electricity_aeo2014!AI49*1000</f>
        <v>1585.9977095070428</v>
      </c>
      <c r="AH20" s="14">
        <f>EIA_electricity_aeo2014!AJ49*1000</f>
        <v>1585.4669093157247</v>
      </c>
    </row>
    <row r="21" spans="1:34">
      <c r="A21" s="10" t="s">
        <v>222</v>
      </c>
      <c r="B21" s="37"/>
      <c r="C21" s="331">
        <f>EIA_electricity_aeo2014!E51*1000</f>
        <v>5342</v>
      </c>
      <c r="D21" s="331">
        <f>EIA_electricity_aeo2014!F51*1000</f>
        <v>5365</v>
      </c>
      <c r="E21" s="331">
        <f>EIA_electricity_aeo2014!G51*1000</f>
        <v>6662.7951514594442</v>
      </c>
      <c r="F21" s="331">
        <f>EIA_electricity_aeo2014!H51*1000</f>
        <v>6553.7783971632289</v>
      </c>
      <c r="G21" s="331">
        <f>EIA_electricity_aeo2014!I51*1000</f>
        <v>6378.6833432922012</v>
      </c>
      <c r="H21" s="14">
        <f>EIA_electricity_aeo2014!J51*1000</f>
        <v>6627.8324836440961</v>
      </c>
      <c r="I21" s="14">
        <f>EIA_electricity_aeo2014!K51*1000</f>
        <v>6775.887793522872</v>
      </c>
      <c r="J21" s="14">
        <f>EIA_electricity_aeo2014!L51*1000</f>
        <v>6953.0573632216901</v>
      </c>
      <c r="K21" s="14">
        <f>EIA_electricity_aeo2014!M51*1000</f>
        <v>7140.3764231999421</v>
      </c>
      <c r="L21" s="14">
        <f>EIA_electricity_aeo2014!N51*1000</f>
        <v>7172.1951228803164</v>
      </c>
      <c r="M21" s="14">
        <f>EIA_electricity_aeo2014!O51*1000</f>
        <v>7136.8303853270954</v>
      </c>
      <c r="N21" s="190">
        <f>EIA_electricity_aeo2014!P51*1000</f>
        <v>6986.5556017326735</v>
      </c>
      <c r="O21" s="14">
        <f>EIA_electricity_aeo2014!Q51*1000</f>
        <v>6895.6477226590996</v>
      </c>
      <c r="P21" s="14">
        <f>EIA_electricity_aeo2014!R51*1000</f>
        <v>6696.8506134108948</v>
      </c>
      <c r="Q21" s="14">
        <f>EIA_electricity_aeo2014!S51*1000</f>
        <v>6548.277422637665</v>
      </c>
      <c r="R21" s="14">
        <f>EIA_electricity_aeo2014!T51*1000</f>
        <v>6489.9940450813083</v>
      </c>
      <c r="S21" s="14">
        <f>EIA_electricity_aeo2014!U51*1000</f>
        <v>6465.8607732349865</v>
      </c>
      <c r="T21" s="14">
        <f>EIA_electricity_aeo2014!V51*1000</f>
        <v>6267.7400233060298</v>
      </c>
      <c r="U21" s="14">
        <f>EIA_electricity_aeo2014!W51*1000</f>
        <v>5976.0198100356683</v>
      </c>
      <c r="V21" s="14">
        <f>EIA_electricity_aeo2014!X51*1000</f>
        <v>5977.656349125843</v>
      </c>
      <c r="W21" s="14">
        <f>EIA_electricity_aeo2014!Y51*1000</f>
        <v>5763.0716856939907</v>
      </c>
      <c r="X21" s="187">
        <f>EIA_electricity_aeo2014!Z51*1000</f>
        <v>5858.3486930326853</v>
      </c>
      <c r="Y21" s="14">
        <f>EIA_electricity_aeo2014!AA51*1000</f>
        <v>5944.5504278342833</v>
      </c>
      <c r="Z21" s="14">
        <f>EIA_electricity_aeo2014!AB51*1000</f>
        <v>6132.8000775558939</v>
      </c>
      <c r="AA21" s="14">
        <f>EIA_electricity_aeo2014!AC51*1000</f>
        <v>6311.5439032157019</v>
      </c>
      <c r="AB21" s="14">
        <f>EIA_electricity_aeo2014!AD51*1000</f>
        <v>6420.1270029131592</v>
      </c>
      <c r="AC21" s="14">
        <f>EIA_electricity_aeo2014!AE51*1000</f>
        <v>6349.5881452127651</v>
      </c>
      <c r="AD21" s="14">
        <f>EIA_electricity_aeo2014!AF51*1000</f>
        <v>6287.6973332469634</v>
      </c>
      <c r="AE21" s="14">
        <f>EIA_electricity_aeo2014!AG51*1000</f>
        <v>6244.0223417345205</v>
      </c>
      <c r="AF21" s="14">
        <f>EIA_electricity_aeo2014!AH51*1000</f>
        <v>6186.7155459119367</v>
      </c>
      <c r="AG21" s="14">
        <f>EIA_electricity_aeo2014!AI51*1000</f>
        <v>6104.6670540807036</v>
      </c>
      <c r="AH21" s="14">
        <f>EIA_electricity_aeo2014!AJ51*1000</f>
        <v>5901.3206166242189</v>
      </c>
    </row>
    <row r="22" spans="1:34">
      <c r="A22" s="10" t="s">
        <v>350</v>
      </c>
      <c r="B22" s="37"/>
      <c r="C22" s="330">
        <f>SUM(C17,C20:C21)</f>
        <v>19922</v>
      </c>
      <c r="D22" s="330">
        <f t="shared" ref="D22:AH22" si="3">SUM(D17,D20:D21)</f>
        <v>22077.878799999999</v>
      </c>
      <c r="E22" s="330">
        <f t="shared" si="3"/>
        <v>19847.041081946794</v>
      </c>
      <c r="F22" s="330">
        <f t="shared" si="3"/>
        <v>19397.674767154189</v>
      </c>
      <c r="G22" s="330">
        <f t="shared" si="3"/>
        <v>18872.541923371624</v>
      </c>
      <c r="H22" s="79">
        <f t="shared" si="3"/>
        <v>19229.77039951599</v>
      </c>
      <c r="I22" s="79">
        <f t="shared" si="3"/>
        <v>18642.309322397959</v>
      </c>
      <c r="J22" s="79">
        <f t="shared" si="3"/>
        <v>18661.892158862647</v>
      </c>
      <c r="K22" s="79">
        <f t="shared" si="3"/>
        <v>19199.528119107134</v>
      </c>
      <c r="L22" s="79">
        <f t="shared" si="3"/>
        <v>19628.09009322057</v>
      </c>
      <c r="M22" s="79">
        <f t="shared" si="3"/>
        <v>19790.673565657475</v>
      </c>
      <c r="N22" s="388">
        <f t="shared" si="3"/>
        <v>19705.407698231145</v>
      </c>
      <c r="O22" s="79">
        <f t="shared" si="3"/>
        <v>19725.745268159313</v>
      </c>
      <c r="P22" s="79">
        <f t="shared" si="3"/>
        <v>19545.480108109976</v>
      </c>
      <c r="Q22" s="79">
        <f t="shared" si="3"/>
        <v>19477.09929393301</v>
      </c>
      <c r="R22" s="79">
        <f t="shared" si="3"/>
        <v>19435.813200646116</v>
      </c>
      <c r="S22" s="79">
        <f t="shared" si="3"/>
        <v>19421.568594281143</v>
      </c>
      <c r="T22" s="79">
        <f t="shared" si="3"/>
        <v>19236.643943799088</v>
      </c>
      <c r="U22" s="79">
        <f t="shared" si="3"/>
        <v>19543.205301501999</v>
      </c>
      <c r="V22" s="79">
        <f t="shared" si="3"/>
        <v>19780.145857867883</v>
      </c>
      <c r="W22" s="79">
        <f t="shared" si="3"/>
        <v>19583.650680480401</v>
      </c>
      <c r="X22" s="184">
        <f t="shared" si="3"/>
        <v>19691.817618999248</v>
      </c>
      <c r="Y22" s="174">
        <f t="shared" si="3"/>
        <v>19786.245536413364</v>
      </c>
      <c r="Z22" s="174">
        <f t="shared" si="3"/>
        <v>19782.074662270414</v>
      </c>
      <c r="AA22" s="174">
        <f t="shared" si="3"/>
        <v>19956.645644789874</v>
      </c>
      <c r="AB22" s="174">
        <f t="shared" si="3"/>
        <v>20028.427286950267</v>
      </c>
      <c r="AC22" s="174">
        <f t="shared" si="3"/>
        <v>19933.222898717897</v>
      </c>
      <c r="AD22" s="174">
        <f t="shared" si="3"/>
        <v>20116.126598292471</v>
      </c>
      <c r="AE22" s="174">
        <f t="shared" si="3"/>
        <v>20104.997471082632</v>
      </c>
      <c r="AF22" s="174">
        <f t="shared" si="3"/>
        <v>20064.567448013047</v>
      </c>
      <c r="AG22" s="174">
        <f t="shared" si="3"/>
        <v>19998.45174216458</v>
      </c>
      <c r="AH22" s="174">
        <f t="shared" si="3"/>
        <v>19813.599807557654</v>
      </c>
    </row>
    <row r="23" spans="1:34">
      <c r="A23" s="10" t="s">
        <v>328</v>
      </c>
      <c r="B23" s="37"/>
      <c r="C23" s="330">
        <f>EIA_electricity_aeo2014!E50*1000+EIA_electricity_aeo2014!E55*1000</f>
        <v>241</v>
      </c>
      <c r="D23" s="330">
        <f>EIA_electricity_aeo2014!F50*1000+EIA_electricity_aeo2014!F55*1000</f>
        <v>129</v>
      </c>
      <c r="E23" s="330">
        <f>EIA_electricity_aeo2014!G50*1000+EIA_electricity_aeo2014!G55*1000</f>
        <v>1100.5394040965214</v>
      </c>
      <c r="F23" s="330">
        <f>EIA_electricity_aeo2014!H50*1000+EIA_electricity_aeo2014!H55*1000</f>
        <v>1144.2381580931317</v>
      </c>
      <c r="G23" s="330">
        <f>EIA_electricity_aeo2014!I50*1000+EIA_electricity_aeo2014!I55*1000</f>
        <v>1108.598569190634</v>
      </c>
      <c r="H23" s="330">
        <f>EIA_electricity_aeo2014!J50*1000+EIA_electricity_aeo2014!J55*1000</f>
        <v>1113.2753476551145</v>
      </c>
      <c r="I23" s="330">
        <f>EIA_electricity_aeo2014!K50*1000+EIA_electricity_aeo2014!K55*1000</f>
        <v>992.45983925570624</v>
      </c>
      <c r="J23" s="330">
        <f>EIA_electricity_aeo2014!L50*1000+EIA_electricity_aeo2014!L55*1000</f>
        <v>1002.1109280506115</v>
      </c>
      <c r="K23" s="330">
        <f>EIA_electricity_aeo2014!M50*1000+EIA_electricity_aeo2014!M55*1000</f>
        <v>991.13117598126621</v>
      </c>
      <c r="L23" s="330">
        <f>EIA_electricity_aeo2014!N50*1000+EIA_electricity_aeo2014!N55*1000</f>
        <v>994.17550823071656</v>
      </c>
      <c r="M23" s="330">
        <f>EIA_electricity_aeo2014!O50*1000+EIA_electricity_aeo2014!O55*1000</f>
        <v>997.71616130927703</v>
      </c>
      <c r="N23" s="330">
        <f>EIA_electricity_aeo2014!P50*1000+EIA_electricity_aeo2014!P55*1000</f>
        <v>998.48521012800268</v>
      </c>
      <c r="O23" s="330">
        <f>EIA_electricity_aeo2014!Q50*1000+EIA_electricity_aeo2014!Q55*1000</f>
        <v>997.55905040504308</v>
      </c>
      <c r="P23" s="330">
        <f>EIA_electricity_aeo2014!R50*1000+EIA_electricity_aeo2014!R55*1000</f>
        <v>996.54322535500785</v>
      </c>
      <c r="Q23" s="330">
        <f>EIA_electricity_aeo2014!S50*1000+EIA_electricity_aeo2014!S55*1000</f>
        <v>996.51252906150489</v>
      </c>
      <c r="R23" s="330">
        <f>EIA_electricity_aeo2014!T50*1000+EIA_electricity_aeo2014!T55*1000</f>
        <v>995.44062779841181</v>
      </c>
      <c r="S23" s="330">
        <f>EIA_electricity_aeo2014!U50*1000+EIA_electricity_aeo2014!U55*1000</f>
        <v>995.44196294634173</v>
      </c>
      <c r="T23" s="330">
        <f>EIA_electricity_aeo2014!V50*1000+EIA_electricity_aeo2014!V55*1000</f>
        <v>995.14474418215843</v>
      </c>
      <c r="U23" s="330">
        <f>EIA_electricity_aeo2014!W50*1000+EIA_electricity_aeo2014!W55*1000</f>
        <v>995.82343227099602</v>
      </c>
      <c r="V23" s="330">
        <f>EIA_electricity_aeo2014!X50*1000+EIA_electricity_aeo2014!X55*1000</f>
        <v>995.80423308466766</v>
      </c>
      <c r="W23" s="330">
        <f>EIA_electricity_aeo2014!Y50*1000+EIA_electricity_aeo2014!Y55*1000</f>
        <v>995.82804322275172</v>
      </c>
      <c r="X23" s="330">
        <f>EIA_electricity_aeo2014!Z50*1000+EIA_electricity_aeo2014!Z55*1000</f>
        <v>995.80185948834765</v>
      </c>
      <c r="Y23" s="330">
        <f>EIA_electricity_aeo2014!AA50*1000+EIA_electricity_aeo2014!AA55*1000</f>
        <v>995.78479926479838</v>
      </c>
      <c r="Z23" s="330">
        <f>EIA_electricity_aeo2014!AB50*1000+EIA_electricity_aeo2014!AB55*1000</f>
        <v>995.4248285479074</v>
      </c>
      <c r="AA23" s="330">
        <f>EIA_electricity_aeo2014!AC50*1000+EIA_electricity_aeo2014!AC55*1000</f>
        <v>995.307558054727</v>
      </c>
      <c r="AB23" s="330">
        <f>EIA_electricity_aeo2014!AD50*1000+EIA_electricity_aeo2014!AD55*1000</f>
        <v>995.22967442548008</v>
      </c>
      <c r="AC23" s="330">
        <f>EIA_electricity_aeo2014!AE50*1000+EIA_electricity_aeo2014!AE55*1000</f>
        <v>994.92214535228209</v>
      </c>
      <c r="AD23" s="330">
        <f>EIA_electricity_aeo2014!AF50*1000+EIA_electricity_aeo2014!AF55*1000</f>
        <v>995.18835901453667</v>
      </c>
      <c r="AE23" s="330">
        <f>EIA_electricity_aeo2014!AG50*1000+EIA_electricity_aeo2014!AG55*1000</f>
        <v>995.03873616261171</v>
      </c>
      <c r="AF23" s="330">
        <f>EIA_electricity_aeo2014!AH50*1000+EIA_electricity_aeo2014!AH55*1000</f>
        <v>995.08687566297476</v>
      </c>
      <c r="AG23" s="330">
        <f>EIA_electricity_aeo2014!AI50*1000+EIA_electricity_aeo2014!AI55*1000</f>
        <v>995.09252506312043</v>
      </c>
      <c r="AH23" s="330">
        <f>EIA_electricity_aeo2014!AJ50*1000+EIA_electricity_aeo2014!AJ55*1000</f>
        <v>995.10239032282504</v>
      </c>
    </row>
    <row r="24" spans="1:34">
      <c r="A24" s="10" t="s">
        <v>345</v>
      </c>
      <c r="B24" s="37"/>
      <c r="C24" s="330">
        <f>SUM(C22:C23)</f>
        <v>20163</v>
      </c>
      <c r="D24" s="330">
        <f t="shared" ref="D24:AH24" si="4">SUM(D22:D23)</f>
        <v>22206.878799999999</v>
      </c>
      <c r="E24" s="330">
        <f t="shared" si="4"/>
        <v>20947.580486043316</v>
      </c>
      <c r="F24" s="330">
        <f t="shared" si="4"/>
        <v>20541.912925247321</v>
      </c>
      <c r="G24" s="330">
        <f t="shared" si="4"/>
        <v>19981.140492562259</v>
      </c>
      <c r="H24" s="83">
        <f t="shared" si="4"/>
        <v>20343.045747171105</v>
      </c>
      <c r="I24" s="83">
        <f t="shared" si="4"/>
        <v>19634.769161653665</v>
      </c>
      <c r="J24" s="83">
        <f t="shared" si="4"/>
        <v>19664.003086913257</v>
      </c>
      <c r="K24" s="83">
        <f t="shared" si="4"/>
        <v>20190.659295088401</v>
      </c>
      <c r="L24" s="83">
        <f t="shared" si="4"/>
        <v>20622.265601451287</v>
      </c>
      <c r="M24" s="83">
        <f t="shared" si="4"/>
        <v>20788.38972696675</v>
      </c>
      <c r="N24" s="388">
        <f t="shared" si="4"/>
        <v>20703.892908359147</v>
      </c>
      <c r="O24" s="83">
        <f t="shared" si="4"/>
        <v>20723.304318564355</v>
      </c>
      <c r="P24" s="83">
        <f t="shared" si="4"/>
        <v>20542.023333464982</v>
      </c>
      <c r="Q24" s="83">
        <f t="shared" si="4"/>
        <v>20473.611822994513</v>
      </c>
      <c r="R24" s="83">
        <f t="shared" si="4"/>
        <v>20431.253828444529</v>
      </c>
      <c r="S24" s="83">
        <f t="shared" si="4"/>
        <v>20417.010557227484</v>
      </c>
      <c r="T24" s="83">
        <f t="shared" si="4"/>
        <v>20231.788687981247</v>
      </c>
      <c r="U24" s="83">
        <f t="shared" si="4"/>
        <v>20539.028733772997</v>
      </c>
      <c r="V24" s="83">
        <f t="shared" si="4"/>
        <v>20775.950090952552</v>
      </c>
      <c r="W24" s="83">
        <f t="shared" si="4"/>
        <v>20579.478723703152</v>
      </c>
      <c r="X24" s="184">
        <f t="shared" si="4"/>
        <v>20687.619478487595</v>
      </c>
      <c r="Y24" s="174">
        <f t="shared" si="4"/>
        <v>20782.030335678162</v>
      </c>
      <c r="Z24" s="174">
        <f t="shared" si="4"/>
        <v>20777.499490818322</v>
      </c>
      <c r="AA24" s="174">
        <f t="shared" si="4"/>
        <v>20951.953202844601</v>
      </c>
      <c r="AB24" s="174">
        <f t="shared" si="4"/>
        <v>21023.656961375749</v>
      </c>
      <c r="AC24" s="174">
        <f t="shared" si="4"/>
        <v>20928.145044070177</v>
      </c>
      <c r="AD24" s="174">
        <f t="shared" si="4"/>
        <v>21111.314957307008</v>
      </c>
      <c r="AE24" s="174">
        <f t="shared" si="4"/>
        <v>21100.036207245244</v>
      </c>
      <c r="AF24" s="174">
        <f t="shared" si="4"/>
        <v>21059.654323676023</v>
      </c>
      <c r="AG24" s="174">
        <f t="shared" si="4"/>
        <v>20993.544267227699</v>
      </c>
      <c r="AH24" s="174">
        <f t="shared" si="4"/>
        <v>20808.702197880477</v>
      </c>
    </row>
    <row r="25" spans="1:34">
      <c r="A25" s="10" t="s">
        <v>346</v>
      </c>
      <c r="B25" s="37"/>
      <c r="C25" s="332">
        <f t="shared" ref="C25:AH25" si="5">C24/C4-1</f>
        <v>-4.95933346558175E-5</v>
      </c>
      <c r="D25" s="332">
        <f t="shared" si="5"/>
        <v>4.4505113303583421E-4</v>
      </c>
      <c r="E25" s="332">
        <f t="shared" si="5"/>
        <v>-3.1047807092201563E-3</v>
      </c>
      <c r="F25" s="332">
        <f t="shared" si="5"/>
        <v>-7.3067086793017211E-3</v>
      </c>
      <c r="G25" s="332">
        <f t="shared" si="5"/>
        <v>-1.4617395795539556E-2</v>
      </c>
      <c r="H25" s="82">
        <f t="shared" si="5"/>
        <v>-1.4336409072175704E-2</v>
      </c>
      <c r="I25" s="82">
        <f t="shared" si="5"/>
        <v>-2.9752885351311376E-2</v>
      </c>
      <c r="J25" s="82">
        <f t="shared" si="5"/>
        <v>-3.8601865635887633E-2</v>
      </c>
      <c r="K25" s="82">
        <f t="shared" si="5"/>
        <v>-3.7405329315212454E-2</v>
      </c>
      <c r="L25" s="82">
        <f t="shared" si="5"/>
        <v>-3.6520922773875641E-2</v>
      </c>
      <c r="M25" s="82">
        <f t="shared" si="5"/>
        <v>-3.6114057642220865E-2</v>
      </c>
      <c r="N25" s="199">
        <f t="shared" si="5"/>
        <v>-3.6203638260889126E-2</v>
      </c>
      <c r="O25" s="82">
        <f t="shared" si="5"/>
        <v>-3.5815145691881045E-2</v>
      </c>
      <c r="P25" s="82">
        <f t="shared" si="5"/>
        <v>-3.6254024215073843E-2</v>
      </c>
      <c r="Q25" s="82">
        <f t="shared" si="5"/>
        <v>-3.6246796780969093E-2</v>
      </c>
      <c r="R25" s="82">
        <f t="shared" si="5"/>
        <v>-3.6619529947517826E-2</v>
      </c>
      <c r="S25" s="82">
        <f t="shared" si="5"/>
        <v>-3.7021047657543327E-2</v>
      </c>
      <c r="T25" s="82">
        <f t="shared" si="5"/>
        <v>-3.7876512132769435E-2</v>
      </c>
      <c r="U25" s="82">
        <f t="shared" si="5"/>
        <v>-3.7519252412863469E-2</v>
      </c>
      <c r="V25" s="82">
        <f t="shared" si="5"/>
        <v>-3.7704957875217104E-2</v>
      </c>
      <c r="W25" s="82">
        <f t="shared" si="5"/>
        <v>-3.9200184575819419E-2</v>
      </c>
      <c r="X25" s="185">
        <f t="shared" si="5"/>
        <v>-3.969093301847948E-2</v>
      </c>
      <c r="Y25" s="172">
        <f t="shared" si="5"/>
        <v>-4.0033634137155882E-2</v>
      </c>
      <c r="Z25" s="172">
        <f t="shared" si="5"/>
        <v>-4.0617685667883374E-2</v>
      </c>
      <c r="AA25" s="172">
        <f t="shared" si="5"/>
        <v>-4.1209154220335331E-2</v>
      </c>
      <c r="AB25" s="172">
        <f t="shared" si="5"/>
        <v>-4.2143639885227624E-2</v>
      </c>
      <c r="AC25" s="172">
        <f t="shared" si="5"/>
        <v>-4.3086704226418915E-2</v>
      </c>
      <c r="AD25" s="172">
        <f t="shared" si="5"/>
        <v>-4.5034454658387291E-2</v>
      </c>
      <c r="AE25" s="172">
        <f t="shared" si="5"/>
        <v>-4.6855843486920179E-2</v>
      </c>
      <c r="AF25" s="172">
        <f t="shared" si="5"/>
        <v>-4.7804868290470259E-2</v>
      </c>
      <c r="AG25" s="172">
        <f t="shared" si="5"/>
        <v>-4.8847249948466787E-2</v>
      </c>
      <c r="AH25" s="172">
        <f t="shared" si="5"/>
        <v>-5.0395383208470035E-2</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0.8220482702734313</v>
      </c>
      <c r="D28" s="332">
        <f t="shared" si="6"/>
        <v>0.82938182549033379</v>
      </c>
      <c r="E28" s="332">
        <f t="shared" si="6"/>
        <v>0.7953376219480518</v>
      </c>
      <c r="F28" s="332">
        <f t="shared" si="6"/>
        <v>0.76348731117427793</v>
      </c>
      <c r="G28" s="332">
        <f t="shared" si="6"/>
        <v>0.67036745495136996</v>
      </c>
      <c r="H28" s="164">
        <f t="shared" si="6"/>
        <v>0.6642940001132398</v>
      </c>
      <c r="I28" s="164">
        <f t="shared" si="6"/>
        <v>0.57155151329200216</v>
      </c>
      <c r="J28" s="164">
        <f t="shared" si="6"/>
        <v>0.57735907772795103</v>
      </c>
      <c r="K28" s="164">
        <f t="shared" si="6"/>
        <v>0.58238057892442163</v>
      </c>
      <c r="L28" s="164">
        <f t="shared" ref="L28:L34" si="7">L10/L$18</f>
        <v>0.5866114074529728</v>
      </c>
      <c r="M28" s="164">
        <f t="shared" ref="M28:AH28" si="8">M10/M$18</f>
        <v>0.59297160646802316</v>
      </c>
      <c r="N28" s="185">
        <f t="shared" si="8"/>
        <v>0.59914457982224245</v>
      </c>
      <c r="O28" s="164">
        <f t="shared" si="8"/>
        <v>0.61689366313910876</v>
      </c>
      <c r="P28" s="164">
        <f t="shared" si="8"/>
        <v>0.61784898035742708</v>
      </c>
      <c r="Q28" s="164">
        <f t="shared" si="8"/>
        <v>0.61815178650161184</v>
      </c>
      <c r="R28" s="164">
        <f t="shared" si="8"/>
        <v>0.62014699486557401</v>
      </c>
      <c r="S28" s="164">
        <f t="shared" si="8"/>
        <v>0.62094244887645322</v>
      </c>
      <c r="T28" s="164">
        <f t="shared" si="8"/>
        <v>0.62232305375951935</v>
      </c>
      <c r="U28" s="164">
        <f t="shared" si="8"/>
        <v>0.62992882521361426</v>
      </c>
      <c r="V28" s="164">
        <f t="shared" si="8"/>
        <v>0.63895203790461541</v>
      </c>
      <c r="W28" s="164">
        <f t="shared" si="8"/>
        <v>0.63343887417953026</v>
      </c>
      <c r="X28" s="185">
        <f t="shared" si="8"/>
        <v>0.63258255908356775</v>
      </c>
      <c r="Y28" s="172">
        <f t="shared" si="8"/>
        <v>0.6349552659990273</v>
      </c>
      <c r="Z28" s="172">
        <f t="shared" si="8"/>
        <v>0.63454807867905916</v>
      </c>
      <c r="AA28" s="172">
        <f t="shared" si="8"/>
        <v>0.63415661286776248</v>
      </c>
      <c r="AB28" s="172">
        <f t="shared" si="8"/>
        <v>0.63252956036497565</v>
      </c>
      <c r="AC28" s="172">
        <f t="shared" si="8"/>
        <v>0.63239048804027131</v>
      </c>
      <c r="AD28" s="172">
        <f t="shared" si="8"/>
        <v>0.62481188838559842</v>
      </c>
      <c r="AE28" s="172">
        <f t="shared" si="8"/>
        <v>0.62322745643277899</v>
      </c>
      <c r="AF28" s="172">
        <f t="shared" si="8"/>
        <v>0.61915053451843771</v>
      </c>
      <c r="AG28" s="172">
        <f t="shared" si="8"/>
        <v>0.6190742457466728</v>
      </c>
      <c r="AH28" s="172">
        <f t="shared" si="8"/>
        <v>0.61826018580138642</v>
      </c>
    </row>
    <row r="29" spans="1:34">
      <c r="A29" s="9" t="s">
        <v>50</v>
      </c>
      <c r="B29" s="37"/>
      <c r="C29" s="332">
        <f t="shared" ref="C29:K29" si="9">C11/C$18</f>
        <v>0</v>
      </c>
      <c r="D29" s="332">
        <f t="shared" si="9"/>
        <v>0</v>
      </c>
      <c r="E29" s="332">
        <f t="shared" si="9"/>
        <v>8.9718577822722226E-11</v>
      </c>
      <c r="F29" s="332">
        <f t="shared" si="9"/>
        <v>8.4988114741041002E-11</v>
      </c>
      <c r="G29" s="332">
        <f t="shared" si="9"/>
        <v>8.9817393933454355E-11</v>
      </c>
      <c r="H29" s="164">
        <f t="shared" si="9"/>
        <v>8.5968866618883331E-11</v>
      </c>
      <c r="I29" s="164">
        <f t="shared" si="9"/>
        <v>6.9551041566166092E-11</v>
      </c>
      <c r="J29" s="164">
        <f t="shared" si="9"/>
        <v>5.490356842370733E-11</v>
      </c>
      <c r="K29" s="164">
        <f t="shared" si="9"/>
        <v>5.4141977459020161E-11</v>
      </c>
      <c r="L29" s="164">
        <f t="shared" si="7"/>
        <v>5.3515472264993678E-11</v>
      </c>
      <c r="M29" s="164">
        <f t="shared" ref="M29:AH29" si="10">M11/M$18</f>
        <v>5.265694069936628E-11</v>
      </c>
      <c r="N29" s="185">
        <f t="shared" si="10"/>
        <v>5.1868211126928092E-11</v>
      </c>
      <c r="O29" s="164">
        <f t="shared" si="10"/>
        <v>4.9573023331965529E-11</v>
      </c>
      <c r="P29" s="164">
        <f t="shared" si="10"/>
        <v>4.9485914411723633E-11</v>
      </c>
      <c r="Q29" s="164">
        <f t="shared" si="10"/>
        <v>4.9449288229942714E-11</v>
      </c>
      <c r="R29" s="164">
        <f t="shared" si="10"/>
        <v>4.9164976145571081E-11</v>
      </c>
      <c r="S29" s="164">
        <f t="shared" si="10"/>
        <v>4.9053102249559365E-11</v>
      </c>
      <c r="T29" s="164">
        <f t="shared" si="10"/>
        <v>4.8747282937624657E-11</v>
      </c>
      <c r="U29" s="164">
        <f t="shared" si="10"/>
        <v>4.7621779877207248E-11</v>
      </c>
      <c r="V29" s="164">
        <f t="shared" si="10"/>
        <v>4.582572362706772E-11</v>
      </c>
      <c r="W29" s="164">
        <f t="shared" si="10"/>
        <v>4.5971435847780459E-11</v>
      </c>
      <c r="X29" s="185">
        <f t="shared" si="10"/>
        <v>4.5905349606365714E-11</v>
      </c>
      <c r="Y29" s="172">
        <f t="shared" si="10"/>
        <v>4.5542878148999132E-11</v>
      </c>
      <c r="Z29" s="172">
        <f t="shared" si="10"/>
        <v>4.5574303772010483E-11</v>
      </c>
      <c r="AA29" s="172">
        <f t="shared" si="10"/>
        <v>4.5125573514312852E-11</v>
      </c>
      <c r="AB29" s="172">
        <f t="shared" si="10"/>
        <v>4.4733258302407969E-11</v>
      </c>
      <c r="AC29" s="172">
        <f t="shared" si="10"/>
        <v>4.4548398604179889E-11</v>
      </c>
      <c r="AD29" s="172">
        <f t="shared" si="10"/>
        <v>4.3647465910410152E-11</v>
      </c>
      <c r="AE29" s="172">
        <f t="shared" si="10"/>
        <v>4.2575928954837185E-11</v>
      </c>
      <c r="AF29" s="172">
        <f t="shared" si="10"/>
        <v>4.2867244962392171E-11</v>
      </c>
      <c r="AG29" s="172">
        <f t="shared" si="10"/>
        <v>4.2587809425228945E-11</v>
      </c>
      <c r="AH29" s="172">
        <f t="shared" si="10"/>
        <v>4.2245548697038308E-11</v>
      </c>
    </row>
    <row r="30" spans="1:34">
      <c r="A30" s="9" t="s">
        <v>51</v>
      </c>
      <c r="B30" s="37"/>
      <c r="C30" s="332">
        <f t="shared" ref="C30:K30" si="11">C12/C$18</f>
        <v>0.12614765123098387</v>
      </c>
      <c r="D30" s="332">
        <f t="shared" si="11"/>
        <v>0.10226358430803145</v>
      </c>
      <c r="E30" s="332">
        <f t="shared" si="11"/>
        <v>0.1343922252997308</v>
      </c>
      <c r="F30" s="332">
        <f t="shared" si="11"/>
        <v>0.13227996162563663</v>
      </c>
      <c r="G30" s="332">
        <f t="shared" si="11"/>
        <v>0.15668272452454324</v>
      </c>
      <c r="H30" s="164">
        <f t="shared" si="11"/>
        <v>0.14986810226595937</v>
      </c>
      <c r="I30" s="164">
        <f t="shared" si="11"/>
        <v>0.12123520715171487</v>
      </c>
      <c r="J30" s="164">
        <f t="shared" si="11"/>
        <v>9.5704498188169673E-2</v>
      </c>
      <c r="K30" s="164">
        <f t="shared" si="11"/>
        <v>9.4377209181060046E-2</v>
      </c>
      <c r="L30" s="164">
        <f t="shared" si="7"/>
        <v>9.3286717355206467E-2</v>
      </c>
      <c r="M30" s="164">
        <f t="shared" ref="M30:AH30" si="12">M12/M$18</f>
        <v>9.1790312070063509E-2</v>
      </c>
      <c r="N30" s="185">
        <f t="shared" si="12"/>
        <v>9.0414579599143285E-2</v>
      </c>
      <c r="O30" s="164">
        <f t="shared" si="12"/>
        <v>8.641311521634043E-2</v>
      </c>
      <c r="P30" s="164">
        <f t="shared" si="12"/>
        <v>8.6260871695586883E-2</v>
      </c>
      <c r="Q30" s="164">
        <f t="shared" si="12"/>
        <v>8.6196504730851678E-2</v>
      </c>
      <c r="R30" s="164">
        <f t="shared" si="12"/>
        <v>8.5700362041796332E-2</v>
      </c>
      <c r="S30" s="164">
        <f t="shared" si="12"/>
        <v>8.5745441151378818E-2</v>
      </c>
      <c r="T30" s="164">
        <f t="shared" si="12"/>
        <v>8.5210016920252707E-2</v>
      </c>
      <c r="U30" s="164">
        <f t="shared" si="12"/>
        <v>8.3008080286111258E-2</v>
      </c>
      <c r="V30" s="164">
        <f t="shared" si="12"/>
        <v>8.0101664396148478E-2</v>
      </c>
      <c r="W30" s="164">
        <f t="shared" si="12"/>
        <v>8.0129530137767399E-2</v>
      </c>
      <c r="X30" s="185">
        <f t="shared" si="12"/>
        <v>8.0013598212110223E-2</v>
      </c>
      <c r="Y30" s="172">
        <f t="shared" si="12"/>
        <v>7.9604628894764454E-2</v>
      </c>
      <c r="Z30" s="172">
        <f t="shared" si="12"/>
        <v>7.965865160714472E-2</v>
      </c>
      <c r="AA30" s="172">
        <f t="shared" si="12"/>
        <v>7.8873425254765803E-2</v>
      </c>
      <c r="AB30" s="172">
        <f t="shared" si="12"/>
        <v>7.7965429997408853E-2</v>
      </c>
      <c r="AC30" s="172">
        <f t="shared" si="12"/>
        <v>7.7641965243669689E-2</v>
      </c>
      <c r="AD30" s="172">
        <f t="shared" si="12"/>
        <v>7.6069534556023999E-2</v>
      </c>
      <c r="AE30" s="172">
        <f t="shared" si="12"/>
        <v>7.4201036586058311E-2</v>
      </c>
      <c r="AF30" s="172">
        <f t="shared" si="12"/>
        <v>7.4922095252943827E-2</v>
      </c>
      <c r="AG30" s="172">
        <f t="shared" si="12"/>
        <v>7.4219756855559746E-2</v>
      </c>
      <c r="AH30" s="172">
        <f t="shared" si="12"/>
        <v>7.3622600581136011E-2</v>
      </c>
    </row>
    <row r="31" spans="1:34">
      <c r="A31" s="9" t="s">
        <v>347</v>
      </c>
      <c r="B31" s="37"/>
      <c r="C31" s="332">
        <f t="shared" ref="C31:K31" si="13">C13/C$18</f>
        <v>0</v>
      </c>
      <c r="D31" s="332">
        <f t="shared" si="13"/>
        <v>7.1494323807413367E-3</v>
      </c>
      <c r="E31" s="332">
        <f t="shared" si="13"/>
        <v>1.5171641682013072E-2</v>
      </c>
      <c r="F31" s="332">
        <f t="shared" si="13"/>
        <v>2.6465016084438336E-2</v>
      </c>
      <c r="G31" s="332">
        <f t="shared" si="13"/>
        <v>3.651534305681154E-2</v>
      </c>
      <c r="H31" s="164">
        <f t="shared" si="13"/>
        <v>5.3315141656114451E-2</v>
      </c>
      <c r="I31" s="164">
        <f t="shared" si="13"/>
        <v>4.2294422174485313E-2</v>
      </c>
      <c r="J31" s="164">
        <f t="shared" si="13"/>
        <v>3.3744087072417668E-2</v>
      </c>
      <c r="K31" s="164">
        <f t="shared" si="13"/>
        <v>3.4123379645056712E-2</v>
      </c>
      <c r="L31" s="164">
        <f t="shared" si="7"/>
        <v>3.4416802924643795E-2</v>
      </c>
      <c r="M31" s="164">
        <f t="shared" ref="M31:AH31" si="14">M13/M$18</f>
        <v>3.4122652890963542E-2</v>
      </c>
      <c r="N31" s="185">
        <f t="shared" si="14"/>
        <v>3.34782411821457E-2</v>
      </c>
      <c r="O31" s="164">
        <f t="shared" si="14"/>
        <v>3.201388496754299E-2</v>
      </c>
      <c r="P31" s="164">
        <f t="shared" si="14"/>
        <v>3.1692911694598855E-2</v>
      </c>
      <c r="Q31" s="164">
        <f t="shared" si="14"/>
        <v>3.1563913637453915E-2</v>
      </c>
      <c r="R31" s="164">
        <f t="shared" si="14"/>
        <v>3.1329706932062343E-2</v>
      </c>
      <c r="S31" s="164">
        <f t="shared" si="14"/>
        <v>3.1249663584684617E-2</v>
      </c>
      <c r="T31" s="164">
        <f t="shared" si="14"/>
        <v>3.0800872346223276E-2</v>
      </c>
      <c r="U31" s="164">
        <f t="shared" si="14"/>
        <v>3.0534624487310206E-2</v>
      </c>
      <c r="V31" s="164">
        <f t="shared" si="14"/>
        <v>2.9727147104714059E-2</v>
      </c>
      <c r="W31" s="164">
        <f t="shared" si="14"/>
        <v>2.9585991242465005E-2</v>
      </c>
      <c r="X31" s="185">
        <f t="shared" si="14"/>
        <v>2.9713616631406932E-2</v>
      </c>
      <c r="Y31" s="172">
        <f t="shared" si="14"/>
        <v>2.9623875273655724E-2</v>
      </c>
      <c r="Z31" s="172">
        <f t="shared" si="14"/>
        <v>2.965587853613286E-2</v>
      </c>
      <c r="AA31" s="172">
        <f t="shared" si="14"/>
        <v>2.9628289889854081E-2</v>
      </c>
      <c r="AB31" s="172">
        <f t="shared" si="14"/>
        <v>2.9499776304686254E-2</v>
      </c>
      <c r="AC31" s="172">
        <f t="shared" si="14"/>
        <v>2.9273382972868328E-2</v>
      </c>
      <c r="AD31" s="172">
        <f t="shared" si="14"/>
        <v>2.8990934760763469E-2</v>
      </c>
      <c r="AE31" s="172">
        <f t="shared" si="14"/>
        <v>2.8318056705880879E-2</v>
      </c>
      <c r="AF31" s="172">
        <f t="shared" si="14"/>
        <v>2.8485651627682202E-2</v>
      </c>
      <c r="AG31" s="172">
        <f t="shared" si="14"/>
        <v>2.8242129755690758E-2</v>
      </c>
      <c r="AH31" s="172">
        <f t="shared" si="14"/>
        <v>2.7814068467784035E-2</v>
      </c>
    </row>
    <row r="32" spans="1:34">
      <c r="A32" s="9" t="s">
        <v>348</v>
      </c>
      <c r="B32" s="37"/>
      <c r="C32" s="332">
        <f t="shared" ref="C32:K32" si="15">C14/C$18</f>
        <v>0</v>
      </c>
      <c r="D32" s="332">
        <f t="shared" si="15"/>
        <v>0</v>
      </c>
      <c r="E32" s="332">
        <f t="shared" si="15"/>
        <v>8.9718577822722216E-5</v>
      </c>
      <c r="F32" s="332">
        <f t="shared" si="15"/>
        <v>8.4988114741040989E-5</v>
      </c>
      <c r="G32" s="332">
        <f t="shared" si="15"/>
        <v>8.9817393933454349E-5</v>
      </c>
      <c r="H32" s="164">
        <f t="shared" si="15"/>
        <v>8.5968866618883332E-5</v>
      </c>
      <c r="I32" s="164">
        <f t="shared" si="15"/>
        <v>6.9551041566166089E-5</v>
      </c>
      <c r="J32" s="164">
        <f t="shared" si="15"/>
        <v>5.4903568423707327E-5</v>
      </c>
      <c r="K32" s="164">
        <f t="shared" si="15"/>
        <v>5.4141977459020159E-5</v>
      </c>
      <c r="L32" s="164">
        <f t="shared" si="7"/>
        <v>5.3515472264993671E-5</v>
      </c>
      <c r="M32" s="164">
        <f t="shared" ref="M32:AH32" si="16">M14/M$18</f>
        <v>5.2656940699366275E-5</v>
      </c>
      <c r="N32" s="185">
        <f t="shared" si="16"/>
        <v>5.1868211126928093E-5</v>
      </c>
      <c r="O32" s="164">
        <f t="shared" si="16"/>
        <v>4.9573023331965525E-5</v>
      </c>
      <c r="P32" s="164">
        <f t="shared" si="16"/>
        <v>4.9485914411723632E-5</v>
      </c>
      <c r="Q32" s="164">
        <f t="shared" si="16"/>
        <v>4.9449288229942714E-5</v>
      </c>
      <c r="R32" s="164">
        <f t="shared" si="16"/>
        <v>4.9164976145571078E-5</v>
      </c>
      <c r="S32" s="164">
        <f t="shared" si="16"/>
        <v>4.9053102249559364E-5</v>
      </c>
      <c r="T32" s="164">
        <f t="shared" si="16"/>
        <v>4.874728293762465E-5</v>
      </c>
      <c r="U32" s="164">
        <f t="shared" si="16"/>
        <v>4.7621779877207244E-5</v>
      </c>
      <c r="V32" s="164">
        <f t="shared" si="16"/>
        <v>4.5825723627067714E-5</v>
      </c>
      <c r="W32" s="164">
        <f t="shared" si="16"/>
        <v>4.5971435847780458E-5</v>
      </c>
      <c r="X32" s="185">
        <f t="shared" si="16"/>
        <v>4.5905349606365716E-5</v>
      </c>
      <c r="Y32" s="172">
        <f t="shared" si="16"/>
        <v>4.5542878148999134E-5</v>
      </c>
      <c r="Z32" s="172">
        <f t="shared" si="16"/>
        <v>4.5574303772010483E-5</v>
      </c>
      <c r="AA32" s="172">
        <f t="shared" si="16"/>
        <v>4.5125573514312856E-5</v>
      </c>
      <c r="AB32" s="172">
        <f t="shared" si="16"/>
        <v>4.4733258302407966E-5</v>
      </c>
      <c r="AC32" s="172">
        <f t="shared" si="16"/>
        <v>4.454839860417989E-5</v>
      </c>
      <c r="AD32" s="172">
        <f t="shared" si="16"/>
        <v>4.3647465910410151E-5</v>
      </c>
      <c r="AE32" s="172">
        <f t="shared" si="16"/>
        <v>4.2575928954837185E-5</v>
      </c>
      <c r="AF32" s="172">
        <f t="shared" si="16"/>
        <v>4.2867244962392169E-5</v>
      </c>
      <c r="AG32" s="172">
        <f t="shared" si="16"/>
        <v>4.2587809425228941E-5</v>
      </c>
      <c r="AH32" s="172">
        <f t="shared" si="16"/>
        <v>4.2245548697038305E-5</v>
      </c>
    </row>
    <row r="33" spans="1:36">
      <c r="A33" s="9" t="s">
        <v>344</v>
      </c>
      <c r="B33" s="37"/>
      <c r="C33" s="332">
        <f t="shared" ref="C33:K33" si="17">C15/C$18</f>
        <v>8.3541490881446279E-6</v>
      </c>
      <c r="D33" s="332">
        <f t="shared" si="17"/>
        <v>8.0522507329158615E-6</v>
      </c>
      <c r="E33" s="332">
        <f t="shared" si="17"/>
        <v>8.971857782272222E-6</v>
      </c>
      <c r="F33" s="332">
        <f t="shared" si="17"/>
        <v>8.4988114741040993E-6</v>
      </c>
      <c r="G33" s="332">
        <f t="shared" si="17"/>
        <v>8.9817393933454353E-6</v>
      </c>
      <c r="H33" s="164">
        <f t="shared" si="17"/>
        <v>8.5968866618883322E-6</v>
      </c>
      <c r="I33" s="164">
        <f t="shared" si="17"/>
        <v>6.9551041566166086E-6</v>
      </c>
      <c r="J33" s="164">
        <f t="shared" si="17"/>
        <v>5.4903568423707327E-6</v>
      </c>
      <c r="K33" s="164">
        <f t="shared" si="17"/>
        <v>5.4141977459020159E-6</v>
      </c>
      <c r="L33" s="164">
        <f t="shared" si="7"/>
        <v>5.3515472264993669E-6</v>
      </c>
      <c r="M33" s="164">
        <f t="shared" ref="M33:AH33" si="18">M15/M$18</f>
        <v>5.2656940699366277E-6</v>
      </c>
      <c r="N33" s="185">
        <f t="shared" si="18"/>
        <v>5.186821112692809E-6</v>
      </c>
      <c r="O33" s="164">
        <f t="shared" si="18"/>
        <v>4.9573023331965521E-6</v>
      </c>
      <c r="P33" s="164">
        <f t="shared" si="18"/>
        <v>4.9485914411723629E-6</v>
      </c>
      <c r="Q33" s="164">
        <f t="shared" si="18"/>
        <v>4.9449288229942714E-6</v>
      </c>
      <c r="R33" s="164">
        <f t="shared" si="18"/>
        <v>4.9164976145571074E-6</v>
      </c>
      <c r="S33" s="164">
        <f t="shared" si="18"/>
        <v>4.9053102249559361E-6</v>
      </c>
      <c r="T33" s="164">
        <f t="shared" si="18"/>
        <v>4.8747282937624653E-6</v>
      </c>
      <c r="U33" s="164">
        <f t="shared" si="18"/>
        <v>4.762177987720724E-6</v>
      </c>
      <c r="V33" s="164">
        <f t="shared" si="18"/>
        <v>4.5825723627067714E-6</v>
      </c>
      <c r="W33" s="164">
        <f t="shared" si="18"/>
        <v>4.5971435847780456E-6</v>
      </c>
      <c r="X33" s="185">
        <f t="shared" si="18"/>
        <v>4.5905349606365716E-6</v>
      </c>
      <c r="Y33" s="172">
        <f t="shared" si="18"/>
        <v>4.554287814899913E-6</v>
      </c>
      <c r="Z33" s="172">
        <f t="shared" si="18"/>
        <v>4.5574303772010485E-6</v>
      </c>
      <c r="AA33" s="172">
        <f t="shared" si="18"/>
        <v>4.5125573514312852E-6</v>
      </c>
      <c r="AB33" s="172">
        <f t="shared" si="18"/>
        <v>4.473325830240797E-6</v>
      </c>
      <c r="AC33" s="172">
        <f t="shared" si="18"/>
        <v>4.4548398604179882E-6</v>
      </c>
      <c r="AD33" s="172">
        <f t="shared" si="18"/>
        <v>4.3647465910410151E-6</v>
      </c>
      <c r="AE33" s="172">
        <f t="shared" si="18"/>
        <v>4.2575928954837184E-6</v>
      </c>
      <c r="AF33" s="172">
        <f t="shared" si="18"/>
        <v>4.2867244962392164E-6</v>
      </c>
      <c r="AG33" s="172">
        <f t="shared" si="18"/>
        <v>4.2587809425228941E-6</v>
      </c>
      <c r="AH33" s="172">
        <f t="shared" si="18"/>
        <v>4.2245548697038309E-6</v>
      </c>
    </row>
    <row r="34" spans="1:36">
      <c r="A34" s="9" t="s">
        <v>53</v>
      </c>
      <c r="B34" s="37"/>
      <c r="C34" s="332">
        <f t="shared" ref="C34:K34" si="19">C16/C$18</f>
        <v>5.1795724346496687E-2</v>
      </c>
      <c r="D34" s="332">
        <f t="shared" si="19"/>
        <v>6.1197105570160552E-2</v>
      </c>
      <c r="E34" s="332">
        <f t="shared" si="19"/>
        <v>5.4999820544881166E-2</v>
      </c>
      <c r="F34" s="332">
        <f t="shared" si="19"/>
        <v>7.7674224104444051E-2</v>
      </c>
      <c r="G34" s="332">
        <f t="shared" si="19"/>
        <v>0.13633567824413109</v>
      </c>
      <c r="H34" s="164">
        <f t="shared" si="19"/>
        <v>0.13242819012543672</v>
      </c>
      <c r="I34" s="164">
        <f t="shared" si="19"/>
        <v>0.26484235116652394</v>
      </c>
      <c r="J34" s="164">
        <f t="shared" si="19"/>
        <v>0.29313194303129197</v>
      </c>
      <c r="K34" s="164">
        <f t="shared" si="19"/>
        <v>0.28905927602011472</v>
      </c>
      <c r="L34" s="164">
        <f t="shared" si="7"/>
        <v>0.28562620519416992</v>
      </c>
      <c r="M34" s="164">
        <f t="shared" ref="M34:AH34" si="20">M16/M$18</f>
        <v>0.28105750588352357</v>
      </c>
      <c r="N34" s="185">
        <f t="shared" si="20"/>
        <v>0.2769055443123607</v>
      </c>
      <c r="O34" s="164">
        <f t="shared" si="20"/>
        <v>0.2646248063017696</v>
      </c>
      <c r="P34" s="164">
        <f t="shared" si="20"/>
        <v>0.26414280169704835</v>
      </c>
      <c r="Q34" s="164">
        <f t="shared" si="20"/>
        <v>0.26403340086358029</v>
      </c>
      <c r="R34" s="164">
        <f t="shared" si="20"/>
        <v>0.2627688546376421</v>
      </c>
      <c r="S34" s="164">
        <f t="shared" si="20"/>
        <v>0.26200848792595577</v>
      </c>
      <c r="T34" s="164">
        <f t="shared" si="20"/>
        <v>0.26161243491402608</v>
      </c>
      <c r="U34" s="164">
        <f t="shared" si="20"/>
        <v>0.25647608600747762</v>
      </c>
      <c r="V34" s="164">
        <f t="shared" si="20"/>
        <v>0.25116874225270658</v>
      </c>
      <c r="W34" s="164">
        <f t="shared" si="20"/>
        <v>0.25679503581483332</v>
      </c>
      <c r="X34" s="185">
        <f t="shared" si="20"/>
        <v>0.25763973014244274</v>
      </c>
      <c r="Y34" s="172">
        <f t="shared" si="20"/>
        <v>0.25576613262104575</v>
      </c>
      <c r="Z34" s="172">
        <f t="shared" si="20"/>
        <v>0.25608725939793997</v>
      </c>
      <c r="AA34" s="172">
        <f t="shared" si="20"/>
        <v>0.25729203381162635</v>
      </c>
      <c r="AB34" s="172">
        <f t="shared" si="20"/>
        <v>0.25995602670406343</v>
      </c>
      <c r="AC34" s="172">
        <f t="shared" si="20"/>
        <v>0.26064516046017761</v>
      </c>
      <c r="AD34" s="172">
        <f t="shared" si="20"/>
        <v>0.27007963004146529</v>
      </c>
      <c r="AE34" s="172">
        <f t="shared" si="20"/>
        <v>0.27420661671085556</v>
      </c>
      <c r="AF34" s="172">
        <f t="shared" si="20"/>
        <v>0.27739456458861034</v>
      </c>
      <c r="AG34" s="172">
        <f t="shared" si="20"/>
        <v>0.27841702100912108</v>
      </c>
      <c r="AH34" s="172">
        <f t="shared" si="20"/>
        <v>0.28025667500388118</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251.99849999999998</v>
      </c>
      <c r="D42" s="331">
        <f>D7*Inputs!$C$48</f>
        <v>221.6985</v>
      </c>
      <c r="E42" s="331">
        <f>E7*Inputs!$C$48</f>
        <v>234.18714568561404</v>
      </c>
      <c r="F42" s="331">
        <f>F7*Inputs!$C$48</f>
        <v>197.3805982026395</v>
      </c>
      <c r="G42" s="331">
        <f>G7*Inputs!$C$48</f>
        <v>191.36845795216635</v>
      </c>
      <c r="H42" s="14">
        <f>H7*Inputs!$C$48</f>
        <v>194.59019552274691</v>
      </c>
      <c r="I42" s="14">
        <f>I7*Inputs!$C$48</f>
        <v>198.43360612440043</v>
      </c>
      <c r="J42" s="14">
        <f>J7*Inputs!$C$48</f>
        <v>202.2952334657389</v>
      </c>
      <c r="K42" s="14">
        <f>K7*Inputs!$C$48</f>
        <v>204.37186142185718</v>
      </c>
      <c r="L42" s="14">
        <f>L7*Inputs!$C$48</f>
        <v>204.37194178982634</v>
      </c>
      <c r="M42" s="14">
        <f>M7*Inputs!$C$48</f>
        <v>204.37196857914944</v>
      </c>
      <c r="N42" s="190">
        <f>N7*Inputs!$C$48</f>
        <v>204.37186142185718</v>
      </c>
      <c r="O42" s="14">
        <f>O7*Inputs!$C$48</f>
        <v>204.37186142185718</v>
      </c>
      <c r="P42" s="14">
        <f>P7*Inputs!$C$48</f>
        <v>204.37191500050326</v>
      </c>
      <c r="Q42" s="14">
        <f>Q7*Inputs!$C$48</f>
        <v>214.49072453040097</v>
      </c>
      <c r="R42" s="14">
        <f>R7*Inputs!$C$48</f>
        <v>214.49069774107789</v>
      </c>
      <c r="S42" s="14">
        <f>S7*Inputs!$C$48</f>
        <v>214.49093884498549</v>
      </c>
      <c r="T42" s="14">
        <f>T7*Inputs!$C$48</f>
        <v>214.49139426347759</v>
      </c>
      <c r="U42" s="14">
        <f>U7*Inputs!$C$48</f>
        <v>215.98867631896744</v>
      </c>
      <c r="V42" s="14">
        <f>V7*Inputs!$C$48</f>
        <v>217.48333302079681</v>
      </c>
      <c r="W42" s="14">
        <f>W7*Inputs!$C$48</f>
        <v>217.4835741247044</v>
      </c>
      <c r="X42" s="187">
        <f>X7*Inputs!$C$48</f>
        <v>217.4835473353813</v>
      </c>
      <c r="Y42" s="14">
        <f>Y7*Inputs!$C$48</f>
        <v>217.4835741247044</v>
      </c>
      <c r="Z42" s="14">
        <f>Z7*Inputs!$C$48</f>
        <v>217.48362770335049</v>
      </c>
      <c r="AA42" s="14">
        <f>AA7*Inputs!$C$48</f>
        <v>217.48330623147373</v>
      </c>
      <c r="AB42" s="14">
        <f>AB7*Inputs!$C$48</f>
        <v>217.48330623147373</v>
      </c>
      <c r="AC42" s="14">
        <f>AC7*Inputs!$C$48</f>
        <v>217.48330623147373</v>
      </c>
      <c r="AD42" s="14">
        <f>AD7*Inputs!$C$48</f>
        <v>218.56704150679153</v>
      </c>
      <c r="AE42" s="14">
        <f>AE7*Inputs!$C$48</f>
        <v>218.56704150679153</v>
      </c>
      <c r="AF42" s="14">
        <f>AF7*Inputs!$C$48</f>
        <v>218.56704150679153</v>
      </c>
      <c r="AG42" s="14">
        <f>AG7*Inputs!$C$48</f>
        <v>218.56704150679153</v>
      </c>
      <c r="AH42" s="14">
        <f>AH7*Inputs!$C$48</f>
        <v>218.5673094000222</v>
      </c>
    </row>
    <row r="43" spans="1:36" ht="15">
      <c r="A43" s="8" t="s">
        <v>59</v>
      </c>
      <c r="B43" s="34">
        <v>0</v>
      </c>
      <c r="C43" s="331">
        <f>C8*Inputs!$C$53</f>
        <v>1234.3800000000001</v>
      </c>
      <c r="D43" s="331">
        <f>D8*Inputs!$C$53</f>
        <v>1527.4</v>
      </c>
      <c r="E43" s="331">
        <f>E8*Inputs!$C$53</f>
        <v>1282.885015198257</v>
      </c>
      <c r="F43" s="331">
        <f>F8*Inputs!$C$53</f>
        <v>1351.4766834964437</v>
      </c>
      <c r="G43" s="331">
        <f>G8*Inputs!$C$53</f>
        <v>1308.4463945387565</v>
      </c>
      <c r="H43" s="14">
        <f>H8*Inputs!$C$53</f>
        <v>1314.1423095405789</v>
      </c>
      <c r="I43" s="14">
        <f>I8*Inputs!$C$53</f>
        <v>1168.1055585537672</v>
      </c>
      <c r="J43" s="14">
        <f>J8*Inputs!$C$53</f>
        <v>1180.9652427749045</v>
      </c>
      <c r="K43" s="14">
        <f>K8*Inputs!$C$53</f>
        <v>1183.8230792722318</v>
      </c>
      <c r="L43" s="14">
        <f>L8*Inputs!$C$53</f>
        <v>1186.6825996894027</v>
      </c>
      <c r="M43" s="14">
        <f>M8*Inputs!$C$53</f>
        <v>1189.5433924015665</v>
      </c>
      <c r="N43" s="190">
        <f>N8*Inputs!$C$53</f>
        <v>1190.3617026047007</v>
      </c>
      <c r="O43" s="14">
        <f>O8*Inputs!$C$53</f>
        <v>1190.3617774455829</v>
      </c>
      <c r="P43" s="14">
        <f>P8*Inputs!$C$53</f>
        <v>1190.3617774455829</v>
      </c>
      <c r="Q43" s="14">
        <f>Q8*Inputs!$C$53</f>
        <v>1190.3617026047007</v>
      </c>
      <c r="R43" s="14">
        <f>R8*Inputs!$C$53</f>
        <v>1190.3617026047007</v>
      </c>
      <c r="S43" s="14">
        <f>S8*Inputs!$C$53</f>
        <v>1190.3617026047007</v>
      </c>
      <c r="T43" s="14">
        <f>T8*Inputs!$C$53</f>
        <v>1190.3617026047007</v>
      </c>
      <c r="U43" s="14">
        <f>U8*Inputs!$C$53</f>
        <v>1190.3617774455829</v>
      </c>
      <c r="V43" s="14">
        <f>V8*Inputs!$C$53</f>
        <v>1190.3617026047007</v>
      </c>
      <c r="W43" s="14">
        <f>W8*Inputs!$C$53</f>
        <v>1190.3617026047007</v>
      </c>
      <c r="X43" s="187">
        <f>X8*Inputs!$C$53</f>
        <v>1190.3617026047007</v>
      </c>
      <c r="Y43" s="14">
        <f>Y8*Inputs!$C$53</f>
        <v>1190.3617026047007</v>
      </c>
      <c r="Z43" s="14">
        <f>Z8*Inputs!$C$53</f>
        <v>1190.3617026047007</v>
      </c>
      <c r="AA43" s="14">
        <f>AA8*Inputs!$C$53</f>
        <v>1190.3617026047007</v>
      </c>
      <c r="AB43" s="14">
        <f>AB8*Inputs!$C$53</f>
        <v>1190.3617026047007</v>
      </c>
      <c r="AC43" s="14">
        <f>AC8*Inputs!$C$53</f>
        <v>1190.3617026047007</v>
      </c>
      <c r="AD43" s="14">
        <f>AD8*Inputs!$C$53</f>
        <v>1190.3617026047007</v>
      </c>
      <c r="AE43" s="14">
        <f>AE8*Inputs!$C$53</f>
        <v>1190.3617774455829</v>
      </c>
      <c r="AF43" s="14">
        <f>AF8*Inputs!$C$53</f>
        <v>1190.3617774455829</v>
      </c>
      <c r="AG43" s="14">
        <f>AG8*Inputs!$C$53</f>
        <v>1190.3617026047007</v>
      </c>
      <c r="AH43" s="14">
        <f>AH8*Inputs!$C$53</f>
        <v>1190.3617026047007</v>
      </c>
    </row>
    <row r="44" spans="1:36" ht="15">
      <c r="A44" s="8" t="s">
        <v>121</v>
      </c>
      <c r="B44" s="34">
        <v>1</v>
      </c>
      <c r="C44" s="331">
        <f>C10*Inputs!$C$46</f>
        <v>206.64</v>
      </c>
      <c r="D44" s="331">
        <f>D10*Inputs!$C$46</f>
        <v>216.29999999999998</v>
      </c>
      <c r="E44" s="331">
        <f>E10*Inputs!$C$46</f>
        <v>186.16088736840297</v>
      </c>
      <c r="F44" s="331">
        <f>F10*Inputs!$C$46</f>
        <v>188.65265553322533</v>
      </c>
      <c r="G44" s="331">
        <f>G10*Inputs!$C$46</f>
        <v>156.73708551830106</v>
      </c>
      <c r="H44" s="14">
        <f>H10*Inputs!$C$46</f>
        <v>162.2700699803554</v>
      </c>
      <c r="I44" s="14">
        <f>I10*Inputs!$C$46</f>
        <v>172.57227942033927</v>
      </c>
      <c r="J44" s="14">
        <f>J10*Inputs!$C$46</f>
        <v>220.83338078716943</v>
      </c>
      <c r="K44" s="14">
        <f>K10*Inputs!$C$46</f>
        <v>225.88743025999901</v>
      </c>
      <c r="L44" s="14">
        <f>L10*Inputs!$C$46</f>
        <v>230.19211146101779</v>
      </c>
      <c r="M44" s="14">
        <f>M10*Inputs!$C$46</f>
        <v>236.48171675834465</v>
      </c>
      <c r="N44" s="190">
        <f>N10*Inputs!$C$46</f>
        <v>242.57702170366457</v>
      </c>
      <c r="O44" s="14">
        <f>O10*Inputs!$C$46</f>
        <v>261.32694871502486</v>
      </c>
      <c r="P44" s="14">
        <f>P10*Inputs!$C$46</f>
        <v>262.19235800222219</v>
      </c>
      <c r="Q44" s="14">
        <f>Q10*Inputs!$C$46</f>
        <v>262.51515403357075</v>
      </c>
      <c r="R44" s="14">
        <f>R10*Inputs!$C$46</f>
        <v>264.88545125329449</v>
      </c>
      <c r="S44" s="14">
        <f>S10*Inputs!$C$46</f>
        <v>265.83010713705983</v>
      </c>
      <c r="T44" s="14">
        <f>T10*Inputs!$C$46</f>
        <v>268.09256519326982</v>
      </c>
      <c r="U44" s="14">
        <f>U10*Inputs!$C$46</f>
        <v>277.78267346570414</v>
      </c>
      <c r="V44" s="14">
        <f>V10*Inputs!$C$46</f>
        <v>292.80482082930746</v>
      </c>
      <c r="W44" s="14">
        <f>W10*Inputs!$C$46</f>
        <v>289.35829635202441</v>
      </c>
      <c r="X44" s="187">
        <f>X10*Inputs!$C$46</f>
        <v>289.38312973686169</v>
      </c>
      <c r="Y44" s="14">
        <f>Y10*Inputs!$C$46</f>
        <v>292.78036715983461</v>
      </c>
      <c r="Z44" s="14">
        <f>Z10*Inputs!$C$46</f>
        <v>292.39085513894605</v>
      </c>
      <c r="AA44" s="14">
        <f>AA10*Inputs!$C$46</f>
        <v>295.11622419599956</v>
      </c>
      <c r="AB44" s="14">
        <f>AB10*Inputs!$C$46</f>
        <v>296.94060463620337</v>
      </c>
      <c r="AC44" s="14">
        <f>AC10*Inputs!$C$46</f>
        <v>298.10724212204661</v>
      </c>
      <c r="AD44" s="14">
        <f>AD10*Inputs!$C$46</f>
        <v>300.6142368729848</v>
      </c>
      <c r="AE44" s="14">
        <f>AE10*Inputs!$C$46</f>
        <v>307.39849737562599</v>
      </c>
      <c r="AF44" s="14">
        <f>AF10*Inputs!$C$46</f>
        <v>303.31226642379539</v>
      </c>
      <c r="AG44" s="14">
        <f>AG10*Inputs!$C$46</f>
        <v>305.26480079951284</v>
      </c>
      <c r="AH44" s="14">
        <f>AH10*Inputs!$C$46</f>
        <v>307.333300247544</v>
      </c>
    </row>
    <row r="45" spans="1:36" ht="15">
      <c r="A45" s="8" t="s">
        <v>50</v>
      </c>
      <c r="B45" s="34">
        <v>1</v>
      </c>
      <c r="C45" s="331">
        <f>C11*Inputs!$C$49</f>
        <v>0</v>
      </c>
      <c r="D45" s="331">
        <f>D11*Inputs!$C$49</f>
        <v>0</v>
      </c>
      <c r="E45" s="331">
        <f>E11*Inputs!$C$49</f>
        <v>2.5000000000000002E-8</v>
      </c>
      <c r="F45" s="331">
        <f>F11*Inputs!$C$49</f>
        <v>2.5000000000000002E-8</v>
      </c>
      <c r="G45" s="331">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1">
        <f>C12*Inputs!$C$52</f>
        <v>22.65</v>
      </c>
      <c r="D46" s="331">
        <f>D12*Inputs!$C$52</f>
        <v>19.05</v>
      </c>
      <c r="E46" s="331">
        <f>E12*Inputs!$C$52</f>
        <v>22.468962710033253</v>
      </c>
      <c r="F46" s="331">
        <f>F12*Inputs!$C$52</f>
        <v>23.346787141124501</v>
      </c>
      <c r="G46" s="331">
        <f>G12*Inputs!$C$52</f>
        <v>26.166878874368592</v>
      </c>
      <c r="H46" s="14">
        <f>H12*Inputs!$C$52</f>
        <v>26.149251728015752</v>
      </c>
      <c r="I46" s="14">
        <f>I12*Inputs!$C$52</f>
        <v>26.146669644705469</v>
      </c>
      <c r="J46" s="14">
        <f>J12*Inputs!$C$52</f>
        <v>26.147070473522589</v>
      </c>
      <c r="K46" s="14">
        <f>K12*Inputs!$C$52</f>
        <v>26.147145046325775</v>
      </c>
      <c r="L46" s="14">
        <f>L12*Inputs!$C$52</f>
        <v>26.147592483144884</v>
      </c>
      <c r="M46" s="14">
        <f>M12*Inputs!$C$52</f>
        <v>26.147639091146875</v>
      </c>
      <c r="N46" s="190">
        <f>N12*Inputs!$C$52</f>
        <v>26.147396729536521</v>
      </c>
      <c r="O46" s="14">
        <f>O12*Inputs!$C$52</f>
        <v>26.147219619128958</v>
      </c>
      <c r="P46" s="14">
        <f>P12*Inputs!$C$52</f>
        <v>26.147098438323784</v>
      </c>
      <c r="Q46" s="14">
        <f>Q12*Inputs!$C$52</f>
        <v>26.146939971117014</v>
      </c>
      <c r="R46" s="14">
        <f>R12*Inputs!$C$52</f>
        <v>26.146772182309846</v>
      </c>
      <c r="S46" s="14">
        <f>S12*Inputs!$C$52</f>
        <v>26.220189107045432</v>
      </c>
      <c r="T46" s="14">
        <f>T12*Inputs!$C$52</f>
        <v>26.219928102234288</v>
      </c>
      <c r="U46" s="14">
        <f>U12*Inputs!$C$52</f>
        <v>26.146045097478797</v>
      </c>
      <c r="V46" s="14">
        <f>V12*Inputs!$C$52</f>
        <v>26.219443379013587</v>
      </c>
      <c r="W46" s="14">
        <f>W12*Inputs!$C$52</f>
        <v>26.145429871852521</v>
      </c>
      <c r="X46" s="187">
        <f>X12*Inputs!$C$52</f>
        <v>26.14518751024217</v>
      </c>
      <c r="Y46" s="14">
        <f>Y12*Inputs!$C$52</f>
        <v>26.218576470176561</v>
      </c>
      <c r="Z46" s="14">
        <f>Z12*Inputs!$C$52</f>
        <v>26.218278178963818</v>
      </c>
      <c r="AA46" s="14">
        <f>AA12*Inputs!$C$52</f>
        <v>26.217979887751078</v>
      </c>
      <c r="AB46" s="14">
        <f>AB12*Inputs!$C$52</f>
        <v>26.143444370967725</v>
      </c>
      <c r="AC46" s="14">
        <f>AC12*Inputs!$C$52</f>
        <v>26.143015577349406</v>
      </c>
      <c r="AD46" s="14">
        <f>AD12*Inputs!$C$52</f>
        <v>26.142251206116757</v>
      </c>
      <c r="AE46" s="14">
        <f>AE12*Inputs!$C$52</f>
        <v>26.141896985301635</v>
      </c>
      <c r="AF46" s="14">
        <f>AF12*Inputs!$C$52</f>
        <v>26.216553682890169</v>
      </c>
      <c r="AG46" s="14">
        <f>AG12*Inputs!$C$52</f>
        <v>26.141197865271778</v>
      </c>
      <c r="AH46" s="14">
        <f>AH12*Inputs!$C$52</f>
        <v>26.140955503661424</v>
      </c>
    </row>
    <row r="47" spans="1:36" ht="15">
      <c r="A47" s="8" t="s">
        <v>347</v>
      </c>
      <c r="B47" s="34">
        <v>1</v>
      </c>
      <c r="C47" s="331">
        <f>C13*Inputs!$C$54</f>
        <v>0</v>
      </c>
      <c r="D47" s="331">
        <f>D13*Inputs!$C$54</f>
        <v>7.0142520000000017</v>
      </c>
      <c r="E47" s="331">
        <f>E13*Inputs!$C$54</f>
        <v>13.359102673777384</v>
      </c>
      <c r="F47" s="331">
        <f>F13*Inputs!$C$54</f>
        <v>24.60033708290986</v>
      </c>
      <c r="G47" s="331">
        <f>G13*Inputs!$C$54</f>
        <v>32.117521731095799</v>
      </c>
      <c r="H47" s="14">
        <f>H13*Inputs!$C$54</f>
        <v>48.993273454507609</v>
      </c>
      <c r="I47" s="14">
        <f>I13*Inputs!$C$54</f>
        <v>48.040392732374762</v>
      </c>
      <c r="J47" s="14">
        <f>J13*Inputs!$C$54</f>
        <v>48.553909249547296</v>
      </c>
      <c r="K47" s="14">
        <f>K13*Inputs!$C$54</f>
        <v>49.790331245287092</v>
      </c>
      <c r="L47" s="14">
        <f>L13*Inputs!$C$54</f>
        <v>50.806380210633115</v>
      </c>
      <c r="M47" s="14">
        <f>M13*Inputs!$C$54</f>
        <v>51.193433241338354</v>
      </c>
      <c r="N47" s="190">
        <f>N13*Inputs!$C$54</f>
        <v>50.990404255843636</v>
      </c>
      <c r="O47" s="14">
        <f>O13*Inputs!$C$54</f>
        <v>51.017604786777085</v>
      </c>
      <c r="P47" s="14">
        <f>P13*Inputs!$C$54</f>
        <v>50.5950037225169</v>
      </c>
      <c r="Q47" s="14">
        <f>Q13*Inputs!$C$54</f>
        <v>50.426391695744499</v>
      </c>
      <c r="R47" s="14">
        <f>R13*Inputs!$C$54</f>
        <v>50.341666805748773</v>
      </c>
      <c r="S47" s="14">
        <f>S13*Inputs!$C$54</f>
        <v>50.32756971476276</v>
      </c>
      <c r="T47" s="14">
        <f>T13*Inputs!$C$54</f>
        <v>49.915990568441863</v>
      </c>
      <c r="U47" s="14">
        <f>U13*Inputs!$C$54</f>
        <v>50.654035626502314</v>
      </c>
      <c r="V47" s="14">
        <f>V13*Inputs!$C$54</f>
        <v>51.247300323813405</v>
      </c>
      <c r="W47" s="14">
        <f>W13*Inputs!$C$54</f>
        <v>50.842295113294405</v>
      </c>
      <c r="X47" s="187">
        <f>X13*Inputs!$C$54</f>
        <v>51.13512333550851</v>
      </c>
      <c r="Y47" s="14">
        <f>Y13*Inputs!$C$54</f>
        <v>51.386434975898275</v>
      </c>
      <c r="Z47" s="14">
        <f>Z13*Inputs!$C$54</f>
        <v>51.406477125237814</v>
      </c>
      <c r="AA47" s="14">
        <f>AA13*Inputs!$C$54</f>
        <v>51.869366281983631</v>
      </c>
      <c r="AB47" s="14">
        <f>AB13*Inputs!$C$54</f>
        <v>52.097307831134799</v>
      </c>
      <c r="AC47" s="14">
        <f>AC13*Inputs!$C$54</f>
        <v>51.912017655324014</v>
      </c>
      <c r="AD47" s="14">
        <f>AD13*Inputs!$C$54</f>
        <v>52.472321091934674</v>
      </c>
      <c r="AE47" s="14">
        <f>AE13*Inputs!$C$54</f>
        <v>52.544396204194221</v>
      </c>
      <c r="AF47" s="14">
        <f>AF13*Inputs!$C$54</f>
        <v>52.496176989241121</v>
      </c>
      <c r="AG47" s="14">
        <f>AG13*Inputs!$C$54</f>
        <v>52.388894399857385</v>
      </c>
      <c r="AH47" s="14">
        <f>AH13*Inputs!$C$54</f>
        <v>52.012850506756116</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10.540000000000001</v>
      </c>
      <c r="D50" s="331">
        <f>D16*Inputs!$C$57</f>
        <v>12.920000000000002</v>
      </c>
      <c r="E50" s="331">
        <f>E16*Inputs!$C$57</f>
        <v>10.421441934918652</v>
      </c>
      <c r="F50" s="331">
        <f>F16*Inputs!$C$57</f>
        <v>15.537017308820175</v>
      </c>
      <c r="G50" s="331">
        <f>G16*Inputs!$C$57</f>
        <v>25.804651289119075</v>
      </c>
      <c r="H50" s="14">
        <f>H16*Inputs!$C$57</f>
        <v>26.187145657192183</v>
      </c>
      <c r="I50" s="14">
        <f>I16*Inputs!$C$57</f>
        <v>64.734040906457295</v>
      </c>
      <c r="J50" s="14">
        <f>J16*Inputs!$C$57</f>
        <v>90.763554621345932</v>
      </c>
      <c r="K50" s="14">
        <f>K16*Inputs!$C$57</f>
        <v>90.761511177927389</v>
      </c>
      <c r="L50" s="14">
        <f>L16*Inputs!$C$57</f>
        <v>90.733488518181971</v>
      </c>
      <c r="M50" s="14">
        <f>M16*Inputs!$C$57</f>
        <v>90.737850254133804</v>
      </c>
      <c r="N50" s="190">
        <f>N16*Inputs!$C$57</f>
        <v>90.756826793014739</v>
      </c>
      <c r="O50" s="14">
        <f>O16*Inputs!$C$57</f>
        <v>90.747374373458797</v>
      </c>
      <c r="P50" s="14">
        <f>P16*Inputs!$C$57</f>
        <v>90.741530842279488</v>
      </c>
      <c r="Q50" s="14">
        <f>Q16*Inputs!$C$57</f>
        <v>90.77113089694447</v>
      </c>
      <c r="R50" s="14">
        <f>R16*Inputs!$C$57</f>
        <v>90.858795814595823</v>
      </c>
      <c r="S50" s="14">
        <f>S16*Inputs!$C$57</f>
        <v>90.802499545913221</v>
      </c>
      <c r="T50" s="14">
        <f>T16*Inputs!$C$57</f>
        <v>91.234036556031214</v>
      </c>
      <c r="U50" s="14">
        <f>U16*Inputs!$C$57</f>
        <v>91.556709416775689</v>
      </c>
      <c r="V50" s="14">
        <f>V16*Inputs!$C$57</f>
        <v>93.17623990063835</v>
      </c>
      <c r="W50" s="14">
        <f>W16*Inputs!$C$57</f>
        <v>94.961480500786621</v>
      </c>
      <c r="X50" s="187">
        <f>X16*Inputs!$C$57</f>
        <v>95.411002202980015</v>
      </c>
      <c r="Y50" s="14">
        <f>Y16*Inputs!$C$57</f>
        <v>95.471002959731308</v>
      </c>
      <c r="Z50" s="14">
        <f>Z16*Inputs!$C$57</f>
        <v>95.52495703595757</v>
      </c>
      <c r="AA50" s="14">
        <f>AA16*Inputs!$C$57</f>
        <v>96.928730964722732</v>
      </c>
      <c r="AB50" s="14">
        <f>AB16*Inputs!$C$57</f>
        <v>98.791204166122469</v>
      </c>
      <c r="AC50" s="14">
        <f>AC16*Inputs!$C$57</f>
        <v>99.464130398780952</v>
      </c>
      <c r="AD50" s="14">
        <f>AD16*Inputs!$C$57</f>
        <v>105.19175890139931</v>
      </c>
      <c r="AE50" s="14">
        <f>AE16*Inputs!$C$57</f>
        <v>109.48704111727751</v>
      </c>
      <c r="AF50" s="14">
        <f>AF16*Inputs!$C$57</f>
        <v>110.00724684181384</v>
      </c>
      <c r="AG50" s="14">
        <f>AG16*Inputs!$C$57</f>
        <v>111.13718740253367</v>
      </c>
      <c r="AH50" s="14">
        <f>AH16*Inputs!$C$57</f>
        <v>112.77788126823393</v>
      </c>
    </row>
    <row r="51" spans="1:34" s="20" customFormat="1" ht="15">
      <c r="A51" s="8" t="s">
        <v>128</v>
      </c>
      <c r="B51" s="38"/>
      <c r="C51" s="334">
        <f t="shared" ref="C51:AH51" si="21">SUMPRODUCT($B42:$B50,C42:C50)</f>
        <v>239.83269999999999</v>
      </c>
      <c r="D51" s="334">
        <f t="shared" si="21"/>
        <v>255.28695199999999</v>
      </c>
      <c r="E51" s="334">
        <f t="shared" si="21"/>
        <v>232.43609471213225</v>
      </c>
      <c r="F51" s="334">
        <f t="shared" si="21"/>
        <v>252.16249709107987</v>
      </c>
      <c r="G51" s="334">
        <f t="shared" si="21"/>
        <v>240.85183743788451</v>
      </c>
      <c r="H51" s="19">
        <f t="shared" si="21"/>
        <v>263.6254408450709</v>
      </c>
      <c r="I51" s="19">
        <f t="shared" si="21"/>
        <v>311.51908272887681</v>
      </c>
      <c r="J51" s="19">
        <f t="shared" si="21"/>
        <v>386.32361515658528</v>
      </c>
      <c r="K51" s="19">
        <f t="shared" si="21"/>
        <v>392.61211775453927</v>
      </c>
      <c r="L51" s="19">
        <f t="shared" si="21"/>
        <v>397.90527269797775</v>
      </c>
      <c r="M51" s="19">
        <f t="shared" si="21"/>
        <v>404.58633936996375</v>
      </c>
      <c r="N51" s="190">
        <f t="shared" si="21"/>
        <v>410.49734950705948</v>
      </c>
      <c r="O51" s="19">
        <f t="shared" si="21"/>
        <v>429.26484751938978</v>
      </c>
      <c r="P51" s="19">
        <f t="shared" si="21"/>
        <v>429.70169103034237</v>
      </c>
      <c r="Q51" s="19">
        <f t="shared" si="21"/>
        <v>429.88531662237676</v>
      </c>
      <c r="R51" s="19">
        <f t="shared" si="21"/>
        <v>432.25838608094898</v>
      </c>
      <c r="S51" s="19">
        <f t="shared" si="21"/>
        <v>433.20606552978131</v>
      </c>
      <c r="T51" s="19">
        <f t="shared" si="21"/>
        <v>435.48822044497729</v>
      </c>
      <c r="U51" s="19">
        <f t="shared" si="21"/>
        <v>446.16516363146098</v>
      </c>
      <c r="V51" s="19">
        <f t="shared" si="21"/>
        <v>463.47350445777283</v>
      </c>
      <c r="W51" s="19">
        <f t="shared" si="21"/>
        <v>461.33320186295805</v>
      </c>
      <c r="X51" s="182">
        <f t="shared" si="21"/>
        <v>462.10014281059244</v>
      </c>
      <c r="Y51" s="19">
        <f t="shared" si="21"/>
        <v>465.88208159064084</v>
      </c>
      <c r="Z51" s="19">
        <f t="shared" si="21"/>
        <v>465.56626750410533</v>
      </c>
      <c r="AA51" s="19">
        <f t="shared" si="21"/>
        <v>470.15800135545703</v>
      </c>
      <c r="AB51" s="19">
        <f t="shared" si="21"/>
        <v>473.99826102942836</v>
      </c>
      <c r="AC51" s="19">
        <f t="shared" si="21"/>
        <v>475.65210577850098</v>
      </c>
      <c r="AD51" s="19">
        <f t="shared" si="21"/>
        <v>484.44626809743568</v>
      </c>
      <c r="AE51" s="19">
        <f t="shared" si="21"/>
        <v>495.59753170739941</v>
      </c>
      <c r="AF51" s="19">
        <f t="shared" si="21"/>
        <v>492.05794396274052</v>
      </c>
      <c r="AG51" s="19">
        <f t="shared" si="21"/>
        <v>494.95778049217574</v>
      </c>
      <c r="AH51" s="19">
        <f t="shared" si="21"/>
        <v>498.29068755119556</v>
      </c>
    </row>
    <row r="52" spans="1:34" s="20" customFormat="1" ht="15">
      <c r="A52" s="27" t="s">
        <v>329</v>
      </c>
      <c r="B52" s="39"/>
      <c r="C52" s="334">
        <f>SUM(C40:C50)</f>
        <v>1726.2112000000002</v>
      </c>
      <c r="D52" s="334">
        <f t="shared" ref="D52:I52" si="22">SUM(D42:D50)</f>
        <v>2004.385452</v>
      </c>
      <c r="E52" s="334">
        <f t="shared" si="22"/>
        <v>1749.5082555960032</v>
      </c>
      <c r="F52" s="334">
        <f t="shared" si="22"/>
        <v>1801.0197787901627</v>
      </c>
      <c r="G52" s="334">
        <f t="shared" si="22"/>
        <v>1740.6666899288073</v>
      </c>
      <c r="H52" s="19">
        <f t="shared" si="22"/>
        <v>1772.3579459083965</v>
      </c>
      <c r="I52" s="19">
        <f t="shared" si="22"/>
        <v>1678.0582474070445</v>
      </c>
      <c r="J52" s="19">
        <f t="shared" ref="J52:AH52" si="23">SUM(J42:J50)</f>
        <v>1769.5840913972286</v>
      </c>
      <c r="K52" s="19">
        <f t="shared" si="23"/>
        <v>1780.8070584486279</v>
      </c>
      <c r="L52" s="19">
        <f t="shared" si="23"/>
        <v>1788.9598141772067</v>
      </c>
      <c r="M52" s="19">
        <f t="shared" si="23"/>
        <v>1798.5017003506794</v>
      </c>
      <c r="N52" s="190">
        <f t="shared" si="23"/>
        <v>1805.2309135336172</v>
      </c>
      <c r="O52" s="19">
        <f t="shared" si="23"/>
        <v>1823.9984863868297</v>
      </c>
      <c r="P52" s="19">
        <f t="shared" si="23"/>
        <v>1824.4353834764283</v>
      </c>
      <c r="Q52" s="19">
        <f t="shared" si="23"/>
        <v>1834.7377437574783</v>
      </c>
      <c r="R52" s="19">
        <f t="shared" si="23"/>
        <v>1837.1107864267274</v>
      </c>
      <c r="S52" s="19">
        <f t="shared" si="23"/>
        <v>1838.0587069794674</v>
      </c>
      <c r="T52" s="19">
        <f t="shared" si="23"/>
        <v>1840.3413173131553</v>
      </c>
      <c r="U52" s="19">
        <f t="shared" si="23"/>
        <v>1852.5156173960111</v>
      </c>
      <c r="V52" s="19">
        <f t="shared" si="23"/>
        <v>1871.3185400832704</v>
      </c>
      <c r="W52" s="19">
        <f t="shared" si="23"/>
        <v>1869.1784785923626</v>
      </c>
      <c r="X52" s="182">
        <f t="shared" si="23"/>
        <v>1869.945392750674</v>
      </c>
      <c r="Y52" s="19">
        <f t="shared" si="23"/>
        <v>1873.7273583200456</v>
      </c>
      <c r="Z52" s="19">
        <f t="shared" si="23"/>
        <v>1873.4115978121565</v>
      </c>
      <c r="AA52" s="19">
        <f t="shared" si="23"/>
        <v>1878.0030101916313</v>
      </c>
      <c r="AB52" s="19">
        <f t="shared" si="23"/>
        <v>1881.8432698656027</v>
      </c>
      <c r="AC52" s="19">
        <f t="shared" si="23"/>
        <v>1883.4971146146754</v>
      </c>
      <c r="AD52" s="19">
        <f t="shared" si="23"/>
        <v>1893.3750122089275</v>
      </c>
      <c r="AE52" s="19">
        <f t="shared" si="23"/>
        <v>1904.5263506597739</v>
      </c>
      <c r="AF52" s="19">
        <f t="shared" si="23"/>
        <v>1900.9867629151149</v>
      </c>
      <c r="AG52" s="19">
        <f t="shared" si="23"/>
        <v>1903.886524603668</v>
      </c>
      <c r="AH52" s="19">
        <f t="shared" si="23"/>
        <v>1907.2196995559182</v>
      </c>
    </row>
    <row r="53" spans="1:34" s="20" customFormat="1" ht="15">
      <c r="A53" s="27" t="s">
        <v>330</v>
      </c>
      <c r="B53" s="39"/>
      <c r="C53" s="334">
        <f>C20*Inputs!$C$60</f>
        <v>317.45999999999998</v>
      </c>
      <c r="D53" s="334">
        <f>D20*Inputs!$C$60</f>
        <v>339.13</v>
      </c>
      <c r="E53" s="334">
        <f>E20*Inputs!$C$60</f>
        <v>147.94312953971806</v>
      </c>
      <c r="F53" s="334">
        <f>F20*Inputs!$C$60</f>
        <v>76.778429210438588</v>
      </c>
      <c r="G53" s="334">
        <f>G20*Inputs!$C$60</f>
        <v>83.451840423260748</v>
      </c>
      <c r="H53" s="19">
        <f>H20*Inputs!$C$60</f>
        <v>83.020010068740575</v>
      </c>
      <c r="I53" s="19">
        <f>I20*Inputs!$C$60</f>
        <v>83.833936891187321</v>
      </c>
      <c r="J53" s="19">
        <f>J20*Inputs!$C$60</f>
        <v>11.369451294923328</v>
      </c>
      <c r="K53" s="19">
        <f>K20*Inputs!$C$60</f>
        <v>43.317755129845473</v>
      </c>
      <c r="L53" s="19">
        <f>L20*Inputs!$C$60</f>
        <v>82.334186345374462</v>
      </c>
      <c r="M53" s="19">
        <f>M20*Inputs!$C$60</f>
        <v>98.509399001720979</v>
      </c>
      <c r="N53" s="190">
        <f>N20*Inputs!$C$60</f>
        <v>101.84089021826013</v>
      </c>
      <c r="O53" s="19">
        <f>O20*Inputs!$C$60</f>
        <v>104.25889920236068</v>
      </c>
      <c r="P53" s="19">
        <f>P20*Inputs!$C$60</f>
        <v>105.90677785709848</v>
      </c>
      <c r="Q53" s="19">
        <f>Q20*Inputs!$C$60</f>
        <v>107.14289498556268</v>
      </c>
      <c r="R53" s="19">
        <f>R20*Inputs!$C$60</f>
        <v>107.72622746598381</v>
      </c>
      <c r="S53" s="19">
        <f>S20*Inputs!$C$60</f>
        <v>108.30353491609071</v>
      </c>
      <c r="T53" s="19">
        <f>T20*Inputs!$C$60</f>
        <v>108.34794486680671</v>
      </c>
      <c r="U53" s="19">
        <f>U20*Inputs!$C$60</f>
        <v>167.72770781069499</v>
      </c>
      <c r="V53" s="19">
        <f>V20*Inputs!$C$60</f>
        <v>183.46201970324827</v>
      </c>
      <c r="W53" s="19">
        <f>W20*Inputs!$C$60</f>
        <v>186.21252272388858</v>
      </c>
      <c r="X53" s="182">
        <f>X20*Inputs!$C$60</f>
        <v>187.28596403386916</v>
      </c>
      <c r="Y53" s="19">
        <f>Y20*Inputs!$C$60</f>
        <v>186.28368380919966</v>
      </c>
      <c r="Z53" s="19">
        <f>Z20*Inputs!$C$60</f>
        <v>165.28393360605079</v>
      </c>
      <c r="AA53" s="19">
        <f>AA20*Inputs!$C$60</f>
        <v>162.42502385815703</v>
      </c>
      <c r="AB53" s="19">
        <f>AB20*Inputs!$C$60</f>
        <v>156.23902664315375</v>
      </c>
      <c r="AC53" s="19">
        <f>AC20*Inputs!$C$60</f>
        <v>152.50541394884374</v>
      </c>
      <c r="AD53" s="19">
        <f>AD20*Inputs!$C$60</f>
        <v>173.54131433387786</v>
      </c>
      <c r="AE53" s="19">
        <f>AE20*Inputs!$C$60</f>
        <v>170.77856406979888</v>
      </c>
      <c r="AF53" s="19">
        <f>AF20*Inputs!$C$60</f>
        <v>174.39077788057784</v>
      </c>
      <c r="AG53" s="19">
        <f>AG20*Inputs!$C$60</f>
        <v>174.45974804577472</v>
      </c>
      <c r="AH53" s="19">
        <f>AH20*Inputs!$C$60</f>
        <v>174.40136002472971</v>
      </c>
    </row>
    <row r="54" spans="1:34" s="20" customFormat="1" ht="15">
      <c r="A54" s="27" t="s">
        <v>222</v>
      </c>
      <c r="B54" s="39"/>
      <c r="C54" s="334">
        <f>C21*Inputs!$C$61</f>
        <v>587.62</v>
      </c>
      <c r="D54" s="334">
        <f>D21*Inputs!$C$61</f>
        <v>590.15</v>
      </c>
      <c r="E54" s="334">
        <f>E21*Inputs!$C$61</f>
        <v>732.90746666053883</v>
      </c>
      <c r="F54" s="334">
        <f>F21*Inputs!$C$61</f>
        <v>720.91562368795519</v>
      </c>
      <c r="G54" s="334">
        <f>G21*Inputs!$C$61</f>
        <v>701.65516776214213</v>
      </c>
      <c r="H54" s="19">
        <f>H21*Inputs!$C$61</f>
        <v>729.0615732008506</v>
      </c>
      <c r="I54" s="19">
        <f>I21*Inputs!$C$61</f>
        <v>745.34765728751597</v>
      </c>
      <c r="J54" s="19">
        <f>J21*Inputs!$C$61</f>
        <v>764.83630995438591</v>
      </c>
      <c r="K54" s="19">
        <f>K21*Inputs!$C$61</f>
        <v>785.44140655199362</v>
      </c>
      <c r="L54" s="19">
        <f>L21*Inputs!$C$61</f>
        <v>788.9414635168348</v>
      </c>
      <c r="M54" s="19">
        <f>M21*Inputs!$C$61</f>
        <v>785.05134238598055</v>
      </c>
      <c r="N54" s="190">
        <f>N21*Inputs!$C$61</f>
        <v>768.52111619059406</v>
      </c>
      <c r="O54" s="19">
        <f>O21*Inputs!$C$61</f>
        <v>758.52124949250094</v>
      </c>
      <c r="P54" s="19">
        <f>P21*Inputs!$C$61</f>
        <v>736.65356747519843</v>
      </c>
      <c r="Q54" s="19">
        <f>Q21*Inputs!$C$61</f>
        <v>720.31051649014319</v>
      </c>
      <c r="R54" s="19">
        <f>R21*Inputs!$C$61</f>
        <v>713.89934495894397</v>
      </c>
      <c r="S54" s="19">
        <f>S21*Inputs!$C$61</f>
        <v>711.24468505584855</v>
      </c>
      <c r="T54" s="19">
        <f>T21*Inputs!$C$61</f>
        <v>689.45140256366324</v>
      </c>
      <c r="U54" s="19">
        <f>U21*Inputs!$C$61</f>
        <v>657.36217910392349</v>
      </c>
      <c r="V54" s="19">
        <f>V21*Inputs!$C$61</f>
        <v>657.54219840384269</v>
      </c>
      <c r="W54" s="19">
        <f>W21*Inputs!$C$61</f>
        <v>633.93788542633899</v>
      </c>
      <c r="X54" s="182">
        <f>X21*Inputs!$C$61</f>
        <v>644.41835623359543</v>
      </c>
      <c r="Y54" s="19">
        <f>Y21*Inputs!$C$61</f>
        <v>653.90054706177114</v>
      </c>
      <c r="Z54" s="19">
        <f>Z21*Inputs!$C$61</f>
        <v>674.60800853114836</v>
      </c>
      <c r="AA54" s="19">
        <f>AA21*Inputs!$C$61</f>
        <v>694.26982935372723</v>
      </c>
      <c r="AB54" s="19">
        <f>AB21*Inputs!$C$61</f>
        <v>706.21397032044752</v>
      </c>
      <c r="AC54" s="19">
        <f>AC21*Inputs!$C$61</f>
        <v>698.45469597340411</v>
      </c>
      <c r="AD54" s="19">
        <f>AD21*Inputs!$C$61</f>
        <v>691.64670665716596</v>
      </c>
      <c r="AE54" s="19">
        <f>AE21*Inputs!$C$61</f>
        <v>686.84245759079727</v>
      </c>
      <c r="AF54" s="19">
        <f>AF21*Inputs!$C$61</f>
        <v>680.53871005031306</v>
      </c>
      <c r="AG54" s="19">
        <f>AG21*Inputs!$C$61</f>
        <v>671.51337594887741</v>
      </c>
      <c r="AH54" s="19">
        <f>AH21*Inputs!$C$61</f>
        <v>649.14526782866403</v>
      </c>
    </row>
    <row r="55" spans="1:34" s="20" customFormat="1" ht="15">
      <c r="A55" s="27" t="s">
        <v>58</v>
      </c>
      <c r="B55" s="39"/>
      <c r="C55" s="334">
        <f>SUM(C52:C54)</f>
        <v>2631.2912000000001</v>
      </c>
      <c r="D55" s="334">
        <f t="shared" ref="D55:AH55" si="24">SUM(D52:D54)</f>
        <v>2933.6654520000002</v>
      </c>
      <c r="E55" s="334">
        <f t="shared" si="24"/>
        <v>2630.3588517962598</v>
      </c>
      <c r="F55" s="334">
        <f t="shared" si="24"/>
        <v>2598.7138316885566</v>
      </c>
      <c r="G55" s="334">
        <f t="shared" si="24"/>
        <v>2525.7736981142102</v>
      </c>
      <c r="H55" s="19">
        <f t="shared" si="24"/>
        <v>2584.4395291779874</v>
      </c>
      <c r="I55" s="19">
        <f t="shared" si="24"/>
        <v>2507.2398415857479</v>
      </c>
      <c r="J55" s="19">
        <f t="shared" si="24"/>
        <v>2545.7898526465378</v>
      </c>
      <c r="K55" s="19">
        <f t="shared" si="24"/>
        <v>2609.5662201304667</v>
      </c>
      <c r="L55" s="19">
        <f t="shared" si="24"/>
        <v>2660.235464039416</v>
      </c>
      <c r="M55" s="19">
        <f t="shared" si="24"/>
        <v>2682.062441738381</v>
      </c>
      <c r="N55" s="190">
        <f t="shared" si="24"/>
        <v>2675.5929199424713</v>
      </c>
      <c r="O55" s="19">
        <f t="shared" si="24"/>
        <v>2686.7786350816914</v>
      </c>
      <c r="P55" s="19">
        <f t="shared" si="24"/>
        <v>2666.9957288087253</v>
      </c>
      <c r="Q55" s="19">
        <f t="shared" si="24"/>
        <v>2662.191155233184</v>
      </c>
      <c r="R55" s="19">
        <f t="shared" si="24"/>
        <v>2658.736358851655</v>
      </c>
      <c r="S55" s="19">
        <f t="shared" si="24"/>
        <v>2657.6069269514064</v>
      </c>
      <c r="T55" s="19">
        <f t="shared" si="24"/>
        <v>2638.1406647436252</v>
      </c>
      <c r="U55" s="19">
        <f t="shared" si="24"/>
        <v>2677.6055043106294</v>
      </c>
      <c r="V55" s="19">
        <f t="shared" si="24"/>
        <v>2712.3227581903611</v>
      </c>
      <c r="W55" s="19">
        <f t="shared" si="24"/>
        <v>2689.3288867425904</v>
      </c>
      <c r="X55" s="182">
        <f t="shared" si="24"/>
        <v>2701.6497130181388</v>
      </c>
      <c r="Y55" s="19">
        <f t="shared" si="24"/>
        <v>2713.9115891910164</v>
      </c>
      <c r="Z55" s="19">
        <f t="shared" si="24"/>
        <v>2713.3035399493556</v>
      </c>
      <c r="AA55" s="19">
        <f t="shared" si="24"/>
        <v>2734.6978634035158</v>
      </c>
      <c r="AB55" s="19">
        <f t="shared" si="24"/>
        <v>2744.2962668292039</v>
      </c>
      <c r="AC55" s="19">
        <f t="shared" si="24"/>
        <v>2734.4572245369236</v>
      </c>
      <c r="AD55" s="19">
        <f t="shared" si="24"/>
        <v>2758.5630331999714</v>
      </c>
      <c r="AE55" s="19">
        <f t="shared" si="24"/>
        <v>2762.1473723203699</v>
      </c>
      <c r="AF55" s="19">
        <f t="shared" si="24"/>
        <v>2755.9162508460058</v>
      </c>
      <c r="AG55" s="19">
        <f t="shared" si="24"/>
        <v>2749.8596485983198</v>
      </c>
      <c r="AH55" s="19">
        <f t="shared" si="24"/>
        <v>2730.766327409312</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226.79864999999998</v>
      </c>
      <c r="D60" s="331">
        <f>D42*Inputs!$H48</f>
        <v>199.52865</v>
      </c>
      <c r="E60" s="331">
        <f>E42*Inputs!$H48</f>
        <v>210.76843111705264</v>
      </c>
      <c r="F60" s="331">
        <f>F42*Inputs!$H48</f>
        <v>177.64253838237556</v>
      </c>
      <c r="G60" s="331">
        <f>G42*Inputs!$H48</f>
        <v>172.23161215694972</v>
      </c>
      <c r="H60" s="14">
        <f>H42*Inputs!$H48</f>
        <v>175.13117597047221</v>
      </c>
      <c r="I60" s="14">
        <f>I42*Inputs!$H48</f>
        <v>178.59024551196038</v>
      </c>
      <c r="J60" s="14">
        <f>J42*Inputs!$H48</f>
        <v>182.065710119165</v>
      </c>
      <c r="K60" s="14">
        <f>K42*Inputs!$H48</f>
        <v>183.93467527967147</v>
      </c>
      <c r="L60" s="14">
        <f>L42*Inputs!$H48</f>
        <v>183.93474761084371</v>
      </c>
      <c r="M60" s="14">
        <f>M42*Inputs!$H48</f>
        <v>183.93477172123451</v>
      </c>
      <c r="N60" s="190">
        <f>N42*Inputs!$H48</f>
        <v>183.93467527967147</v>
      </c>
      <c r="O60" s="14">
        <f>O42*Inputs!$H48</f>
        <v>183.93467527967147</v>
      </c>
      <c r="P60" s="14">
        <f>P42*Inputs!$H48</f>
        <v>183.93472350045295</v>
      </c>
      <c r="Q60" s="14">
        <f>Q42*Inputs!$H48</f>
        <v>193.04165207736088</v>
      </c>
      <c r="R60" s="14">
        <f>R42*Inputs!$H48</f>
        <v>193.04162796697011</v>
      </c>
      <c r="S60" s="14">
        <f>S42*Inputs!$H48</f>
        <v>193.04184496048694</v>
      </c>
      <c r="T60" s="14">
        <f>T42*Inputs!$H48</f>
        <v>193.04225483712983</v>
      </c>
      <c r="U60" s="14">
        <f>U42*Inputs!$H48</f>
        <v>194.38980868707068</v>
      </c>
      <c r="V60" s="14">
        <f>V42*Inputs!$H48</f>
        <v>195.73499971871712</v>
      </c>
      <c r="W60" s="14">
        <f>W42*Inputs!$H48</f>
        <v>195.73521671223398</v>
      </c>
      <c r="X60" s="187">
        <f>X42*Inputs!$H48</f>
        <v>195.73519260184318</v>
      </c>
      <c r="Y60" s="14">
        <f>Y42*Inputs!$H48</f>
        <v>195.73521671223398</v>
      </c>
      <c r="Z60" s="14">
        <f>Z42*Inputs!$H48</f>
        <v>195.73526493301546</v>
      </c>
      <c r="AA60" s="14">
        <f>AA42*Inputs!$H48</f>
        <v>195.73497560832635</v>
      </c>
      <c r="AB60" s="14">
        <f>AB42*Inputs!$H48</f>
        <v>195.73497560832635</v>
      </c>
      <c r="AC60" s="14">
        <f>AC42*Inputs!$H48</f>
        <v>195.73497560832635</v>
      </c>
      <c r="AD60" s="14">
        <f>AD42*Inputs!$H48</f>
        <v>196.71033735611238</v>
      </c>
      <c r="AE60" s="14">
        <f>AE42*Inputs!$H48</f>
        <v>196.71033735611238</v>
      </c>
      <c r="AF60" s="14">
        <f>AF42*Inputs!$H48</f>
        <v>196.71033735611238</v>
      </c>
      <c r="AG60" s="14">
        <f>AG42*Inputs!$H48</f>
        <v>196.71033735611238</v>
      </c>
      <c r="AH60" s="14">
        <f>AH42*Inputs!$H48</f>
        <v>196.71057846001997</v>
      </c>
    </row>
    <row r="61" spans="1:34" ht="15">
      <c r="A61" s="8" t="s">
        <v>59</v>
      </c>
      <c r="B61" s="34">
        <v>0</v>
      </c>
      <c r="C61" s="331">
        <f>C43*Inputs!$H53</f>
        <v>1110.9420000000002</v>
      </c>
      <c r="D61" s="331">
        <f>D43*Inputs!$H53</f>
        <v>1374.66</v>
      </c>
      <c r="E61" s="331">
        <f>E43*Inputs!$H53</f>
        <v>1154.5965136784314</v>
      </c>
      <c r="F61" s="331">
        <f>F43*Inputs!$H53</f>
        <v>1216.3290151467993</v>
      </c>
      <c r="G61" s="331">
        <f>G43*Inputs!$H53</f>
        <v>1177.601755084881</v>
      </c>
      <c r="H61" s="14">
        <f>H43*Inputs!$H53</f>
        <v>1182.7280785865212</v>
      </c>
      <c r="I61" s="14">
        <f>I43*Inputs!$H53</f>
        <v>1051.2950026983906</v>
      </c>
      <c r="J61" s="14">
        <f>J43*Inputs!$H53</f>
        <v>1062.868718497414</v>
      </c>
      <c r="K61" s="14">
        <f>K43*Inputs!$H53</f>
        <v>1065.4407713450087</v>
      </c>
      <c r="L61" s="14">
        <f>L43*Inputs!$H53</f>
        <v>1068.0143397204624</v>
      </c>
      <c r="M61" s="14">
        <f>M43*Inputs!$H53</f>
        <v>1070.58905316141</v>
      </c>
      <c r="N61" s="190">
        <f>N43*Inputs!$H53</f>
        <v>1071.3255323442306</v>
      </c>
      <c r="O61" s="14">
        <f>O43*Inputs!$H53</f>
        <v>1071.3255997010247</v>
      </c>
      <c r="P61" s="14">
        <f>P43*Inputs!$H53</f>
        <v>1071.3255997010247</v>
      </c>
      <c r="Q61" s="14">
        <f>Q43*Inputs!$H53</f>
        <v>1071.3255323442306</v>
      </c>
      <c r="R61" s="14">
        <f>R43*Inputs!$H53</f>
        <v>1071.3255323442306</v>
      </c>
      <c r="S61" s="14">
        <f>S43*Inputs!$H53</f>
        <v>1071.3255323442306</v>
      </c>
      <c r="T61" s="14">
        <f>T43*Inputs!$H53</f>
        <v>1071.3255323442306</v>
      </c>
      <c r="U61" s="14">
        <f>U43*Inputs!$H53</f>
        <v>1071.3255997010247</v>
      </c>
      <c r="V61" s="14">
        <f>V43*Inputs!$H53</f>
        <v>1071.3255323442306</v>
      </c>
      <c r="W61" s="14">
        <f>W43*Inputs!$H53</f>
        <v>1071.3255323442306</v>
      </c>
      <c r="X61" s="187">
        <f>X43*Inputs!$H53</f>
        <v>1071.3255323442306</v>
      </c>
      <c r="Y61" s="14">
        <f>Y43*Inputs!$H53</f>
        <v>1071.3255323442306</v>
      </c>
      <c r="Z61" s="14">
        <f>Z43*Inputs!$H53</f>
        <v>1071.3255323442306</v>
      </c>
      <c r="AA61" s="14">
        <f>AA43*Inputs!$H53</f>
        <v>1071.3255323442306</v>
      </c>
      <c r="AB61" s="14">
        <f>AB43*Inputs!$H53</f>
        <v>1071.3255323442306</v>
      </c>
      <c r="AC61" s="14">
        <f>AC43*Inputs!$H53</f>
        <v>1071.3255323442306</v>
      </c>
      <c r="AD61" s="14">
        <f>AD43*Inputs!$H53</f>
        <v>1071.3255323442306</v>
      </c>
      <c r="AE61" s="14">
        <f>AE43*Inputs!$H53</f>
        <v>1071.3255997010247</v>
      </c>
      <c r="AF61" s="14">
        <f>AF43*Inputs!$H53</f>
        <v>1071.3255997010247</v>
      </c>
      <c r="AG61" s="14">
        <f>AG43*Inputs!$H53</f>
        <v>1071.3255323442306</v>
      </c>
      <c r="AH61" s="14">
        <f>AH43*Inputs!$H53</f>
        <v>1071.3255323442306</v>
      </c>
    </row>
    <row r="62" spans="1:34" ht="15">
      <c r="A62" s="8" t="s">
        <v>121</v>
      </c>
      <c r="B62" s="34">
        <v>1</v>
      </c>
      <c r="C62" s="331">
        <f>C44*Inputs!$H46</f>
        <v>185.976</v>
      </c>
      <c r="D62" s="331">
        <f>D44*Inputs!$H46</f>
        <v>194.67</v>
      </c>
      <c r="E62" s="331">
        <f>E44*Inputs!$H46</f>
        <v>167.54479863156268</v>
      </c>
      <c r="F62" s="331">
        <f>F44*Inputs!$H46</f>
        <v>169.7873899799028</v>
      </c>
      <c r="G62" s="331">
        <f>G44*Inputs!$H46</f>
        <v>141.06337696647097</v>
      </c>
      <c r="H62" s="14">
        <f>H44*Inputs!$H46</f>
        <v>146.04306298231987</v>
      </c>
      <c r="I62" s="14">
        <f>I44*Inputs!$H46</f>
        <v>155.31505147830535</v>
      </c>
      <c r="J62" s="14">
        <f>J44*Inputs!$H46</f>
        <v>198.7500427084525</v>
      </c>
      <c r="K62" s="14">
        <f>K44*Inputs!$H46</f>
        <v>203.29868723399912</v>
      </c>
      <c r="L62" s="14">
        <f>L44*Inputs!$H46</f>
        <v>207.17290031491601</v>
      </c>
      <c r="M62" s="14">
        <f>M44*Inputs!$H46</f>
        <v>212.8335450825102</v>
      </c>
      <c r="N62" s="190">
        <f>N44*Inputs!$H46</f>
        <v>218.31931953329811</v>
      </c>
      <c r="O62" s="14">
        <f>O44*Inputs!$H46</f>
        <v>235.19425384352238</v>
      </c>
      <c r="P62" s="14">
        <f>P44*Inputs!$H46</f>
        <v>235.97312220199998</v>
      </c>
      <c r="Q62" s="14">
        <f>Q44*Inputs!$H46</f>
        <v>236.26363863021368</v>
      </c>
      <c r="R62" s="14">
        <f>R44*Inputs!$H46</f>
        <v>238.39690612796505</v>
      </c>
      <c r="S62" s="14">
        <f>S44*Inputs!$H46</f>
        <v>239.24709642335384</v>
      </c>
      <c r="T62" s="14">
        <f>T44*Inputs!$H46</f>
        <v>241.28330867394286</v>
      </c>
      <c r="U62" s="14">
        <f>U44*Inputs!$H46</f>
        <v>250.00440611913373</v>
      </c>
      <c r="V62" s="14">
        <f>V44*Inputs!$H46</f>
        <v>263.52433874637671</v>
      </c>
      <c r="W62" s="14">
        <f>W44*Inputs!$H46</f>
        <v>260.42246671682199</v>
      </c>
      <c r="X62" s="187">
        <f>X44*Inputs!$H46</f>
        <v>260.44481676317554</v>
      </c>
      <c r="Y62" s="14">
        <f>Y44*Inputs!$H46</f>
        <v>263.50233044385118</v>
      </c>
      <c r="Z62" s="14">
        <f>Z44*Inputs!$H46</f>
        <v>263.15176962505143</v>
      </c>
      <c r="AA62" s="14">
        <f>AA44*Inputs!$H46</f>
        <v>265.60460177639959</v>
      </c>
      <c r="AB62" s="14">
        <f>AB44*Inputs!$H46</f>
        <v>267.24654417258307</v>
      </c>
      <c r="AC62" s="14">
        <f>AC44*Inputs!$H46</f>
        <v>268.29651790984195</v>
      </c>
      <c r="AD62" s="14">
        <f>AD44*Inputs!$H46</f>
        <v>270.55281318568632</v>
      </c>
      <c r="AE62" s="14">
        <f>AE44*Inputs!$H46</f>
        <v>276.65864763806343</v>
      </c>
      <c r="AF62" s="14">
        <f>AF44*Inputs!$H46</f>
        <v>272.98103978141586</v>
      </c>
      <c r="AG62" s="14">
        <f>AG44*Inputs!$H46</f>
        <v>274.73832071956156</v>
      </c>
      <c r="AH62" s="14">
        <f>AH44*Inputs!$H46</f>
        <v>276.59997022278964</v>
      </c>
    </row>
    <row r="63" spans="1:34" ht="15">
      <c r="A63" s="8" t="s">
        <v>50</v>
      </c>
      <c r="B63" s="34">
        <v>1</v>
      </c>
      <c r="C63" s="331">
        <f>C45*Inputs!$H49</f>
        <v>0</v>
      </c>
      <c r="D63" s="331">
        <f>D45*Inputs!$H49</f>
        <v>0</v>
      </c>
      <c r="E63" s="331">
        <f>E45*Inputs!$H49</f>
        <v>2.2500000000000003E-8</v>
      </c>
      <c r="F63" s="331">
        <f>F45*Inputs!$H49</f>
        <v>2.2500000000000003E-8</v>
      </c>
      <c r="G63" s="331">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1">
        <f>C46*Inputs!$H52</f>
        <v>20.384999999999998</v>
      </c>
      <c r="D64" s="331">
        <f>D46*Inputs!$H52</f>
        <v>17.145</v>
      </c>
      <c r="E64" s="331">
        <f>E46*Inputs!$H52</f>
        <v>20.222066439029927</v>
      </c>
      <c r="F64" s="331">
        <f>F46*Inputs!$H52</f>
        <v>21.012108427012052</v>
      </c>
      <c r="G64" s="331">
        <f>G46*Inputs!$H52</f>
        <v>23.550190986931735</v>
      </c>
      <c r="H64" s="14">
        <f>H46*Inputs!$H52</f>
        <v>23.534326555214179</v>
      </c>
      <c r="I64" s="14">
        <f>I46*Inputs!$H52</f>
        <v>23.532002680234921</v>
      </c>
      <c r="J64" s="14">
        <f>J46*Inputs!$H52</f>
        <v>23.532363426170331</v>
      </c>
      <c r="K64" s="14">
        <f>K46*Inputs!$H52</f>
        <v>23.532430541693198</v>
      </c>
      <c r="L64" s="14">
        <f>L46*Inputs!$H52</f>
        <v>23.532833234830395</v>
      </c>
      <c r="M64" s="14">
        <f>M46*Inputs!$H52</f>
        <v>23.532875182032189</v>
      </c>
      <c r="N64" s="190">
        <f>N46*Inputs!$H52</f>
        <v>23.53265705658287</v>
      </c>
      <c r="O64" s="14">
        <f>O46*Inputs!$H52</f>
        <v>23.532497657216062</v>
      </c>
      <c r="P64" s="14">
        <f>P46*Inputs!$H52</f>
        <v>23.532388594491405</v>
      </c>
      <c r="Q64" s="14">
        <f>Q46*Inputs!$H52</f>
        <v>23.532245974005313</v>
      </c>
      <c r="R64" s="14">
        <f>R46*Inputs!$H52</f>
        <v>23.532094964078862</v>
      </c>
      <c r="S64" s="14">
        <f>S46*Inputs!$H52</f>
        <v>23.598170196340888</v>
      </c>
      <c r="T64" s="14">
        <f>T46*Inputs!$H52</f>
        <v>23.59793529201086</v>
      </c>
      <c r="U64" s="14">
        <f>U46*Inputs!$H52</f>
        <v>23.53144058773092</v>
      </c>
      <c r="V64" s="14">
        <f>V46*Inputs!$H52</f>
        <v>23.597499041112229</v>
      </c>
      <c r="W64" s="14">
        <f>W46*Inputs!$H52</f>
        <v>23.530886884667268</v>
      </c>
      <c r="X64" s="187">
        <f>X46*Inputs!$H52</f>
        <v>23.530668759217953</v>
      </c>
      <c r="Y64" s="14">
        <f>Y46*Inputs!$H52</f>
        <v>23.596718823158906</v>
      </c>
      <c r="Z64" s="14">
        <f>Z46*Inputs!$H52</f>
        <v>23.596450361067436</v>
      </c>
      <c r="AA64" s="14">
        <f>AA46*Inputs!$H52</f>
        <v>23.596181898975971</v>
      </c>
      <c r="AB64" s="14">
        <f>AB46*Inputs!$H52</f>
        <v>23.529099933870953</v>
      </c>
      <c r="AC64" s="14">
        <f>AC46*Inputs!$H52</f>
        <v>23.528714019614466</v>
      </c>
      <c r="AD64" s="14">
        <f>AD46*Inputs!$H52</f>
        <v>23.528026085505083</v>
      </c>
      <c r="AE64" s="14">
        <f>AE46*Inputs!$H52</f>
        <v>23.527707286771474</v>
      </c>
      <c r="AF64" s="14">
        <f>AF46*Inputs!$H52</f>
        <v>23.594898314601153</v>
      </c>
      <c r="AG64" s="14">
        <f>AG46*Inputs!$H52</f>
        <v>23.527078078744601</v>
      </c>
      <c r="AH64" s="14">
        <f>AH46*Inputs!$H52</f>
        <v>23.526859953295283</v>
      </c>
    </row>
    <row r="65" spans="1:34" ht="15">
      <c r="A65" s="8" t="s">
        <v>347</v>
      </c>
      <c r="B65" s="34">
        <v>1</v>
      </c>
      <c r="C65" s="331">
        <f>C47*Inputs!$H54</f>
        <v>0</v>
      </c>
      <c r="D65" s="331">
        <f>D47*Inputs!$H54</f>
        <v>6.3128268000000016</v>
      </c>
      <c r="E65" s="331">
        <f>E47*Inputs!$H54</f>
        <v>12.023192406399646</v>
      </c>
      <c r="F65" s="331">
        <f>F47*Inputs!$H54</f>
        <v>22.140303374618874</v>
      </c>
      <c r="G65" s="331">
        <f>G47*Inputs!$H54</f>
        <v>28.905769557986218</v>
      </c>
      <c r="H65" s="14">
        <f>H47*Inputs!$H54</f>
        <v>44.093946109056851</v>
      </c>
      <c r="I65" s="14">
        <f>I47*Inputs!$H54</f>
        <v>43.236353459137284</v>
      </c>
      <c r="J65" s="14">
        <f>J47*Inputs!$H54</f>
        <v>43.69851832459257</v>
      </c>
      <c r="K65" s="14">
        <f>K47*Inputs!$H54</f>
        <v>44.811298120758387</v>
      </c>
      <c r="L65" s="14">
        <f>L47*Inputs!$H54</f>
        <v>45.725742189569807</v>
      </c>
      <c r="M65" s="14">
        <f>M47*Inputs!$H54</f>
        <v>46.074089917204518</v>
      </c>
      <c r="N65" s="190">
        <f>N47*Inputs!$H54</f>
        <v>45.891363830259273</v>
      </c>
      <c r="O65" s="14">
        <f>O47*Inputs!$H54</f>
        <v>45.915844308099381</v>
      </c>
      <c r="P65" s="14">
        <f>P47*Inputs!$H54</f>
        <v>45.535503350265209</v>
      </c>
      <c r="Q65" s="14">
        <f>Q47*Inputs!$H54</f>
        <v>45.383752526170049</v>
      </c>
      <c r="R65" s="14">
        <f>R47*Inputs!$H54</f>
        <v>45.307500125173895</v>
      </c>
      <c r="S65" s="14">
        <f>S47*Inputs!$H54</f>
        <v>45.294812743286485</v>
      </c>
      <c r="T65" s="14">
        <f>T47*Inputs!$H54</f>
        <v>44.924391511597676</v>
      </c>
      <c r="U65" s="14">
        <f>U47*Inputs!$H54</f>
        <v>45.588632063852081</v>
      </c>
      <c r="V65" s="14">
        <f>V47*Inputs!$H54</f>
        <v>46.122570291432069</v>
      </c>
      <c r="W65" s="14">
        <f>W47*Inputs!$H54</f>
        <v>45.758065601964965</v>
      </c>
      <c r="X65" s="187">
        <f>X47*Inputs!$H54</f>
        <v>46.021611001957659</v>
      </c>
      <c r="Y65" s="14">
        <f>Y47*Inputs!$H54</f>
        <v>46.24779147830845</v>
      </c>
      <c r="Z65" s="14">
        <f>Z47*Inputs!$H54</f>
        <v>46.265829412714034</v>
      </c>
      <c r="AA65" s="14">
        <f>AA47*Inputs!$H54</f>
        <v>46.68242965378527</v>
      </c>
      <c r="AB65" s="14">
        <f>AB47*Inputs!$H54</f>
        <v>46.887577048021321</v>
      </c>
      <c r="AC65" s="14">
        <f>AC47*Inputs!$H54</f>
        <v>46.720815889791616</v>
      </c>
      <c r="AD65" s="14">
        <f>AD47*Inputs!$H54</f>
        <v>47.225088982741205</v>
      </c>
      <c r="AE65" s="14">
        <f>AE47*Inputs!$H54</f>
        <v>47.289956583774803</v>
      </c>
      <c r="AF65" s="14">
        <f>AF47*Inputs!$H54</f>
        <v>47.246559290317009</v>
      </c>
      <c r="AG65" s="14">
        <f>AG47*Inputs!$H54</f>
        <v>47.150004959871644</v>
      </c>
      <c r="AH65" s="14">
        <f>AH47*Inputs!$H54</f>
        <v>46.811565456080508</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9.4860000000000007</v>
      </c>
      <c r="D68" s="331">
        <f>D50*Inputs!$H57</f>
        <v>11.628000000000002</v>
      </c>
      <c r="E68" s="331">
        <f>E50*Inputs!$H57</f>
        <v>9.3792977414267877</v>
      </c>
      <c r="F68" s="331">
        <f>F50*Inputs!$H57</f>
        <v>13.983315577938159</v>
      </c>
      <c r="G68" s="331">
        <f>G50*Inputs!$H57</f>
        <v>23.224186160207168</v>
      </c>
      <c r="H68" s="14">
        <f>H50*Inputs!$H57</f>
        <v>23.568431091472966</v>
      </c>
      <c r="I68" s="14">
        <f>I50*Inputs!$H57</f>
        <v>58.260636815811566</v>
      </c>
      <c r="J68" s="14">
        <f>J50*Inputs!$H57</f>
        <v>81.687199159211346</v>
      </c>
      <c r="K68" s="14">
        <f>K50*Inputs!$H57</f>
        <v>81.685360060134656</v>
      </c>
      <c r="L68" s="14">
        <f>L50*Inputs!$H57</f>
        <v>81.660139666363776</v>
      </c>
      <c r="M68" s="14">
        <f>M50*Inputs!$H57</f>
        <v>81.664065228720432</v>
      </c>
      <c r="N68" s="190">
        <f>N50*Inputs!$H57</f>
        <v>81.681144113713273</v>
      </c>
      <c r="O68" s="14">
        <f>O50*Inputs!$H57</f>
        <v>81.672636936112923</v>
      </c>
      <c r="P68" s="14">
        <f>P50*Inputs!$H57</f>
        <v>81.667377758051543</v>
      </c>
      <c r="Q68" s="14">
        <f>Q50*Inputs!$H57</f>
        <v>81.69401780725002</v>
      </c>
      <c r="R68" s="14">
        <f>R50*Inputs!$H57</f>
        <v>81.772916233136243</v>
      </c>
      <c r="S68" s="14">
        <f>S50*Inputs!$H57</f>
        <v>81.722249591321898</v>
      </c>
      <c r="T68" s="14">
        <f>T50*Inputs!$H57</f>
        <v>82.110632900428101</v>
      </c>
      <c r="U68" s="14">
        <f>U50*Inputs!$H57</f>
        <v>82.401038475098119</v>
      </c>
      <c r="V68" s="14">
        <f>V50*Inputs!$H57</f>
        <v>83.858615910574514</v>
      </c>
      <c r="W68" s="14">
        <f>W50*Inputs!$H57</f>
        <v>85.465332450707962</v>
      </c>
      <c r="X68" s="187">
        <f>X50*Inputs!$H57</f>
        <v>85.869901982682009</v>
      </c>
      <c r="Y68" s="14">
        <f>Y50*Inputs!$H57</f>
        <v>85.923902663758184</v>
      </c>
      <c r="Z68" s="14">
        <f>Z50*Inputs!$H57</f>
        <v>85.972461332361817</v>
      </c>
      <c r="AA68" s="14">
        <f>AA50*Inputs!$H57</f>
        <v>87.235857868250463</v>
      </c>
      <c r="AB68" s="14">
        <f>AB50*Inputs!$H57</f>
        <v>88.912083749510231</v>
      </c>
      <c r="AC68" s="14">
        <f>AC50*Inputs!$H57</f>
        <v>89.517717358902857</v>
      </c>
      <c r="AD68" s="14">
        <f>AD50*Inputs!$H57</f>
        <v>94.672583011259377</v>
      </c>
      <c r="AE68" s="14">
        <f>AE50*Inputs!$H57</f>
        <v>98.538337005549764</v>
      </c>
      <c r="AF68" s="14">
        <f>AF50*Inputs!$H57</f>
        <v>99.00652215763246</v>
      </c>
      <c r="AG68" s="14">
        <f>AG50*Inputs!$H57</f>
        <v>100.02346866228031</v>
      </c>
      <c r="AH68" s="14">
        <f>AH50*Inputs!$H57</f>
        <v>101.50009314141053</v>
      </c>
    </row>
    <row r="69" spans="1:34" s="20" customFormat="1" ht="15">
      <c r="A69" s="8" t="s">
        <v>128</v>
      </c>
      <c r="B69" s="38"/>
      <c r="C69" s="334">
        <f t="shared" ref="C69:AH69" si="25">SUMPRODUCT($B60:$B68,C60:C68)</f>
        <v>215.84942999999998</v>
      </c>
      <c r="D69" s="334">
        <f t="shared" si="25"/>
        <v>229.75825680000003</v>
      </c>
      <c r="E69" s="334">
        <f t="shared" si="25"/>
        <v>209.19248524091907</v>
      </c>
      <c r="F69" s="334">
        <f t="shared" si="25"/>
        <v>226.94624738197186</v>
      </c>
      <c r="G69" s="334">
        <f t="shared" si="25"/>
        <v>216.76665369409608</v>
      </c>
      <c r="H69" s="19">
        <f t="shared" si="25"/>
        <v>237.26289676056385</v>
      </c>
      <c r="I69" s="19">
        <f t="shared" si="25"/>
        <v>280.36717445598913</v>
      </c>
      <c r="J69" s="19">
        <f t="shared" si="25"/>
        <v>347.69125364092667</v>
      </c>
      <c r="K69" s="19">
        <f t="shared" si="25"/>
        <v>353.35090597908533</v>
      </c>
      <c r="L69" s="19">
        <f t="shared" si="25"/>
        <v>358.11474542817996</v>
      </c>
      <c r="M69" s="19">
        <f t="shared" si="25"/>
        <v>364.12770543296733</v>
      </c>
      <c r="N69" s="190">
        <f t="shared" si="25"/>
        <v>369.44761455635353</v>
      </c>
      <c r="O69" s="19">
        <f t="shared" si="25"/>
        <v>386.33836276745069</v>
      </c>
      <c r="P69" s="19">
        <f t="shared" si="25"/>
        <v>386.73152192730811</v>
      </c>
      <c r="Q69" s="19">
        <f t="shared" si="25"/>
        <v>386.89678496013903</v>
      </c>
      <c r="R69" s="19">
        <f t="shared" si="25"/>
        <v>389.03254747285399</v>
      </c>
      <c r="S69" s="19">
        <f t="shared" si="25"/>
        <v>389.88545897680302</v>
      </c>
      <c r="T69" s="19">
        <f t="shared" si="25"/>
        <v>391.93939840047949</v>
      </c>
      <c r="U69" s="19">
        <f t="shared" si="25"/>
        <v>401.54864726831482</v>
      </c>
      <c r="V69" s="19">
        <f t="shared" si="25"/>
        <v>417.12615401199548</v>
      </c>
      <c r="W69" s="19">
        <f t="shared" si="25"/>
        <v>415.19988167666213</v>
      </c>
      <c r="X69" s="182">
        <f t="shared" si="25"/>
        <v>415.89012852953311</v>
      </c>
      <c r="Y69" s="19">
        <f t="shared" si="25"/>
        <v>419.29387343157669</v>
      </c>
      <c r="Z69" s="19">
        <f t="shared" si="25"/>
        <v>419.00964075369467</v>
      </c>
      <c r="AA69" s="19">
        <f t="shared" si="25"/>
        <v>423.14220121991127</v>
      </c>
      <c r="AB69" s="19">
        <f t="shared" si="25"/>
        <v>426.59843492648554</v>
      </c>
      <c r="AC69" s="19">
        <f t="shared" si="25"/>
        <v>428.08689520065087</v>
      </c>
      <c r="AD69" s="19">
        <f t="shared" si="25"/>
        <v>436.001641287692</v>
      </c>
      <c r="AE69" s="19">
        <f t="shared" si="25"/>
        <v>446.03777853665946</v>
      </c>
      <c r="AF69" s="19">
        <f t="shared" si="25"/>
        <v>442.85214956646644</v>
      </c>
      <c r="AG69" s="19">
        <f t="shared" si="25"/>
        <v>445.46200244295807</v>
      </c>
      <c r="AH69" s="19">
        <f t="shared" si="25"/>
        <v>448.46161879607598</v>
      </c>
    </row>
    <row r="70" spans="1:34" s="20" customFormat="1" ht="15">
      <c r="A70" s="27" t="s">
        <v>329</v>
      </c>
      <c r="B70" s="39"/>
      <c r="C70" s="334">
        <f>SUM(C58:C68)</f>
        <v>1553.5900800000004</v>
      </c>
      <c r="D70" s="334">
        <f t="shared" ref="D70:AH70" si="26">SUM(D58:D68)</f>
        <v>1803.9469068000001</v>
      </c>
      <c r="E70" s="334">
        <f t="shared" si="26"/>
        <v>1574.557430036403</v>
      </c>
      <c r="F70" s="334">
        <f t="shared" si="26"/>
        <v>1620.9178009111467</v>
      </c>
      <c r="G70" s="334">
        <f t="shared" si="26"/>
        <v>1566.600020935927</v>
      </c>
      <c r="H70" s="19">
        <f t="shared" si="26"/>
        <v>1595.1221513175574</v>
      </c>
      <c r="I70" s="19">
        <f t="shared" si="26"/>
        <v>1510.25242266634</v>
      </c>
      <c r="J70" s="19">
        <f t="shared" si="26"/>
        <v>1592.625682257506</v>
      </c>
      <c r="K70" s="19">
        <f t="shared" si="26"/>
        <v>1602.7263526037655</v>
      </c>
      <c r="L70" s="19">
        <f t="shared" si="26"/>
        <v>1610.0638327594861</v>
      </c>
      <c r="M70" s="19">
        <f t="shared" si="26"/>
        <v>1618.6515303156118</v>
      </c>
      <c r="N70" s="182">
        <f t="shared" si="26"/>
        <v>1624.7078221802556</v>
      </c>
      <c r="O70" s="19">
        <f t="shared" si="26"/>
        <v>1641.5986377481468</v>
      </c>
      <c r="P70" s="19">
        <f t="shared" si="26"/>
        <v>1641.9918451287856</v>
      </c>
      <c r="Q70" s="19">
        <f t="shared" si="26"/>
        <v>1651.2639693817307</v>
      </c>
      <c r="R70" s="19">
        <f t="shared" si="26"/>
        <v>1653.3997077840545</v>
      </c>
      <c r="S70" s="19">
        <f t="shared" si="26"/>
        <v>1654.2528362815208</v>
      </c>
      <c r="T70" s="19">
        <f t="shared" si="26"/>
        <v>1656.3071855818398</v>
      </c>
      <c r="U70" s="19">
        <f t="shared" si="26"/>
        <v>1667.2640556564104</v>
      </c>
      <c r="V70" s="19">
        <f t="shared" si="26"/>
        <v>1684.1866860749435</v>
      </c>
      <c r="W70" s="19">
        <f t="shared" si="26"/>
        <v>1682.2606307331271</v>
      </c>
      <c r="X70" s="182">
        <f t="shared" si="26"/>
        <v>1682.9508534756069</v>
      </c>
      <c r="Y70" s="19">
        <f t="shared" si="26"/>
        <v>1686.3546224880413</v>
      </c>
      <c r="Z70" s="19">
        <f t="shared" si="26"/>
        <v>1686.0704380309407</v>
      </c>
      <c r="AA70" s="19">
        <f t="shared" si="26"/>
        <v>1690.2027091724681</v>
      </c>
      <c r="AB70" s="19">
        <f t="shared" si="26"/>
        <v>1693.6589428790426</v>
      </c>
      <c r="AC70" s="19">
        <f t="shared" si="26"/>
        <v>1695.1474031532077</v>
      </c>
      <c r="AD70" s="19">
        <f t="shared" si="26"/>
        <v>1704.0375109880351</v>
      </c>
      <c r="AE70" s="19">
        <f t="shared" si="26"/>
        <v>1714.0737155937964</v>
      </c>
      <c r="AF70" s="19">
        <f t="shared" si="26"/>
        <v>1710.8880866236034</v>
      </c>
      <c r="AG70" s="19">
        <f t="shared" si="26"/>
        <v>1713.4978721433013</v>
      </c>
      <c r="AH70" s="19">
        <f t="shared" si="26"/>
        <v>1716.4977296003267</v>
      </c>
    </row>
    <row r="71" spans="1:34" s="20" customFormat="1" ht="15">
      <c r="A71" s="27" t="s">
        <v>142</v>
      </c>
      <c r="B71" s="39"/>
      <c r="C71" s="334">
        <f>C53*Inputs!$H$60</f>
        <v>285.714</v>
      </c>
      <c r="D71" s="334">
        <f>D53*Inputs!$H$60</f>
        <v>305.21699999999998</v>
      </c>
      <c r="E71" s="334">
        <f>E53*Inputs!$H$60</f>
        <v>133.14881658574626</v>
      </c>
      <c r="F71" s="334">
        <f>F53*Inputs!$H$60</f>
        <v>69.100586289394727</v>
      </c>
      <c r="G71" s="334">
        <f>G53*Inputs!$H$60</f>
        <v>75.10665638093468</v>
      </c>
      <c r="H71" s="19">
        <f>H53*Inputs!$H$60</f>
        <v>74.718009061866525</v>
      </c>
      <c r="I71" s="19">
        <f>I53*Inputs!$H$60</f>
        <v>75.450543202068587</v>
      </c>
      <c r="J71" s="19">
        <f>J53*Inputs!$H$60</f>
        <v>10.232506165430996</v>
      </c>
      <c r="K71" s="19">
        <f>K53*Inputs!$H$60</f>
        <v>38.985979616860924</v>
      </c>
      <c r="L71" s="19">
        <f>L53*Inputs!$H$60</f>
        <v>74.100767710837019</v>
      </c>
      <c r="M71" s="19">
        <f>M53*Inputs!$H$60</f>
        <v>88.658459101548885</v>
      </c>
      <c r="N71" s="190">
        <f>N53*Inputs!$H$60</f>
        <v>91.656801196434117</v>
      </c>
      <c r="O71" s="19">
        <f>O53*Inputs!$H$60</f>
        <v>93.833009282124621</v>
      </c>
      <c r="P71" s="19">
        <f>P53*Inputs!$H$60</f>
        <v>95.316100071388632</v>
      </c>
      <c r="Q71" s="19">
        <f>Q53*Inputs!$H$60</f>
        <v>96.428605487006408</v>
      </c>
      <c r="R71" s="19">
        <f>R53*Inputs!$H$60</f>
        <v>96.953604719385439</v>
      </c>
      <c r="S71" s="19">
        <f>S53*Inputs!$H$60</f>
        <v>97.473181424481638</v>
      </c>
      <c r="T71" s="19">
        <f>T53*Inputs!$H$60</f>
        <v>97.513150380126049</v>
      </c>
      <c r="U71" s="19">
        <f>U53*Inputs!$H$60</f>
        <v>150.95493702962551</v>
      </c>
      <c r="V71" s="19">
        <f>V53*Inputs!$H$60</f>
        <v>165.11581773292346</v>
      </c>
      <c r="W71" s="19">
        <f>W53*Inputs!$H$60</f>
        <v>167.59127045149972</v>
      </c>
      <c r="X71" s="182">
        <f>X53*Inputs!$H$60</f>
        <v>168.55736763048225</v>
      </c>
      <c r="Y71" s="19">
        <f>Y53*Inputs!$H$60</f>
        <v>167.65531542827969</v>
      </c>
      <c r="Z71" s="19">
        <f>Z53*Inputs!$H$60</f>
        <v>148.75554024544573</v>
      </c>
      <c r="AA71" s="19">
        <f>AA53*Inputs!$H$60</f>
        <v>146.18252147234134</v>
      </c>
      <c r="AB71" s="19">
        <f>AB53*Inputs!$H$60</f>
        <v>140.61512397883837</v>
      </c>
      <c r="AC71" s="19">
        <f>AC53*Inputs!$H$60</f>
        <v>137.25487255395936</v>
      </c>
      <c r="AD71" s="19">
        <f>AD53*Inputs!$H$60</f>
        <v>156.18718290049009</v>
      </c>
      <c r="AE71" s="19">
        <f>AE53*Inputs!$H$60</f>
        <v>153.70070766281898</v>
      </c>
      <c r="AF71" s="19">
        <f>AF53*Inputs!$H$60</f>
        <v>156.95170009252007</v>
      </c>
      <c r="AG71" s="19">
        <f>AG53*Inputs!$H$60</f>
        <v>157.01377324119724</v>
      </c>
      <c r="AH71" s="19">
        <f>AH53*Inputs!$H$60</f>
        <v>156.96122402225674</v>
      </c>
    </row>
    <row r="72" spans="1:34" s="20" customFormat="1" ht="15">
      <c r="A72" s="27" t="s">
        <v>222</v>
      </c>
      <c r="B72" s="39"/>
      <c r="C72" s="334">
        <f>C54*Inputs!$H$61</f>
        <v>528.85800000000006</v>
      </c>
      <c r="D72" s="334">
        <f>D54*Inputs!$H$61</f>
        <v>531.13499999999999</v>
      </c>
      <c r="E72" s="334">
        <f>E54*Inputs!$H$61</f>
        <v>659.61671999448492</v>
      </c>
      <c r="F72" s="334">
        <f>F54*Inputs!$H$61</f>
        <v>648.82406131915968</v>
      </c>
      <c r="G72" s="334">
        <f>G54*Inputs!$H$61</f>
        <v>631.48965098592794</v>
      </c>
      <c r="H72" s="19">
        <f>H54*Inputs!$H$61</f>
        <v>656.15541588076553</v>
      </c>
      <c r="I72" s="19">
        <f>I54*Inputs!$H$61</f>
        <v>670.81289155876436</v>
      </c>
      <c r="J72" s="19">
        <f>J54*Inputs!$H$61</f>
        <v>688.35267895894731</v>
      </c>
      <c r="K72" s="19">
        <f>K54*Inputs!$H$61</f>
        <v>706.89726589679424</v>
      </c>
      <c r="L72" s="19">
        <f>L54*Inputs!$H$61</f>
        <v>710.0473171651513</v>
      </c>
      <c r="M72" s="19">
        <f>M54*Inputs!$H$61</f>
        <v>706.54620814738246</v>
      </c>
      <c r="N72" s="190">
        <f>N54*Inputs!$H$61</f>
        <v>691.66900457153463</v>
      </c>
      <c r="O72" s="19">
        <f>O54*Inputs!$H$61</f>
        <v>682.66912454325086</v>
      </c>
      <c r="P72" s="19">
        <f>P54*Inputs!$H$61</f>
        <v>662.98821072767862</v>
      </c>
      <c r="Q72" s="19">
        <f>Q54*Inputs!$H$61</f>
        <v>648.27946484112886</v>
      </c>
      <c r="R72" s="19">
        <f>R54*Inputs!$H$61</f>
        <v>642.50941046304956</v>
      </c>
      <c r="S72" s="19">
        <f>S54*Inputs!$H$61</f>
        <v>640.12021655026376</v>
      </c>
      <c r="T72" s="19">
        <f>T54*Inputs!$H$61</f>
        <v>620.50626230729688</v>
      </c>
      <c r="U72" s="19">
        <f>U54*Inputs!$H$61</f>
        <v>591.62596119353111</v>
      </c>
      <c r="V72" s="19">
        <f>V54*Inputs!$H$61</f>
        <v>591.78797856345841</v>
      </c>
      <c r="W72" s="19">
        <f>W54*Inputs!$H$61</f>
        <v>570.54409688370515</v>
      </c>
      <c r="X72" s="182">
        <f>X54*Inputs!$H$61</f>
        <v>579.97652061023587</v>
      </c>
      <c r="Y72" s="19">
        <f>Y54*Inputs!$H$61</f>
        <v>588.51049235559401</v>
      </c>
      <c r="Z72" s="19">
        <f>Z54*Inputs!$H$61</f>
        <v>607.14720767803351</v>
      </c>
      <c r="AA72" s="19">
        <f>AA54*Inputs!$H$61</f>
        <v>624.8428464183545</v>
      </c>
      <c r="AB72" s="19">
        <f>AB54*Inputs!$H$61</f>
        <v>635.59257328840283</v>
      </c>
      <c r="AC72" s="19">
        <f>AC54*Inputs!$H$61</f>
        <v>628.6092263760637</v>
      </c>
      <c r="AD72" s="19">
        <f>AD54*Inputs!$H$61</f>
        <v>622.48203599144938</v>
      </c>
      <c r="AE72" s="19">
        <f>AE54*Inputs!$H$61</f>
        <v>618.15821183171761</v>
      </c>
      <c r="AF72" s="19">
        <f>AF54*Inputs!$H$61</f>
        <v>612.48483904528177</v>
      </c>
      <c r="AG72" s="19">
        <f>AG54*Inputs!$H$61</f>
        <v>604.36203835398965</v>
      </c>
      <c r="AH72" s="19">
        <f>AH54*Inputs!$H$61</f>
        <v>584.23074104579769</v>
      </c>
    </row>
    <row r="73" spans="1:34" ht="15">
      <c r="A73" s="27" t="s">
        <v>58</v>
      </c>
      <c r="C73" s="331">
        <f>SUM(C70:C72)</f>
        <v>2368.1620800000005</v>
      </c>
      <c r="D73" s="331">
        <f t="shared" ref="D73:AH73" si="27">SUM(D70:D72)</f>
        <v>2640.2989067999997</v>
      </c>
      <c r="E73" s="331">
        <f t="shared" si="27"/>
        <v>2367.3229666166344</v>
      </c>
      <c r="F73" s="331">
        <f t="shared" si="27"/>
        <v>2338.8424485197011</v>
      </c>
      <c r="G73" s="331">
        <f t="shared" si="27"/>
        <v>2273.1963283027899</v>
      </c>
      <c r="H73" s="14">
        <f t="shared" si="27"/>
        <v>2325.9955762601894</v>
      </c>
      <c r="I73" s="14">
        <f t="shared" si="27"/>
        <v>2256.5158574271727</v>
      </c>
      <c r="J73" s="14">
        <f t="shared" si="27"/>
        <v>2291.2108673818843</v>
      </c>
      <c r="K73" s="14">
        <f t="shared" si="27"/>
        <v>2348.6095981174208</v>
      </c>
      <c r="L73" s="14">
        <f t="shared" si="27"/>
        <v>2394.2119176354745</v>
      </c>
      <c r="M73" s="14">
        <f t="shared" si="27"/>
        <v>2413.8561975645434</v>
      </c>
      <c r="N73" s="190">
        <f t="shared" si="27"/>
        <v>2408.0336279482244</v>
      </c>
      <c r="O73" s="14">
        <f t="shared" si="27"/>
        <v>2418.1007715735223</v>
      </c>
      <c r="P73" s="14">
        <f t="shared" si="27"/>
        <v>2400.2961559278529</v>
      </c>
      <c r="Q73" s="14">
        <f t="shared" si="27"/>
        <v>2395.9720397098663</v>
      </c>
      <c r="R73" s="14">
        <f t="shared" si="27"/>
        <v>2392.8627229664894</v>
      </c>
      <c r="S73" s="14">
        <f t="shared" si="27"/>
        <v>2391.8462342562661</v>
      </c>
      <c r="T73" s="14">
        <f t="shared" si="27"/>
        <v>2374.3265982692628</v>
      </c>
      <c r="U73" s="14">
        <f t="shared" si="27"/>
        <v>2409.8449538795671</v>
      </c>
      <c r="V73" s="14">
        <f t="shared" si="27"/>
        <v>2441.0904823713254</v>
      </c>
      <c r="W73" s="14">
        <f t="shared" si="27"/>
        <v>2420.3959980683321</v>
      </c>
      <c r="X73" s="187">
        <f t="shared" si="27"/>
        <v>2431.4847417163251</v>
      </c>
      <c r="Y73" s="14">
        <f t="shared" si="27"/>
        <v>2442.5204302719148</v>
      </c>
      <c r="Z73" s="14">
        <f t="shared" si="27"/>
        <v>2441.9731859544199</v>
      </c>
      <c r="AA73" s="14">
        <f t="shared" si="27"/>
        <v>2461.2280770631637</v>
      </c>
      <c r="AB73" s="14">
        <f t="shared" si="27"/>
        <v>2469.8666401462838</v>
      </c>
      <c r="AC73" s="14">
        <f t="shared" si="27"/>
        <v>2461.0115020832309</v>
      </c>
      <c r="AD73" s="14">
        <f t="shared" si="27"/>
        <v>2482.7067298799748</v>
      </c>
      <c r="AE73" s="14">
        <f t="shared" si="27"/>
        <v>2485.932635088333</v>
      </c>
      <c r="AF73" s="14">
        <f t="shared" si="27"/>
        <v>2480.3246257614051</v>
      </c>
      <c r="AG73" s="14">
        <f t="shared" si="27"/>
        <v>2474.8736837384881</v>
      </c>
      <c r="AH73" s="14">
        <f t="shared" si="27"/>
        <v>2457.689694668381</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6"/>
      <c r="B1" s="536"/>
      <c r="C1" s="536"/>
      <c r="D1" s="536"/>
      <c r="E1" s="536"/>
      <c r="F1" s="536"/>
      <c r="G1" s="536"/>
      <c r="H1" s="536"/>
      <c r="I1" s="536"/>
      <c r="J1" s="536"/>
      <c r="K1" s="536"/>
      <c r="L1" s="536"/>
      <c r="M1" s="536"/>
      <c r="N1" s="536"/>
      <c r="O1" s="536"/>
      <c r="P1" s="536"/>
    </row>
    <row r="2" spans="1:16">
      <c r="A2" s="536"/>
      <c r="B2" s="536"/>
      <c r="C2" s="536"/>
      <c r="D2" s="536"/>
      <c r="E2" s="536"/>
      <c r="F2" s="536"/>
      <c r="G2" s="536"/>
      <c r="H2" s="536"/>
      <c r="I2" s="536"/>
      <c r="J2" s="536"/>
      <c r="K2" s="536"/>
      <c r="L2" s="536"/>
      <c r="M2" s="536"/>
      <c r="N2" s="536"/>
      <c r="O2" s="536"/>
      <c r="P2" s="536"/>
    </row>
    <row r="3" spans="1:16">
      <c r="A3" s="536"/>
      <c r="B3" s="536"/>
      <c r="C3" s="536"/>
      <c r="D3" s="536"/>
      <c r="E3" s="536"/>
      <c r="F3" s="536"/>
      <c r="G3" s="536"/>
      <c r="H3" s="536"/>
      <c r="I3" s="536"/>
      <c r="J3" s="536"/>
      <c r="K3" s="536"/>
      <c r="L3" s="536"/>
      <c r="M3" s="536"/>
      <c r="N3" s="536"/>
      <c r="O3" s="536"/>
      <c r="P3" s="536"/>
    </row>
    <row r="4" spans="1:16">
      <c r="A4" s="536"/>
      <c r="B4" s="536"/>
      <c r="C4" s="536"/>
      <c r="D4" s="536"/>
      <c r="E4" s="536"/>
      <c r="F4" s="536"/>
      <c r="G4" s="536"/>
      <c r="H4" s="536"/>
      <c r="I4" s="536"/>
      <c r="J4" s="536"/>
      <c r="K4" s="536"/>
      <c r="L4" s="536"/>
      <c r="M4" s="536"/>
      <c r="N4" s="536"/>
      <c r="O4" s="536"/>
      <c r="P4" s="536"/>
    </row>
    <row r="5" spans="1:16">
      <c r="A5" s="536"/>
      <c r="B5" s="536"/>
      <c r="C5" s="536"/>
      <c r="D5" s="536"/>
      <c r="E5" s="536"/>
      <c r="F5" s="536"/>
      <c r="G5" s="536"/>
      <c r="H5" s="536"/>
      <c r="I5" s="536"/>
      <c r="J5" s="536"/>
      <c r="K5" s="536"/>
      <c r="L5" s="536"/>
      <c r="M5" s="536"/>
      <c r="N5" s="536"/>
      <c r="O5" s="536"/>
      <c r="P5" s="536"/>
    </row>
    <row r="6" spans="1:16">
      <c r="A6" s="536"/>
      <c r="B6" s="536"/>
      <c r="C6" s="536"/>
      <c r="D6" s="536"/>
      <c r="E6" s="536"/>
      <c r="F6" s="536"/>
      <c r="G6" s="536"/>
      <c r="H6" s="536"/>
      <c r="I6" s="536"/>
      <c r="J6" s="536"/>
      <c r="K6" s="536"/>
      <c r="L6" s="536"/>
      <c r="M6" s="536"/>
      <c r="N6" s="536"/>
      <c r="O6" s="536"/>
      <c r="P6" s="536"/>
    </row>
    <row r="7" spans="1:16">
      <c r="A7" s="536"/>
      <c r="B7" s="536"/>
      <c r="C7" s="536"/>
      <c r="D7" s="536"/>
      <c r="E7" s="536"/>
      <c r="F7" s="536"/>
      <c r="G7" s="536"/>
      <c r="H7" s="536"/>
      <c r="I7" s="536"/>
      <c r="J7" s="536"/>
      <c r="K7" s="536"/>
      <c r="L7" s="536"/>
      <c r="M7" s="536"/>
      <c r="N7" s="536"/>
      <c r="O7" s="536"/>
      <c r="P7" s="536"/>
    </row>
    <row r="8" spans="1:16">
      <c r="A8" s="536"/>
      <c r="B8" s="536"/>
      <c r="C8" s="536"/>
      <c r="D8" s="536"/>
      <c r="E8" s="536"/>
      <c r="F8" s="536"/>
      <c r="G8" s="536"/>
      <c r="H8" s="536"/>
      <c r="I8" s="536"/>
      <c r="J8" s="536"/>
      <c r="K8" s="536"/>
      <c r="L8" s="536"/>
      <c r="M8" s="536"/>
      <c r="N8" s="536"/>
      <c r="O8" s="536"/>
      <c r="P8" s="536"/>
    </row>
    <row r="9" spans="1:16" ht="2.25" customHeight="1">
      <c r="A9" s="536"/>
      <c r="B9" s="536"/>
      <c r="C9" s="536"/>
      <c r="D9" s="536"/>
      <c r="E9" s="536"/>
      <c r="F9" s="536"/>
      <c r="G9" s="536"/>
      <c r="H9" s="536"/>
      <c r="I9" s="536"/>
      <c r="J9" s="536"/>
      <c r="K9" s="536"/>
      <c r="L9" s="536"/>
      <c r="M9" s="536"/>
      <c r="N9" s="536"/>
      <c r="O9" s="536"/>
      <c r="P9" s="536"/>
    </row>
    <row r="10" spans="1:16" hidden="1">
      <c r="A10" s="536"/>
      <c r="B10" s="536"/>
      <c r="C10" s="536"/>
      <c r="D10" s="536"/>
      <c r="E10" s="536"/>
      <c r="F10" s="536"/>
      <c r="G10" s="536"/>
      <c r="H10" s="536"/>
      <c r="I10" s="536"/>
      <c r="J10" s="536"/>
      <c r="K10" s="536"/>
      <c r="L10" s="536"/>
      <c r="M10" s="536"/>
      <c r="N10" s="536"/>
      <c r="O10" s="536"/>
      <c r="P10" s="536"/>
    </row>
    <row r="11" spans="1:16">
      <c r="A11" s="537" t="s">
        <v>212</v>
      </c>
      <c r="B11" s="539">
        <v>2000</v>
      </c>
      <c r="C11" s="541" t="s">
        <v>219</v>
      </c>
      <c r="D11" s="541" t="s">
        <v>555</v>
      </c>
      <c r="E11" s="544" t="s">
        <v>213</v>
      </c>
      <c r="F11" s="545"/>
      <c r="G11" s="539"/>
      <c r="H11" s="548" t="s">
        <v>556</v>
      </c>
      <c r="I11" s="549"/>
      <c r="J11" s="549"/>
      <c r="K11" s="549"/>
      <c r="L11" s="549"/>
      <c r="M11" s="549"/>
      <c r="N11" s="549"/>
      <c r="O11" s="550"/>
    </row>
    <row r="12" spans="1:16">
      <c r="A12" s="538"/>
      <c r="B12" s="540"/>
      <c r="C12" s="542"/>
      <c r="D12" s="542"/>
      <c r="E12" s="546"/>
      <c r="F12" s="547"/>
      <c r="G12" s="540"/>
      <c r="H12" s="547" t="s">
        <v>214</v>
      </c>
      <c r="I12" s="540"/>
      <c r="J12" s="546" t="s">
        <v>215</v>
      </c>
      <c r="K12" s="540"/>
      <c r="L12" s="546" t="s">
        <v>216</v>
      </c>
      <c r="M12" s="547"/>
      <c r="N12" s="547"/>
      <c r="O12" s="540"/>
    </row>
    <row r="13" spans="1:16" ht="67" thickBot="1">
      <c r="A13" s="211" t="s">
        <v>217</v>
      </c>
      <c r="B13" s="211" t="s">
        <v>218</v>
      </c>
      <c r="C13" s="543"/>
      <c r="D13" s="543"/>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9">
        <f>AVERAGE(N14:N15)</f>
        <v>0.20532702121944668</v>
      </c>
    </row>
    <row r="15" spans="1:16" ht="13" thickBot="1">
      <c r="A15" s="223" t="s">
        <v>563</v>
      </c>
      <c r="B15" s="223" t="s">
        <v>564</v>
      </c>
      <c r="C15" s="224">
        <v>0.85</v>
      </c>
      <c r="D15" s="225">
        <v>40</v>
      </c>
      <c r="E15" s="226">
        <v>8.5</v>
      </c>
      <c r="F15" s="432">
        <v>0.24</v>
      </c>
      <c r="G15" s="530">
        <v>0.13</v>
      </c>
      <c r="H15" s="414">
        <f t="shared" si="0"/>
        <v>0.21249999999999999</v>
      </c>
      <c r="I15" s="530">
        <f t="shared" si="1"/>
        <v>1.2079800000000001</v>
      </c>
      <c r="J15" s="427">
        <f t="shared" si="2"/>
        <v>0.25</v>
      </c>
      <c r="K15" s="530">
        <f t="shared" si="3"/>
        <v>1.4211529411764707</v>
      </c>
      <c r="L15" s="427">
        <f t="shared" si="4"/>
        <v>2.8538812785388126E-2</v>
      </c>
      <c r="M15" s="530">
        <f t="shared" si="4"/>
        <v>0.16223207091055603</v>
      </c>
      <c r="N15" s="419">
        <f t="shared" si="5"/>
        <v>0.19077088369594414</v>
      </c>
      <c r="O15" s="560"/>
    </row>
    <row r="16" spans="1:16">
      <c r="A16" s="227" t="s">
        <v>565</v>
      </c>
      <c r="B16" s="227" t="s">
        <v>566</v>
      </c>
      <c r="C16" s="228">
        <v>0.9</v>
      </c>
      <c r="D16" s="229">
        <v>40</v>
      </c>
      <c r="E16" s="230">
        <f>36000/5600</f>
        <v>6.4285714285714288</v>
      </c>
      <c r="F16" s="464">
        <f>10000/5600</f>
        <v>1.7857142857142858</v>
      </c>
      <c r="G16" s="230">
        <v>0</v>
      </c>
      <c r="H16" s="412">
        <f t="shared" si="0"/>
        <v>0.16071428571428573</v>
      </c>
      <c r="I16" s="531">
        <f t="shared" si="1"/>
        <v>1.7857142857142858</v>
      </c>
      <c r="J16" s="428">
        <f t="shared" si="2"/>
        <v>0.17857142857142858</v>
      </c>
      <c r="K16" s="531">
        <f t="shared" si="3"/>
        <v>1.9841269841269842</v>
      </c>
      <c r="L16" s="428">
        <f t="shared" si="4"/>
        <v>2.0384866275277233E-2</v>
      </c>
      <c r="M16" s="531">
        <f t="shared" si="4"/>
        <v>0.22649851416974706</v>
      </c>
      <c r="N16" s="421">
        <f t="shared" si="5"/>
        <v>0.24688338044502428</v>
      </c>
      <c r="O16" s="561">
        <f>AVERAGE(N16:N18)</f>
        <v>0.24750247638375492</v>
      </c>
    </row>
    <row r="17" spans="1:15">
      <c r="A17" s="217" t="s">
        <v>567</v>
      </c>
      <c r="B17" s="217" t="s">
        <v>312</v>
      </c>
      <c r="C17" s="218">
        <v>0.9</v>
      </c>
      <c r="D17" s="219">
        <v>40</v>
      </c>
      <c r="E17" s="216">
        <v>17.5</v>
      </c>
      <c r="F17" s="529">
        <v>1.7</v>
      </c>
      <c r="G17" s="216">
        <v>0</v>
      </c>
      <c r="H17" s="528">
        <f>E17/D17</f>
        <v>0.4375</v>
      </c>
      <c r="I17" s="532">
        <f>F17+G17*8760/1000*C17</f>
        <v>1.7</v>
      </c>
      <c r="J17" s="429">
        <f>H17/C17</f>
        <v>0.4861111111111111</v>
      </c>
      <c r="K17" s="532">
        <f>I17/C17</f>
        <v>1.8888888888888888</v>
      </c>
      <c r="L17" s="429">
        <f t="shared" si="4"/>
        <v>5.5492135971588023E-2</v>
      </c>
      <c r="M17" s="532">
        <f t="shared" si="4"/>
        <v>0.21562658548959918</v>
      </c>
      <c r="N17" s="420">
        <f>SUM(L17:M17)</f>
        <v>0.27111872146118721</v>
      </c>
      <c r="O17" s="562"/>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60"/>
    </row>
    <row r="19" spans="1:15">
      <c r="A19" s="227" t="s">
        <v>569</v>
      </c>
      <c r="B19" s="227" t="s">
        <v>312</v>
      </c>
      <c r="C19" s="228">
        <v>0.85</v>
      </c>
      <c r="D19" s="229">
        <v>40</v>
      </c>
      <c r="E19" s="230">
        <v>21.3</v>
      </c>
      <c r="F19" s="464">
        <v>7.8</v>
      </c>
      <c r="G19" s="230">
        <v>0</v>
      </c>
      <c r="H19" s="412">
        <f>E19/D19</f>
        <v>0.53249999999999997</v>
      </c>
      <c r="I19" s="531">
        <f>F19+G19*8760/1000*C19</f>
        <v>7.8</v>
      </c>
      <c r="J19" s="428">
        <f>H19/C19</f>
        <v>0.62647058823529411</v>
      </c>
      <c r="K19" s="531">
        <f>I19/C19</f>
        <v>9.1764705882352935</v>
      </c>
      <c r="L19" s="428">
        <f t="shared" si="4"/>
        <v>7.1514907332796127E-2</v>
      </c>
      <c r="M19" s="531">
        <f t="shared" si="4"/>
        <v>1.0475423045930701</v>
      </c>
      <c r="N19" s="421">
        <f>SUM(L19:M19)</f>
        <v>1.1190572119258662</v>
      </c>
      <c r="O19" s="561">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60"/>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3">
        <f>F22+G22*8760/1000*C22</f>
        <v>1</v>
      </c>
      <c r="J22" s="431">
        <f>H22/C22</f>
        <v>7.3999999999999995</v>
      </c>
      <c r="K22" s="533">
        <f>I22/C22</f>
        <v>5</v>
      </c>
      <c r="L22" s="431">
        <f>J22/8760*1000</f>
        <v>0.84474885844748848</v>
      </c>
      <c r="M22" s="533">
        <f>K22/8760*1000</f>
        <v>0.57077625570776247</v>
      </c>
      <c r="N22" s="426">
        <f>SUM(L22:M22)</f>
        <v>1.415525114155251</v>
      </c>
      <c r="O22" s="566">
        <f>N39</f>
        <v>0.79313246811604099</v>
      </c>
    </row>
    <row r="23" spans="1:15">
      <c r="A23" s="455" t="s">
        <v>310</v>
      </c>
      <c r="B23" s="455" t="s">
        <v>221</v>
      </c>
      <c r="C23" s="456">
        <v>0.2</v>
      </c>
      <c r="D23" s="457">
        <v>25</v>
      </c>
      <c r="E23" s="458">
        <v>32.340000000000003</v>
      </c>
      <c r="F23" s="467">
        <v>0.37</v>
      </c>
      <c r="G23" s="458">
        <v>0</v>
      </c>
      <c r="H23" s="459">
        <f t="shared" si="0"/>
        <v>1.2936000000000001</v>
      </c>
      <c r="I23" s="527">
        <f t="shared" si="1"/>
        <v>0.37</v>
      </c>
      <c r="J23" s="460">
        <f t="shared" si="2"/>
        <v>6.468</v>
      </c>
      <c r="K23" s="527">
        <f t="shared" si="3"/>
        <v>1.8499999999999999</v>
      </c>
      <c r="L23" s="460">
        <f t="shared" si="4"/>
        <v>0.73835616438356166</v>
      </c>
      <c r="M23" s="527">
        <f t="shared" si="4"/>
        <v>0.21118721461187212</v>
      </c>
      <c r="N23" s="461">
        <f t="shared" si="5"/>
        <v>0.94954337899543373</v>
      </c>
      <c r="O23" s="567"/>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8"/>
    </row>
    <row r="25" spans="1:15">
      <c r="A25" s="227" t="s">
        <v>433</v>
      </c>
      <c r="B25" s="227" t="s">
        <v>437</v>
      </c>
      <c r="C25" s="240">
        <v>0.4</v>
      </c>
      <c r="D25" s="229">
        <v>25</v>
      </c>
      <c r="E25" s="230">
        <f>10310/1000</f>
        <v>10.31</v>
      </c>
      <c r="F25" s="464">
        <v>1</v>
      </c>
      <c r="G25" s="230">
        <v>0</v>
      </c>
      <c r="H25" s="424">
        <f t="shared" si="0"/>
        <v>0.41240000000000004</v>
      </c>
      <c r="I25" s="533">
        <f t="shared" si="1"/>
        <v>1</v>
      </c>
      <c r="J25" s="431">
        <f t="shared" si="2"/>
        <v>1.0310000000000001</v>
      </c>
      <c r="K25" s="533">
        <f t="shared" si="3"/>
        <v>2.5</v>
      </c>
      <c r="L25" s="431">
        <f t="shared" si="4"/>
        <v>0.11769406392694066</v>
      </c>
      <c r="M25" s="533">
        <f t="shared" si="4"/>
        <v>0.28538812785388123</v>
      </c>
      <c r="N25" s="426">
        <f t="shared" si="5"/>
        <v>0.40308219178082189</v>
      </c>
      <c r="O25" s="561">
        <f>AVERAGE(N25:N26,N27)</f>
        <v>0.23028919330289191</v>
      </c>
    </row>
    <row r="26" spans="1:15">
      <c r="A26" s="214" t="s">
        <v>434</v>
      </c>
      <c r="B26" s="214" t="s">
        <v>436</v>
      </c>
      <c r="C26" s="220">
        <v>0.4</v>
      </c>
      <c r="D26" s="215">
        <v>25</v>
      </c>
      <c r="E26" s="216">
        <v>4.5</v>
      </c>
      <c r="F26" s="529">
        <v>0.38</v>
      </c>
      <c r="G26" s="532">
        <v>0</v>
      </c>
      <c r="H26" s="415">
        <f t="shared" si="0"/>
        <v>0.18</v>
      </c>
      <c r="I26" s="532">
        <f t="shared" si="1"/>
        <v>0.38</v>
      </c>
      <c r="J26" s="429">
        <f t="shared" si="2"/>
        <v>0.44999999999999996</v>
      </c>
      <c r="K26" s="532">
        <f t="shared" si="3"/>
        <v>0.95</v>
      </c>
      <c r="L26" s="429">
        <f t="shared" si="4"/>
        <v>5.1369863013698627E-2</v>
      </c>
      <c r="M26" s="532">
        <f t="shared" si="4"/>
        <v>0.10844748858447488</v>
      </c>
      <c r="N26" s="420">
        <f t="shared" si="5"/>
        <v>0.15981735159817351</v>
      </c>
      <c r="O26" s="562"/>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60"/>
    </row>
    <row r="28" spans="1:15">
      <c r="A28" s="241" t="s">
        <v>573</v>
      </c>
      <c r="B28" s="241" t="s">
        <v>361</v>
      </c>
      <c r="C28" s="240">
        <v>0.35</v>
      </c>
      <c r="D28" s="229">
        <v>25</v>
      </c>
      <c r="E28" s="230">
        <v>10.1</v>
      </c>
      <c r="F28" s="464">
        <v>0.4</v>
      </c>
      <c r="G28" s="531">
        <v>0</v>
      </c>
      <c r="H28" s="425">
        <f t="shared" si="0"/>
        <v>0.40399999999999997</v>
      </c>
      <c r="I28" s="531">
        <f t="shared" si="1"/>
        <v>0.4</v>
      </c>
      <c r="J28" s="428">
        <f t="shared" si="2"/>
        <v>1.1542857142857144</v>
      </c>
      <c r="K28" s="531">
        <f t="shared" si="3"/>
        <v>1.142857142857143</v>
      </c>
      <c r="L28" s="428">
        <f t="shared" si="4"/>
        <v>0.13176777560339206</v>
      </c>
      <c r="M28" s="531">
        <f t="shared" si="4"/>
        <v>0.13046314416177432</v>
      </c>
      <c r="N28" s="421">
        <f t="shared" si="5"/>
        <v>0.26223091976516638</v>
      </c>
      <c r="O28" s="561">
        <f>AVERAGE(N28,N29,N30:N32)</f>
        <v>0.16974559686888452</v>
      </c>
    </row>
    <row r="29" spans="1:15">
      <c r="A29" s="214" t="s">
        <v>220</v>
      </c>
      <c r="B29" s="214" t="s">
        <v>221</v>
      </c>
      <c r="C29" s="220">
        <v>0.35</v>
      </c>
      <c r="D29" s="219">
        <v>25</v>
      </c>
      <c r="E29" s="216">
        <v>3.8</v>
      </c>
      <c r="F29" s="529">
        <v>0.14399999999999999</v>
      </c>
      <c r="G29" s="532">
        <v>0</v>
      </c>
      <c r="H29" s="415">
        <f t="shared" si="0"/>
        <v>0.152</v>
      </c>
      <c r="I29" s="532">
        <f t="shared" si="1"/>
        <v>0.14399999999999999</v>
      </c>
      <c r="J29" s="429">
        <f t="shared" si="2"/>
        <v>0.43428571428571427</v>
      </c>
      <c r="K29" s="532">
        <f t="shared" si="3"/>
        <v>0.41142857142857142</v>
      </c>
      <c r="L29" s="429">
        <f t="shared" si="4"/>
        <v>4.9575994781474238E-2</v>
      </c>
      <c r="M29" s="532">
        <f t="shared" si="4"/>
        <v>4.6966731898238752E-2</v>
      </c>
      <c r="N29" s="420">
        <f t="shared" si="5"/>
        <v>9.654272667971299E-2</v>
      </c>
      <c r="O29" s="562"/>
    </row>
    <row r="30" spans="1:15">
      <c r="A30" s="214" t="s">
        <v>360</v>
      </c>
      <c r="B30" s="214" t="s">
        <v>574</v>
      </c>
      <c r="C30" s="220">
        <v>0.35</v>
      </c>
      <c r="D30" s="215">
        <v>25</v>
      </c>
      <c r="E30" s="532">
        <v>10.96</v>
      </c>
      <c r="F30" s="429">
        <v>0.17499999999999999</v>
      </c>
      <c r="G30" s="532">
        <v>0</v>
      </c>
      <c r="H30" s="415">
        <f t="shared" si="0"/>
        <v>0.43840000000000001</v>
      </c>
      <c r="I30" s="532">
        <f t="shared" si="1"/>
        <v>0.17499999999999999</v>
      </c>
      <c r="J30" s="429">
        <f t="shared" si="2"/>
        <v>1.2525714285714287</v>
      </c>
      <c r="K30" s="532">
        <f t="shared" si="3"/>
        <v>0.5</v>
      </c>
      <c r="L30" s="429">
        <f t="shared" si="4"/>
        <v>0.14298760600130464</v>
      </c>
      <c r="M30" s="532">
        <f t="shared" si="4"/>
        <v>5.7077625570776253E-2</v>
      </c>
      <c r="N30" s="420">
        <f t="shared" si="5"/>
        <v>0.20006523157208089</v>
      </c>
      <c r="O30" s="562"/>
    </row>
    <row r="31" spans="1:15">
      <c r="A31" s="214" t="s">
        <v>575</v>
      </c>
      <c r="B31" s="214" t="s">
        <v>312</v>
      </c>
      <c r="C31" s="220">
        <v>0.35</v>
      </c>
      <c r="D31" s="215">
        <v>25</v>
      </c>
      <c r="E31" s="532">
        <v>7.4</v>
      </c>
      <c r="F31" s="429">
        <v>0.2</v>
      </c>
      <c r="G31" s="532">
        <v>0</v>
      </c>
      <c r="H31" s="415">
        <f t="shared" si="0"/>
        <v>0.29600000000000004</v>
      </c>
      <c r="I31" s="532">
        <f t="shared" si="1"/>
        <v>0.2</v>
      </c>
      <c r="J31" s="429">
        <f t="shared" si="2"/>
        <v>0.84571428571428586</v>
      </c>
      <c r="K31" s="532">
        <f t="shared" si="3"/>
        <v>0.57142857142857151</v>
      </c>
      <c r="L31" s="429">
        <f t="shared" si="4"/>
        <v>9.6542726679713003E-2</v>
      </c>
      <c r="M31" s="532">
        <f t="shared" si="4"/>
        <v>6.523157208088716E-2</v>
      </c>
      <c r="N31" s="420">
        <f t="shared" si="5"/>
        <v>0.16177429876060018</v>
      </c>
      <c r="O31" s="562"/>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60"/>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51" t="s">
        <v>0</v>
      </c>
      <c r="F37" s="552"/>
      <c r="G37" s="552"/>
      <c r="H37" s="552"/>
      <c r="I37" s="552"/>
      <c r="J37" s="552"/>
      <c r="K37" s="552"/>
      <c r="L37" s="552"/>
      <c r="M37" s="553"/>
      <c r="N37" s="418">
        <v>0.17</v>
      </c>
      <c r="O37" s="554">
        <f>AVERAGE(N37,N38)</f>
        <v>0.38</v>
      </c>
    </row>
    <row r="38" spans="1:15">
      <c r="A38" s="214" t="s">
        <v>427</v>
      </c>
      <c r="B38" s="214" t="s">
        <v>429</v>
      </c>
      <c r="C38" s="221">
        <v>1</v>
      </c>
      <c r="D38" s="215">
        <v>20</v>
      </c>
      <c r="E38" s="556" t="s">
        <v>0</v>
      </c>
      <c r="F38" s="557"/>
      <c r="G38" s="557"/>
      <c r="H38" s="557"/>
      <c r="I38" s="557"/>
      <c r="J38" s="557"/>
      <c r="K38" s="557"/>
      <c r="L38" s="557"/>
      <c r="M38" s="558"/>
      <c r="N38" s="420">
        <v>0.59</v>
      </c>
      <c r="O38" s="555"/>
    </row>
    <row r="39" spans="1:15">
      <c r="A39" s="81" t="s">
        <v>752</v>
      </c>
      <c r="B39" s="81" t="s">
        <v>753</v>
      </c>
      <c r="C39" s="569">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0"/>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3"/>
      <c r="C1" s="563"/>
      <c r="D1" s="563"/>
      <c r="E1" s="563"/>
      <c r="F1" s="563"/>
      <c r="G1" s="563"/>
      <c r="H1" s="563"/>
      <c r="I1" s="563"/>
      <c r="J1" s="563"/>
      <c r="K1" s="563"/>
      <c r="L1" s="563"/>
    </row>
    <row r="2" spans="1:12">
      <c r="B2" s="563"/>
      <c r="C2" s="563"/>
      <c r="D2" s="563"/>
      <c r="E2" s="563"/>
      <c r="F2" s="563"/>
      <c r="G2" s="563"/>
      <c r="H2" s="563"/>
      <c r="I2" s="563"/>
      <c r="J2" s="563"/>
      <c r="K2" s="563"/>
      <c r="L2" s="563"/>
    </row>
    <row r="3" spans="1:12">
      <c r="B3" s="563"/>
      <c r="C3" s="563"/>
      <c r="D3" s="563"/>
      <c r="E3" s="563"/>
      <c r="F3" s="563"/>
      <c r="G3" s="563"/>
      <c r="H3" s="563"/>
      <c r="I3" s="563"/>
      <c r="J3" s="563"/>
      <c r="K3" s="563"/>
      <c r="L3" s="563"/>
    </row>
    <row r="4" spans="1:12">
      <c r="B4" s="563"/>
      <c r="C4" s="563"/>
      <c r="D4" s="563"/>
      <c r="E4" s="563"/>
      <c r="F4" s="563"/>
      <c r="G4" s="563"/>
      <c r="H4" s="563"/>
      <c r="I4" s="563"/>
      <c r="J4" s="563"/>
      <c r="K4" s="563"/>
      <c r="L4" s="563"/>
    </row>
    <row r="5" spans="1:12">
      <c r="B5" s="563"/>
      <c r="C5" s="563"/>
      <c r="D5" s="563"/>
      <c r="E5" s="563"/>
      <c r="F5" s="563"/>
      <c r="G5" s="563"/>
      <c r="H5" s="563"/>
      <c r="I5" s="563"/>
      <c r="J5" s="563"/>
      <c r="K5" s="563"/>
      <c r="L5" s="563"/>
    </row>
    <row r="6" spans="1:12">
      <c r="B6" s="563"/>
      <c r="C6" s="563"/>
      <c r="D6" s="563"/>
      <c r="E6" s="563"/>
      <c r="F6" s="563"/>
      <c r="G6" s="563"/>
      <c r="H6" s="563"/>
      <c r="I6" s="563"/>
      <c r="J6" s="563"/>
      <c r="K6" s="563"/>
      <c r="L6" s="563"/>
    </row>
    <row r="7" spans="1:12">
      <c r="B7" s="563"/>
      <c r="C7" s="563"/>
      <c r="D7" s="563"/>
      <c r="E7" s="563"/>
      <c r="F7" s="563"/>
      <c r="G7" s="563"/>
      <c r="H7" s="563"/>
      <c r="I7" s="563"/>
      <c r="J7" s="563"/>
      <c r="K7" s="563"/>
      <c r="L7" s="563"/>
    </row>
    <row r="8" spans="1:12">
      <c r="B8" s="563"/>
      <c r="C8" s="563"/>
      <c r="D8" s="563"/>
      <c r="E8" s="563"/>
      <c r="F8" s="563"/>
      <c r="G8" s="563"/>
      <c r="H8" s="563"/>
      <c r="I8" s="563"/>
      <c r="J8" s="563"/>
      <c r="K8" s="563"/>
      <c r="L8" s="563"/>
    </row>
    <row r="9" spans="1:12" ht="48" customHeight="1">
      <c r="B9" s="563"/>
      <c r="C9" s="563"/>
      <c r="D9" s="563"/>
      <c r="E9" s="563"/>
      <c r="F9" s="563"/>
      <c r="G9" s="563"/>
      <c r="H9" s="563"/>
      <c r="I9" s="563"/>
      <c r="J9" s="563"/>
      <c r="K9" s="563"/>
      <c r="L9" s="563"/>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7" zoomScale="125" zoomScaleNormal="125" zoomScalePageLayoutView="125" workbookViewId="0">
      <pane xSplit="1" topLeftCell="AC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749</v>
      </c>
    </row>
    <row r="35" spans="1:44" s="251" customFormat="1">
      <c r="A35" s="250" t="s">
        <v>741</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6.7525570000000004</v>
      </c>
      <c r="H36" s="499">
        <v>3.5043920000000002</v>
      </c>
      <c r="I36" s="499">
        <v>3.808986</v>
      </c>
      <c r="J36" s="499">
        <v>3.7892760000000001</v>
      </c>
      <c r="K36" s="499">
        <v>3.8264260000000001</v>
      </c>
      <c r="L36" s="499">
        <v>0.51893500000000004</v>
      </c>
      <c r="M36" s="499">
        <v>1.977149</v>
      </c>
      <c r="N36" s="499">
        <v>3.7579729999999998</v>
      </c>
      <c r="O36" s="499">
        <v>4.4962569999999999</v>
      </c>
      <c r="P36" s="499">
        <v>4.6483160000000003</v>
      </c>
      <c r="Q36" s="499">
        <v>4.7586810000000002</v>
      </c>
      <c r="R36" s="499">
        <v>4.8338950000000001</v>
      </c>
      <c r="S36" s="499">
        <v>4.8903150000000002</v>
      </c>
      <c r="T36" s="499">
        <v>4.9169400000000003</v>
      </c>
      <c r="U36" s="499">
        <v>4.9432900000000002</v>
      </c>
      <c r="V36" s="499">
        <v>4.9453170000000002</v>
      </c>
      <c r="W36" s="499">
        <v>7.655583</v>
      </c>
      <c r="X36" s="499">
        <v>8.3737429999999993</v>
      </c>
      <c r="Y36" s="499">
        <v>8.4992839999999994</v>
      </c>
      <c r="Z36" s="499">
        <v>8.5482790000000008</v>
      </c>
      <c r="AA36" s="499">
        <v>8.5025320000000004</v>
      </c>
      <c r="AB36" s="499">
        <v>7.5440420000000001</v>
      </c>
      <c r="AC36" s="499">
        <v>7.4135530000000003</v>
      </c>
      <c r="AD36" s="499">
        <v>7.1312059999999997</v>
      </c>
      <c r="AE36" s="499">
        <v>6.9607929999999998</v>
      </c>
      <c r="AF36" s="499">
        <v>7.9209329999999998</v>
      </c>
      <c r="AG36" s="499">
        <v>7.7948329999999997</v>
      </c>
      <c r="AH36" s="499">
        <v>7.9597049999999996</v>
      </c>
      <c r="AI36" s="499">
        <v>7.962853</v>
      </c>
      <c r="AJ36" s="499">
        <v>7.9601879999999996</v>
      </c>
      <c r="AK36" s="503">
        <v>0.03</v>
      </c>
      <c r="AL36" s="515" t="s">
        <v>68</v>
      </c>
      <c r="AM36" s="518">
        <v>0.19917455584161139</v>
      </c>
    </row>
    <row r="37" spans="1:44" s="251" customFormat="1">
      <c r="A37" s="501" t="s">
        <v>720</v>
      </c>
      <c r="G37" s="499">
        <v>0.49390099999999998</v>
      </c>
      <c r="H37" s="499">
        <v>0.31614900000000001</v>
      </c>
      <c r="I37" s="499">
        <v>0.31676500000000002</v>
      </c>
      <c r="J37" s="499">
        <v>0.316133</v>
      </c>
      <c r="K37" s="499">
        <v>0.32009199999999999</v>
      </c>
      <c r="L37" s="499">
        <v>0.30642799999999998</v>
      </c>
      <c r="M37" s="499">
        <v>0.12645100000000001</v>
      </c>
      <c r="N37" s="499">
        <v>0.135523</v>
      </c>
      <c r="O37" s="499">
        <v>0.15127199999999999</v>
      </c>
      <c r="P37" s="499">
        <v>0.15249099999999999</v>
      </c>
      <c r="Q37" s="499">
        <v>0.14000399999999999</v>
      </c>
      <c r="R37" s="499">
        <v>0.126309</v>
      </c>
      <c r="S37" s="499">
        <v>0.12589600000000001</v>
      </c>
      <c r="T37" s="499">
        <v>0.111445</v>
      </c>
      <c r="U37" s="499">
        <v>0.11146300000000001</v>
      </c>
      <c r="V37" s="499">
        <v>0.107456</v>
      </c>
      <c r="W37" s="499">
        <v>0.116605</v>
      </c>
      <c r="X37" s="499">
        <v>0.11634700000000001</v>
      </c>
      <c r="Y37" s="499">
        <v>0.11666799999999999</v>
      </c>
      <c r="Z37" s="499">
        <v>0.116315</v>
      </c>
      <c r="AA37" s="499">
        <v>0.11608499999999999</v>
      </c>
      <c r="AB37" s="499">
        <v>0.111232</v>
      </c>
      <c r="AC37" s="499">
        <v>0.109651</v>
      </c>
      <c r="AD37" s="499">
        <v>0.108601</v>
      </c>
      <c r="AE37" s="499">
        <v>0.10445500000000001</v>
      </c>
      <c r="AF37" s="499">
        <v>0.108044</v>
      </c>
      <c r="AG37" s="499">
        <v>0.106026</v>
      </c>
      <c r="AH37" s="499">
        <v>0.10667500000000001</v>
      </c>
      <c r="AI37" s="499">
        <v>0.106752</v>
      </c>
      <c r="AJ37" s="499">
        <v>0.10688499999999999</v>
      </c>
      <c r="AK37" s="503">
        <v>-3.7999999999999999E-2</v>
      </c>
      <c r="AL37" s="516" t="s">
        <v>69</v>
      </c>
      <c r="AM37" s="518">
        <v>7.4174884997098109E-2</v>
      </c>
    </row>
    <row r="38" spans="1:44" s="251" customFormat="1">
      <c r="A38" s="501" t="s">
        <v>721</v>
      </c>
      <c r="G38" s="499">
        <v>60.120468000000002</v>
      </c>
      <c r="H38" s="499">
        <v>59.136775999999998</v>
      </c>
      <c r="I38" s="499">
        <v>57.556838999999997</v>
      </c>
      <c r="J38" s="499">
        <v>59.804988999999999</v>
      </c>
      <c r="K38" s="499">
        <v>61.140937999999998</v>
      </c>
      <c r="L38" s="499">
        <v>62.739593999999997</v>
      </c>
      <c r="M38" s="499">
        <v>64.429832000000005</v>
      </c>
      <c r="N38" s="499">
        <v>64.716942000000003</v>
      </c>
      <c r="O38" s="499">
        <v>64.397835000000001</v>
      </c>
      <c r="P38" s="499">
        <v>63.041859000000002</v>
      </c>
      <c r="Q38" s="499">
        <v>62.221569000000002</v>
      </c>
      <c r="R38" s="499">
        <v>60.427760999999997</v>
      </c>
      <c r="S38" s="499">
        <v>59.087139000000001</v>
      </c>
      <c r="T38" s="499">
        <v>58.561230000000002</v>
      </c>
      <c r="U38" s="499">
        <v>58.343468000000001</v>
      </c>
      <c r="V38" s="499">
        <v>56.555762999999999</v>
      </c>
      <c r="W38" s="499">
        <v>53.923481000000002</v>
      </c>
      <c r="X38" s="499">
        <v>53.938248000000002</v>
      </c>
      <c r="Y38" s="499">
        <v>52.001984</v>
      </c>
      <c r="Z38" s="499">
        <v>52.861697999999997</v>
      </c>
      <c r="AA38" s="499">
        <v>53.639522999999997</v>
      </c>
      <c r="AB38" s="499">
        <v>55.338158</v>
      </c>
      <c r="AC38" s="499">
        <v>56.951019000000002</v>
      </c>
      <c r="AD38" s="499">
        <v>57.930798000000003</v>
      </c>
      <c r="AE38" s="499">
        <v>57.294303999999997</v>
      </c>
      <c r="AF38" s="499">
        <v>56.735844</v>
      </c>
      <c r="AG38" s="499">
        <v>56.341751000000002</v>
      </c>
      <c r="AH38" s="499">
        <v>55.824654000000002</v>
      </c>
      <c r="AI38" s="499">
        <v>55.084305000000001</v>
      </c>
      <c r="AJ38" s="499">
        <v>53.249447000000004</v>
      </c>
      <c r="AK38" s="503">
        <v>-4.0000000000000001E-3</v>
      </c>
      <c r="AL38" s="516" t="s">
        <v>76</v>
      </c>
      <c r="AM38" s="518">
        <v>0.11082407328331915</v>
      </c>
    </row>
    <row r="39" spans="1:44" s="251" customFormat="1">
      <c r="A39" s="501" t="s">
        <v>722</v>
      </c>
      <c r="G39" s="499">
        <v>34.283000999999999</v>
      </c>
      <c r="H39" s="499">
        <v>36.116000999999997</v>
      </c>
      <c r="I39" s="499">
        <v>34.966087000000002</v>
      </c>
      <c r="J39" s="499">
        <v>35.118301000000002</v>
      </c>
      <c r="K39" s="499">
        <v>31.215707999999999</v>
      </c>
      <c r="L39" s="499">
        <v>31.559362</v>
      </c>
      <c r="M39" s="499">
        <v>31.635732999999998</v>
      </c>
      <c r="N39" s="499">
        <v>31.712149</v>
      </c>
      <c r="O39" s="499">
        <v>31.788599000000001</v>
      </c>
      <c r="P39" s="499">
        <v>31.810466999999999</v>
      </c>
      <c r="Q39" s="499">
        <v>31.810469000000001</v>
      </c>
      <c r="R39" s="499">
        <v>31.810469000000001</v>
      </c>
      <c r="S39" s="499">
        <v>31.810466999999999</v>
      </c>
      <c r="T39" s="499">
        <v>31.810466999999999</v>
      </c>
      <c r="U39" s="499">
        <v>31.810466999999999</v>
      </c>
      <c r="V39" s="499">
        <v>31.810466999999999</v>
      </c>
      <c r="W39" s="499">
        <v>31.810469000000001</v>
      </c>
      <c r="X39" s="499">
        <v>31.810466999999999</v>
      </c>
      <c r="Y39" s="499">
        <v>31.810466999999999</v>
      </c>
      <c r="Z39" s="499">
        <v>31.810466999999999</v>
      </c>
      <c r="AA39" s="499">
        <v>31.810466999999999</v>
      </c>
      <c r="AB39" s="499">
        <v>31.810466999999999</v>
      </c>
      <c r="AC39" s="499">
        <v>31.810466999999999</v>
      </c>
      <c r="AD39" s="499">
        <v>31.810466999999999</v>
      </c>
      <c r="AE39" s="499">
        <v>31.810466999999999</v>
      </c>
      <c r="AF39" s="499">
        <v>31.810466999999999</v>
      </c>
      <c r="AG39" s="499">
        <v>31.810469000000001</v>
      </c>
      <c r="AH39" s="499">
        <v>31.810469000000001</v>
      </c>
      <c r="AI39" s="499">
        <v>31.810466999999999</v>
      </c>
      <c r="AJ39" s="499">
        <v>31.810466999999999</v>
      </c>
      <c r="AK39" s="503">
        <v>-5.0000000000000001E-3</v>
      </c>
      <c r="AL39" s="516" t="s">
        <v>742</v>
      </c>
      <c r="AM39" s="518">
        <v>0</v>
      </c>
    </row>
    <row r="40" spans="1:44" s="251" customFormat="1">
      <c r="A40" s="501" t="s">
        <v>723</v>
      </c>
      <c r="G40" s="499">
        <v>1.3623000000000001</v>
      </c>
      <c r="H40" s="499">
        <v>1.4923</v>
      </c>
      <c r="I40" s="499">
        <v>1.5477749999999999</v>
      </c>
      <c r="J40" s="499">
        <v>1.5477749999999999</v>
      </c>
      <c r="K40" s="499">
        <v>1.5477749999999999</v>
      </c>
      <c r="L40" s="499">
        <v>1.547776</v>
      </c>
      <c r="M40" s="499">
        <v>1.547776</v>
      </c>
      <c r="N40" s="499">
        <v>1.547776</v>
      </c>
      <c r="O40" s="499">
        <v>1.547776</v>
      </c>
      <c r="P40" s="499">
        <v>1.547776</v>
      </c>
      <c r="Q40" s="499">
        <v>1.547776</v>
      </c>
      <c r="R40" s="499">
        <v>1.5477749999999999</v>
      </c>
      <c r="S40" s="499">
        <v>1.547776</v>
      </c>
      <c r="T40" s="499">
        <v>1.547776</v>
      </c>
      <c r="U40" s="499">
        <v>1.5483530000000001</v>
      </c>
      <c r="V40" s="499">
        <v>1.548573</v>
      </c>
      <c r="W40" s="499">
        <v>1.548573</v>
      </c>
      <c r="X40" s="499">
        <v>1.54914</v>
      </c>
      <c r="Y40" s="499">
        <v>1.549266</v>
      </c>
      <c r="Z40" s="499">
        <v>1.549266</v>
      </c>
      <c r="AA40" s="499">
        <v>1.549266</v>
      </c>
      <c r="AB40" s="499">
        <v>1.549266</v>
      </c>
      <c r="AC40" s="499">
        <v>1.5496559999999999</v>
      </c>
      <c r="AD40" s="499">
        <v>1.5499160000000001</v>
      </c>
      <c r="AE40" s="499">
        <v>1.5502659999999999</v>
      </c>
      <c r="AF40" s="499">
        <v>1.550602</v>
      </c>
      <c r="AG40" s="499">
        <v>1.5508949999999999</v>
      </c>
      <c r="AH40" s="499">
        <v>1.551134</v>
      </c>
      <c r="AI40" s="499">
        <v>1.5512170000000001</v>
      </c>
      <c r="AJ40" s="499">
        <v>1.551247</v>
      </c>
      <c r="AK40" s="503">
        <v>1E-3</v>
      </c>
      <c r="AL40" s="517" t="s">
        <v>225</v>
      </c>
      <c r="AM40" s="518">
        <v>0.26728886407211738</v>
      </c>
    </row>
    <row r="41" spans="1:44" s="251" customFormat="1">
      <c r="A41" s="501" t="s">
        <v>724</v>
      </c>
      <c r="G41" s="499">
        <v>14.253413</v>
      </c>
      <c r="H41" s="499">
        <v>13.395419</v>
      </c>
      <c r="I41" s="499">
        <v>13.504559</v>
      </c>
      <c r="J41" s="499">
        <v>13.761609999999999</v>
      </c>
      <c r="K41" s="499">
        <v>17.261755000000001</v>
      </c>
      <c r="L41" s="499">
        <v>20.711266999999999</v>
      </c>
      <c r="M41" s="499">
        <v>20.864622000000001</v>
      </c>
      <c r="N41" s="499">
        <v>20.936495000000001</v>
      </c>
      <c r="O41" s="499">
        <v>21.051438999999998</v>
      </c>
      <c r="P41" s="499">
        <v>21.151378999999999</v>
      </c>
      <c r="Q41" s="499">
        <v>21.574871000000002</v>
      </c>
      <c r="R41" s="499">
        <v>21.533821</v>
      </c>
      <c r="S41" s="499">
        <v>21.861111000000001</v>
      </c>
      <c r="T41" s="499">
        <v>21.878026999999999</v>
      </c>
      <c r="U41" s="499">
        <v>21.853370999999999</v>
      </c>
      <c r="V41" s="499">
        <v>21.884357000000001</v>
      </c>
      <c r="W41" s="499">
        <v>22.159044000000002</v>
      </c>
      <c r="X41" s="499">
        <v>22.700935000000001</v>
      </c>
      <c r="Y41" s="499">
        <v>22.697831999999998</v>
      </c>
      <c r="Z41" s="499">
        <v>22.681452</v>
      </c>
      <c r="AA41" s="499">
        <v>22.725404999999999</v>
      </c>
      <c r="AB41" s="499">
        <v>22.671658000000001</v>
      </c>
      <c r="AC41" s="499">
        <v>22.804096000000001</v>
      </c>
      <c r="AD41" s="499">
        <v>22.934550999999999</v>
      </c>
      <c r="AE41" s="499">
        <v>22.962858000000001</v>
      </c>
      <c r="AF41" s="499">
        <v>23.487137000000001</v>
      </c>
      <c r="AG41" s="499">
        <v>23.953323000000001</v>
      </c>
      <c r="AH41" s="499">
        <v>23.816199999999998</v>
      </c>
      <c r="AI41" s="499">
        <v>23.864515000000001</v>
      </c>
      <c r="AJ41" s="499">
        <v>23.964524999999998</v>
      </c>
      <c r="AK41" s="503">
        <v>2.1000000000000001E-2</v>
      </c>
      <c r="AL41" s="517" t="s">
        <v>378</v>
      </c>
      <c r="AM41" s="518">
        <v>0.1604966375352001</v>
      </c>
    </row>
    <row r="42" spans="1:44" s="251" customFormat="1">
      <c r="A42" s="501" t="s">
        <v>725</v>
      </c>
      <c r="G42" s="499">
        <v>0</v>
      </c>
      <c r="H42" s="499">
        <v>0</v>
      </c>
      <c r="I42" s="499">
        <v>0</v>
      </c>
      <c r="J42" s="499">
        <v>0</v>
      </c>
      <c r="K42" s="499">
        <v>0</v>
      </c>
      <c r="L42" s="499">
        <v>0</v>
      </c>
      <c r="M42" s="499">
        <v>0</v>
      </c>
      <c r="N42" s="499">
        <v>0</v>
      </c>
      <c r="O42" s="499">
        <v>0</v>
      </c>
      <c r="P42" s="499">
        <v>0</v>
      </c>
      <c r="Q42" s="499">
        <v>0</v>
      </c>
      <c r="R42" s="499">
        <v>0</v>
      </c>
      <c r="S42" s="499">
        <v>0</v>
      </c>
      <c r="T42" s="499">
        <v>0</v>
      </c>
      <c r="U42" s="499">
        <v>0</v>
      </c>
      <c r="V42" s="499">
        <v>0</v>
      </c>
      <c r="W42" s="499">
        <v>0</v>
      </c>
      <c r="X42" s="499">
        <v>0</v>
      </c>
      <c r="Y42" s="499">
        <v>0</v>
      </c>
      <c r="Z42" s="499">
        <v>0</v>
      </c>
      <c r="AA42" s="499">
        <v>0</v>
      </c>
      <c r="AB42" s="499">
        <v>0</v>
      </c>
      <c r="AC42" s="499">
        <v>0</v>
      </c>
      <c r="AD42" s="499">
        <v>0</v>
      </c>
      <c r="AE42" s="499">
        <v>0</v>
      </c>
      <c r="AF42" s="499">
        <v>0</v>
      </c>
      <c r="AG42" s="499">
        <v>0</v>
      </c>
      <c r="AH42" s="499">
        <v>0</v>
      </c>
      <c r="AI42" s="499">
        <v>0</v>
      </c>
      <c r="AJ42" s="499">
        <v>0</v>
      </c>
      <c r="AK42" s="499" t="s">
        <v>41</v>
      </c>
      <c r="AL42" s="517" t="s">
        <v>743</v>
      </c>
      <c r="AM42" s="518">
        <v>0</v>
      </c>
    </row>
    <row r="43" spans="1:44" s="251" customFormat="1">
      <c r="A43" s="502" t="s">
        <v>726</v>
      </c>
      <c r="G43" s="500">
        <v>117.26564</v>
      </c>
      <c r="H43" s="500">
        <v>113.961037</v>
      </c>
      <c r="I43" s="500">
        <v>111.701019</v>
      </c>
      <c r="J43" s="500">
        <v>114.338089</v>
      </c>
      <c r="K43" s="500">
        <v>115.312698</v>
      </c>
      <c r="L43" s="500">
        <v>117.38336200000001</v>
      </c>
      <c r="M43" s="500">
        <v>120.581566</v>
      </c>
      <c r="N43" s="500">
        <v>122.806854</v>
      </c>
      <c r="O43" s="500">
        <v>123.43317399999999</v>
      </c>
      <c r="P43" s="500">
        <v>122.352295</v>
      </c>
      <c r="Q43" s="500">
        <v>122.053375</v>
      </c>
      <c r="R43" s="500">
        <v>120.280029</v>
      </c>
      <c r="S43" s="500">
        <v>119.32270800000001</v>
      </c>
      <c r="T43" s="500">
        <v>118.82589</v>
      </c>
      <c r="U43" s="500">
        <v>118.61041299999999</v>
      </c>
      <c r="V43" s="500">
        <v>116.851944</v>
      </c>
      <c r="W43" s="500">
        <v>117.21375999999999</v>
      </c>
      <c r="X43" s="500">
        <v>118.488876</v>
      </c>
      <c r="Y43" s="500">
        <v>116.675499</v>
      </c>
      <c r="Z43" s="500">
        <v>117.567474</v>
      </c>
      <c r="AA43" s="500">
        <v>118.34326900000001</v>
      </c>
      <c r="AB43" s="500">
        <v>119.024811</v>
      </c>
      <c r="AC43" s="500">
        <v>120.638428</v>
      </c>
      <c r="AD43" s="500">
        <v>121.46553</v>
      </c>
      <c r="AE43" s="500">
        <v>120.683136</v>
      </c>
      <c r="AF43" s="500">
        <v>121.613022</v>
      </c>
      <c r="AG43" s="500">
        <v>121.55729700000001</v>
      </c>
      <c r="AH43" s="500">
        <v>121.068832</v>
      </c>
      <c r="AI43" s="500">
        <v>120.380112</v>
      </c>
      <c r="AJ43" s="500">
        <v>118.642754</v>
      </c>
      <c r="AK43" s="504">
        <v>1E-3</v>
      </c>
      <c r="AL43" s="517" t="s">
        <v>744</v>
      </c>
      <c r="AM43" s="518">
        <v>3.1032999538796784E-2</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0.1718705521835566</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748</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746</v>
      </c>
      <c r="AN48" s="255">
        <v>2006</v>
      </c>
      <c r="AO48" s="255">
        <v>2007</v>
      </c>
      <c r="AP48" s="255">
        <v>2008</v>
      </c>
      <c r="AQ48" s="255">
        <v>2009</v>
      </c>
      <c r="AR48" s="255">
        <v>2010</v>
      </c>
    </row>
    <row r="49" spans="1:44" s="255" customFormat="1">
      <c r="A49" s="254" t="s">
        <v>68</v>
      </c>
      <c r="B49" s="505">
        <f>AN51</f>
        <v>3.8849999999999998</v>
      </c>
      <c r="C49" s="505">
        <f t="shared" ref="C49:F49" si="0">AO51</f>
        <v>3.927</v>
      </c>
      <c r="D49" s="505">
        <f t="shared" si="0"/>
        <v>3.4510000000000001</v>
      </c>
      <c r="E49" s="505">
        <f t="shared" si="0"/>
        <v>2.8860000000000001</v>
      </c>
      <c r="F49" s="505">
        <f t="shared" si="0"/>
        <v>3.0830000000000002</v>
      </c>
      <c r="G49" s="484">
        <f t="shared" ref="G49:AJ49" si="1">G36*$AM36</f>
        <v>1.3449375412701641</v>
      </c>
      <c r="H49" s="484">
        <f t="shared" si="1"/>
        <v>0.69798572009489623</v>
      </c>
      <c r="I49" s="484">
        <f t="shared" si="1"/>
        <v>0.758653094756916</v>
      </c>
      <c r="J49" s="484">
        <f t="shared" si="1"/>
        <v>0.75472736426127784</v>
      </c>
      <c r="K49" s="484">
        <f t="shared" si="1"/>
        <v>0.76212669901079377</v>
      </c>
      <c r="L49" s="484">
        <f t="shared" si="1"/>
        <v>0.10335864813566661</v>
      </c>
      <c r="M49" s="484">
        <f t="shared" si="1"/>
        <v>0.39379777390768611</v>
      </c>
      <c r="N49" s="484">
        <f t="shared" si="1"/>
        <v>0.74849260313976784</v>
      </c>
      <c r="O49" s="484">
        <f t="shared" si="1"/>
        <v>0.89553999092473613</v>
      </c>
      <c r="P49" s="484">
        <f t="shared" si="1"/>
        <v>0.92582627471145573</v>
      </c>
      <c r="Q49" s="484">
        <f t="shared" si="1"/>
        <v>0.94780817456691524</v>
      </c>
      <c r="R49" s="484">
        <f t="shared" si="1"/>
        <v>0.9627888896099861</v>
      </c>
      <c r="S49" s="484">
        <f t="shared" si="1"/>
        <v>0.97402631805056983</v>
      </c>
      <c r="T49" s="484">
        <f t="shared" si="1"/>
        <v>0.97932934059985277</v>
      </c>
      <c r="U49" s="484">
        <f t="shared" si="1"/>
        <v>0.98457759014627921</v>
      </c>
      <c r="V49" s="484">
        <f t="shared" si="1"/>
        <v>0.98498131697097013</v>
      </c>
      <c r="W49" s="484">
        <f t="shared" si="1"/>
        <v>1.5247973437335909</v>
      </c>
      <c r="X49" s="484">
        <f t="shared" si="1"/>
        <v>1.6678365427568025</v>
      </c>
      <c r="Y49" s="484">
        <f t="shared" si="1"/>
        <v>1.6928411156717142</v>
      </c>
      <c r="Z49" s="484">
        <f t="shared" si="1"/>
        <v>1.7025996730351742</v>
      </c>
      <c r="AA49" s="484">
        <f t="shared" si="1"/>
        <v>1.6934880346290879</v>
      </c>
      <c r="AB49" s="484">
        <f t="shared" si="1"/>
        <v>1.5025812146004618</v>
      </c>
      <c r="AC49" s="484">
        <f t="shared" si="1"/>
        <v>1.4765911259832458</v>
      </c>
      <c r="AD49" s="484">
        <f t="shared" si="1"/>
        <v>1.4203547876650342</v>
      </c>
      <c r="AE49" s="484">
        <f t="shared" si="1"/>
        <v>1.3864128540803977</v>
      </c>
      <c r="AF49" s="484">
        <f t="shared" si="1"/>
        <v>1.5776483121261624</v>
      </c>
      <c r="AG49" s="484">
        <f t="shared" si="1"/>
        <v>1.5525324006345351</v>
      </c>
      <c r="AH49" s="484">
        <f t="shared" si="1"/>
        <v>1.5853707080052533</v>
      </c>
      <c r="AI49" s="484">
        <f t="shared" si="1"/>
        <v>1.5859977095070428</v>
      </c>
      <c r="AJ49" s="484">
        <f t="shared" si="1"/>
        <v>1.5854669093157248</v>
      </c>
      <c r="AK49"/>
    </row>
    <row r="50" spans="1:44" s="255" customFormat="1">
      <c r="A50" s="254" t="s">
        <v>69</v>
      </c>
      <c r="B50" s="505">
        <f t="shared" ref="B50:B51" si="2">AN52</f>
        <v>0.439</v>
      </c>
      <c r="C50" s="505">
        <f t="shared" ref="C50:C51" si="3">AO52</f>
        <v>0.38500000000000001</v>
      </c>
      <c r="D50" s="505">
        <f t="shared" ref="D50:D51" si="4">AP52</f>
        <v>0.13600000000000001</v>
      </c>
      <c r="E50" s="505">
        <f t="shared" ref="E50:E51" si="5">AQ52</f>
        <v>0.183</v>
      </c>
      <c r="F50" s="505">
        <f t="shared" ref="F50:F51" si="6">AR52</f>
        <v>7.1999999999999995E-2</v>
      </c>
      <c r="G50" s="484">
        <f t="shared" ref="G50:AJ50" si="7">G37*$AM37</f>
        <v>3.6635049874951753E-2</v>
      </c>
      <c r="H50" s="484">
        <f t="shared" si="7"/>
        <v>2.345031571694757E-2</v>
      </c>
      <c r="I50" s="484">
        <f t="shared" si="7"/>
        <v>2.3496007446105784E-2</v>
      </c>
      <c r="J50" s="484">
        <f t="shared" si="7"/>
        <v>2.3449128918787615E-2</v>
      </c>
      <c r="K50" s="484">
        <f t="shared" si="7"/>
        <v>2.3742787288491128E-2</v>
      </c>
      <c r="L50" s="484">
        <f t="shared" si="7"/>
        <v>2.2729261659890778E-2</v>
      </c>
      <c r="M50" s="484">
        <f t="shared" si="7"/>
        <v>9.3794883827680534E-3</v>
      </c>
      <c r="N50" s="484">
        <f t="shared" si="7"/>
        <v>1.0052402939461727E-2</v>
      </c>
      <c r="O50" s="484">
        <f t="shared" si="7"/>
        <v>1.1220583203281025E-2</v>
      </c>
      <c r="P50" s="484">
        <f t="shared" si="7"/>
        <v>1.1311002388092488E-2</v>
      </c>
      <c r="Q50" s="484">
        <f t="shared" si="7"/>
        <v>1.0384780599133723E-2</v>
      </c>
      <c r="R50" s="484">
        <f t="shared" si="7"/>
        <v>9.3689555490984646E-3</v>
      </c>
      <c r="S50" s="484">
        <f t="shared" si="7"/>
        <v>9.3383213215946642E-3</v>
      </c>
      <c r="T50" s="484">
        <f t="shared" si="7"/>
        <v>8.2664200585015994E-3</v>
      </c>
      <c r="U50" s="484">
        <f t="shared" si="7"/>
        <v>8.2677552064315471E-3</v>
      </c>
      <c r="V50" s="484">
        <f t="shared" si="7"/>
        <v>7.9705364422481741E-3</v>
      </c>
      <c r="W50" s="484">
        <f t="shared" si="7"/>
        <v>8.6491624650866256E-3</v>
      </c>
      <c r="X50" s="484">
        <f t="shared" si="7"/>
        <v>8.6300253447573749E-3</v>
      </c>
      <c r="Y50" s="484">
        <f t="shared" si="7"/>
        <v>8.6538354828414425E-3</v>
      </c>
      <c r="Z50" s="484">
        <f t="shared" si="7"/>
        <v>8.6276517484374666E-3</v>
      </c>
      <c r="AA50" s="484">
        <f t="shared" si="7"/>
        <v>8.6105915248881337E-3</v>
      </c>
      <c r="AB50" s="484">
        <f t="shared" si="7"/>
        <v>8.2506208079972162E-3</v>
      </c>
      <c r="AC50" s="484">
        <f t="shared" si="7"/>
        <v>8.1333503148168038E-3</v>
      </c>
      <c r="AD50" s="484">
        <f t="shared" si="7"/>
        <v>8.0554666855698516E-3</v>
      </c>
      <c r="AE50" s="484">
        <f t="shared" si="7"/>
        <v>7.7479376123718831E-3</v>
      </c>
      <c r="AF50" s="484">
        <f t="shared" si="7"/>
        <v>8.014151274626468E-3</v>
      </c>
      <c r="AG50" s="484">
        <f t="shared" si="7"/>
        <v>7.8644663567023244E-3</v>
      </c>
      <c r="AH50" s="484">
        <f t="shared" si="7"/>
        <v>7.9126058570654408E-3</v>
      </c>
      <c r="AI50" s="484">
        <f t="shared" si="7"/>
        <v>7.9183173232102166E-3</v>
      </c>
      <c r="AJ50" s="484">
        <f t="shared" si="7"/>
        <v>7.9281825829148316E-3</v>
      </c>
      <c r="AK50"/>
      <c r="AM50" s="255" t="s">
        <v>747</v>
      </c>
      <c r="AN50" s="255">
        <v>10.331</v>
      </c>
      <c r="AO50" s="255">
        <v>10.066000000000001</v>
      </c>
      <c r="AP50" s="255">
        <v>10.66</v>
      </c>
      <c r="AQ50" s="255">
        <v>8.4109999999999996</v>
      </c>
      <c r="AR50" s="255">
        <v>8.5190000000000001</v>
      </c>
    </row>
    <row r="51" spans="1:44" s="255" customFormat="1">
      <c r="A51" s="254" t="s">
        <v>76</v>
      </c>
      <c r="B51" s="505">
        <f t="shared" si="2"/>
        <v>6.0069999999999997</v>
      </c>
      <c r="C51" s="505">
        <f t="shared" si="3"/>
        <v>5.7539999999999996</v>
      </c>
      <c r="D51" s="505">
        <f t="shared" si="4"/>
        <v>7.0730000000000004</v>
      </c>
      <c r="E51" s="505">
        <f t="shared" si="5"/>
        <v>5.3419999999999996</v>
      </c>
      <c r="F51" s="505">
        <f t="shared" si="6"/>
        <v>5.3650000000000002</v>
      </c>
      <c r="G51" s="484">
        <f t="shared" ref="G51:AJ51" si="8">G38*$AM38</f>
        <v>6.6627951514594441</v>
      </c>
      <c r="H51" s="484">
        <f t="shared" si="8"/>
        <v>6.5537783971632289</v>
      </c>
      <c r="I51" s="484">
        <f t="shared" si="8"/>
        <v>6.3786833432922014</v>
      </c>
      <c r="J51" s="484">
        <f t="shared" si="8"/>
        <v>6.6278324836440961</v>
      </c>
      <c r="K51" s="484">
        <f t="shared" si="8"/>
        <v>6.7758877935228723</v>
      </c>
      <c r="L51" s="484">
        <f t="shared" si="8"/>
        <v>6.9530573632216903</v>
      </c>
      <c r="M51" s="484">
        <f t="shared" si="8"/>
        <v>7.1403764231999425</v>
      </c>
      <c r="N51" s="484">
        <f t="shared" si="8"/>
        <v>7.172195122880316</v>
      </c>
      <c r="O51" s="484">
        <f t="shared" si="8"/>
        <v>7.1368303853270953</v>
      </c>
      <c r="P51" s="484">
        <f t="shared" si="8"/>
        <v>6.9865556017326735</v>
      </c>
      <c r="Q51" s="484">
        <f t="shared" si="8"/>
        <v>6.8956477226591</v>
      </c>
      <c r="R51" s="484">
        <f t="shared" si="8"/>
        <v>6.6968506134108949</v>
      </c>
      <c r="S51" s="484">
        <f t="shared" si="8"/>
        <v>6.548277422637665</v>
      </c>
      <c r="T51" s="484">
        <f t="shared" si="8"/>
        <v>6.4899940450813087</v>
      </c>
      <c r="U51" s="484">
        <f t="shared" si="8"/>
        <v>6.4658607732349864</v>
      </c>
      <c r="V51" s="484">
        <f t="shared" si="8"/>
        <v>6.2677400233060299</v>
      </c>
      <c r="W51" s="484">
        <f t="shared" si="8"/>
        <v>5.9760198100356687</v>
      </c>
      <c r="X51" s="484">
        <f t="shared" si="8"/>
        <v>5.9776563491258434</v>
      </c>
      <c r="Y51" s="484">
        <f t="shared" si="8"/>
        <v>5.7630716856939905</v>
      </c>
      <c r="Z51" s="484">
        <f t="shared" si="8"/>
        <v>5.8583486930326849</v>
      </c>
      <c r="AA51" s="484">
        <f t="shared" si="8"/>
        <v>5.9445504278342831</v>
      </c>
      <c r="AB51" s="484">
        <f t="shared" si="8"/>
        <v>6.1328000775558937</v>
      </c>
      <c r="AC51" s="484">
        <f t="shared" si="8"/>
        <v>6.3115439032157017</v>
      </c>
      <c r="AD51" s="484">
        <f t="shared" si="8"/>
        <v>6.4201270029131594</v>
      </c>
      <c r="AE51" s="484">
        <f t="shared" si="8"/>
        <v>6.3495881452127652</v>
      </c>
      <c r="AF51" s="484">
        <f t="shared" si="8"/>
        <v>6.287697333246963</v>
      </c>
      <c r="AG51" s="484">
        <f t="shared" si="8"/>
        <v>6.2440223417345209</v>
      </c>
      <c r="AH51" s="484">
        <f t="shared" si="8"/>
        <v>6.1867155459119365</v>
      </c>
      <c r="AI51" s="484">
        <f t="shared" si="8"/>
        <v>6.1046670540807035</v>
      </c>
      <c r="AJ51" s="484">
        <f t="shared" si="8"/>
        <v>5.9013206166242194</v>
      </c>
      <c r="AK51"/>
      <c r="AM51" s="255" t="s">
        <v>68</v>
      </c>
      <c r="AN51" s="255">
        <v>3.8849999999999998</v>
      </c>
      <c r="AO51" s="255">
        <v>3.927</v>
      </c>
      <c r="AP51" s="255">
        <v>3.4510000000000001</v>
      </c>
      <c r="AQ51" s="255">
        <v>2.8860000000000001</v>
      </c>
      <c r="AR51" s="255">
        <v>3.0830000000000002</v>
      </c>
    </row>
    <row r="52" spans="1:44" s="255" customFormat="1">
      <c r="A52" s="254" t="s">
        <v>71</v>
      </c>
      <c r="B52" s="506">
        <f>AN55</f>
        <v>9.3979999999999997</v>
      </c>
      <c r="C52" s="506">
        <f t="shared" ref="C52:F52" si="9">AO55</f>
        <v>10.763999999999999</v>
      </c>
      <c r="D52" s="506">
        <f t="shared" si="9"/>
        <v>9.35</v>
      </c>
      <c r="E52" s="506">
        <f t="shared" si="9"/>
        <v>8.8170000000000002</v>
      </c>
      <c r="F52" s="506">
        <f t="shared" si="9"/>
        <v>10.91</v>
      </c>
      <c r="G52" s="484">
        <f>G39*$AM40</f>
        <v>9.1634643942732641</v>
      </c>
      <c r="H52" s="484">
        <f t="shared" ref="H52:AJ52" si="10">H39*$AM40</f>
        <v>9.6534048821174547</v>
      </c>
      <c r="I52" s="484">
        <f t="shared" si="10"/>
        <v>9.3460456752768319</v>
      </c>
      <c r="J52" s="484">
        <f t="shared" si="10"/>
        <v>9.3867307824327053</v>
      </c>
      <c r="K52" s="484">
        <f t="shared" si="10"/>
        <v>8.3436111325269078</v>
      </c>
      <c r="L52" s="484">
        <f t="shared" si="10"/>
        <v>8.4354660198207458</v>
      </c>
      <c r="M52" s="484">
        <f t="shared" si="10"/>
        <v>8.4558791376587976</v>
      </c>
      <c r="N52" s="484">
        <f t="shared" si="10"/>
        <v>8.4763042834957325</v>
      </c>
      <c r="O52" s="484">
        <f t="shared" si="10"/>
        <v>8.4967385171540464</v>
      </c>
      <c r="P52" s="484">
        <f t="shared" si="10"/>
        <v>8.5025835900335753</v>
      </c>
      <c r="Q52" s="484">
        <f t="shared" si="10"/>
        <v>8.502584124611305</v>
      </c>
      <c r="R52" s="484">
        <f t="shared" si="10"/>
        <v>8.502584124611305</v>
      </c>
      <c r="S52" s="484">
        <f t="shared" si="10"/>
        <v>8.5025835900335753</v>
      </c>
      <c r="T52" s="484">
        <f t="shared" si="10"/>
        <v>8.5025835900335753</v>
      </c>
      <c r="U52" s="484">
        <f t="shared" si="10"/>
        <v>8.5025835900335753</v>
      </c>
      <c r="V52" s="484">
        <f t="shared" si="10"/>
        <v>8.5025835900335753</v>
      </c>
      <c r="W52" s="484">
        <f t="shared" si="10"/>
        <v>8.502584124611305</v>
      </c>
      <c r="X52" s="484">
        <f t="shared" si="10"/>
        <v>8.5025835900335753</v>
      </c>
      <c r="Y52" s="484">
        <f t="shared" si="10"/>
        <v>8.5025835900335753</v>
      </c>
      <c r="Z52" s="484">
        <f t="shared" si="10"/>
        <v>8.5025835900335753</v>
      </c>
      <c r="AA52" s="484">
        <f t="shared" si="10"/>
        <v>8.5025835900335753</v>
      </c>
      <c r="AB52" s="484">
        <f t="shared" si="10"/>
        <v>8.5025835900335753</v>
      </c>
      <c r="AC52" s="484">
        <f t="shared" si="10"/>
        <v>8.5025835900335753</v>
      </c>
      <c r="AD52" s="484">
        <f t="shared" si="10"/>
        <v>8.5025835900335753</v>
      </c>
      <c r="AE52" s="484">
        <f t="shared" si="10"/>
        <v>8.5025835900335753</v>
      </c>
      <c r="AF52" s="484">
        <f t="shared" si="10"/>
        <v>8.5025835900335753</v>
      </c>
      <c r="AG52" s="484">
        <f t="shared" si="10"/>
        <v>8.502584124611305</v>
      </c>
      <c r="AH52" s="484">
        <f t="shared" si="10"/>
        <v>8.502584124611305</v>
      </c>
      <c r="AI52" s="484">
        <f t="shared" si="10"/>
        <v>8.5025835900335753</v>
      </c>
      <c r="AJ52" s="484">
        <f t="shared" si="10"/>
        <v>8.5025835900335753</v>
      </c>
      <c r="AK52"/>
      <c r="AM52" s="255" t="s">
        <v>69</v>
      </c>
      <c r="AN52" s="255">
        <v>0.439</v>
      </c>
      <c r="AO52" s="255">
        <v>0.38500000000000001</v>
      </c>
      <c r="AP52" s="255">
        <v>0.13600000000000001</v>
      </c>
      <c r="AQ52" s="255">
        <v>0.183</v>
      </c>
      <c r="AR52" s="255">
        <v>7.1999999999999995E-2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76</v>
      </c>
      <c r="AN53" s="255">
        <v>6.0069999999999997</v>
      </c>
      <c r="AO53" s="255">
        <v>5.7539999999999996</v>
      </c>
      <c r="AP53" s="255">
        <v>7.0730000000000004</v>
      </c>
      <c r="AQ53" s="255">
        <v>5.3419999999999996</v>
      </c>
      <c r="AR53" s="255">
        <v>5.3650000000000002</v>
      </c>
    </row>
    <row r="54" spans="1:44" s="255" customFormat="1">
      <c r="A54" s="254" t="s">
        <v>627</v>
      </c>
      <c r="B54" s="506">
        <f>AN56</f>
        <v>2.2749999999999999</v>
      </c>
      <c r="C54" s="506">
        <f t="shared" ref="C54:F54" si="11">AO56</f>
        <v>2.3889999999999998</v>
      </c>
      <c r="D54" s="506">
        <f t="shared" si="11"/>
        <v>2.8079999999999998</v>
      </c>
      <c r="E54" s="506">
        <f t="shared" si="11"/>
        <v>2.8780000000000001</v>
      </c>
      <c r="F54" s="506">
        <f t="shared" si="11"/>
        <v>2.71</v>
      </c>
      <c r="G54" s="484">
        <f>EIA_RE_aeo2014!G79</f>
        <v>2.741084195257224</v>
      </c>
      <c r="H54" s="484">
        <f>EIA_RE_aeo2014!H79</f>
        <v>2.6437043049024793</v>
      </c>
      <c r="I54" s="484">
        <f>EIA_RE_aeo2014!I79</f>
        <v>2.6855647169111352</v>
      </c>
      <c r="J54" s="484">
        <f>EIA_RE_aeo2014!J79</f>
        <v>2.7563679690564262</v>
      </c>
      <c r="K54" s="484">
        <f>EIA_RE_aeo2014!K79</f>
        <v>3.3627891063059767</v>
      </c>
      <c r="L54" s="484">
        <f>EIA_RE_aeo2014!L79</f>
        <v>3.9595552473313216</v>
      </c>
      <c r="M54" s="484">
        <f>EIA_RE_aeo2014!M79</f>
        <v>3.9940607404282895</v>
      </c>
      <c r="N54" s="484">
        <f>EIA_RE_aeo2014!N79</f>
        <v>4.0127903770353726</v>
      </c>
      <c r="O54" s="484">
        <f>EIA_RE_aeo2014!O79</f>
        <v>4.04044635513225</v>
      </c>
      <c r="P54" s="484">
        <f>EIA_RE_aeo2014!P79</f>
        <v>4.0681544946363273</v>
      </c>
      <c r="Q54" s="484">
        <f>EIA_RE_aeo2014!Q79</f>
        <v>4.1494831162711767</v>
      </c>
      <c r="R54" s="484">
        <f>EIA_RE_aeo2014!R79</f>
        <v>4.1560026501844938</v>
      </c>
      <c r="S54" s="484">
        <f>EIA_RE_aeo2014!S79</f>
        <v>4.222225328294531</v>
      </c>
      <c r="T54" s="484">
        <f>EIA_RE_aeo2014!T79</f>
        <v>4.2405286858323192</v>
      </c>
      <c r="U54" s="484">
        <f>EIA_RE_aeo2014!U79</f>
        <v>4.2534642333277439</v>
      </c>
      <c r="V54" s="484">
        <f>EIA_RE_aeo2014!V79</f>
        <v>4.2778163881409599</v>
      </c>
      <c r="W54" s="484">
        <f>EIA_RE_aeo2014!W79</f>
        <v>4.3404527688852728</v>
      </c>
      <c r="X54" s="484">
        <f>EIA_RE_aeo2014!X79</f>
        <v>4.446119421629235</v>
      </c>
      <c r="Y54" s="484">
        <f>EIA_RE_aeo2014!Y79</f>
        <v>4.4647874275275043</v>
      </c>
      <c r="Z54" s="484">
        <f>EIA_RE_aeo2014!Z79</f>
        <v>4.4833342584644349</v>
      </c>
      <c r="AA54" s="484">
        <f>EIA_RE_aeo2014!AA79</f>
        <v>4.5122998891235993</v>
      </c>
      <c r="AB54" s="484">
        <f>EIA_RE_aeo2014!AB79</f>
        <v>4.5237736332443532</v>
      </c>
      <c r="AC54" s="484">
        <f>EIA_RE_aeo2014!AC79</f>
        <v>4.5664490471784136</v>
      </c>
      <c r="AD54" s="484">
        <f>EIA_RE_aeo2014!AD79</f>
        <v>4.6103580382685685</v>
      </c>
      <c r="AE54" s="484">
        <f>EIA_RE_aeo2014!AE79</f>
        <v>4.6369648498458789</v>
      </c>
      <c r="AF54" s="484">
        <f>EIA_RE_aeo2014!AF79</f>
        <v>4.7437689422600533</v>
      </c>
      <c r="AG54" s="484">
        <f>EIA_RE_aeo2014!AG79</f>
        <v>4.8431203733102803</v>
      </c>
      <c r="AH54" s="484">
        <f>EIA_RE_aeo2014!AH79</f>
        <v>4.8471950619440243</v>
      </c>
      <c r="AI54" s="484">
        <f>EIA_RE_aeo2014!AI79</f>
        <v>4.8833445220992644</v>
      </c>
      <c r="AJ54" s="484">
        <f>EIA_RE_aeo2014!AJ79</f>
        <v>4.9285435851619273</v>
      </c>
      <c r="AK54"/>
      <c r="AM54" s="255" t="s">
        <v>742</v>
      </c>
      <c r="AN54" s="255">
        <v>0</v>
      </c>
      <c r="AO54" s="255">
        <v>0</v>
      </c>
      <c r="AP54" s="255">
        <v>0</v>
      </c>
      <c r="AQ54" s="255">
        <v>0</v>
      </c>
      <c r="AR54" s="255">
        <v>0</v>
      </c>
    </row>
    <row r="55" spans="1:44" s="255" customFormat="1">
      <c r="A55" s="254" t="s">
        <v>628</v>
      </c>
      <c r="B55" s="506">
        <f>AN58</f>
        <v>5.8999999999999997E-2</v>
      </c>
      <c r="C55" s="506">
        <f t="shared" ref="C55:F55" si="12">AO58</f>
        <v>5.8999999999999997E-2</v>
      </c>
      <c r="D55" s="506">
        <f t="shared" si="12"/>
        <v>5.8000000000000003E-2</v>
      </c>
      <c r="E55" s="506">
        <f t="shared" si="12"/>
        <v>5.8000000000000003E-2</v>
      </c>
      <c r="F55" s="506">
        <f t="shared" si="12"/>
        <v>5.7000000000000002E-2</v>
      </c>
      <c r="G55" s="484">
        <f>G39*$AM43</f>
        <v>1.0639043542215696</v>
      </c>
      <c r="H55" s="484">
        <f t="shared" ref="H55:AJ55" si="13">H39*$AM43</f>
        <v>1.1207878423761841</v>
      </c>
      <c r="I55" s="484">
        <f t="shared" si="13"/>
        <v>1.0851025617445282</v>
      </c>
      <c r="J55" s="484">
        <f t="shared" si="13"/>
        <v>1.0898262187363268</v>
      </c>
      <c r="K55" s="484">
        <f t="shared" si="13"/>
        <v>0.96871705196721503</v>
      </c>
      <c r="L55" s="484">
        <f t="shared" si="13"/>
        <v>0.97938166639072077</v>
      </c>
      <c r="M55" s="484">
        <f t="shared" si="13"/>
        <v>0.98175168759849818</v>
      </c>
      <c r="N55" s="484">
        <f t="shared" si="13"/>
        <v>0.98412310529125491</v>
      </c>
      <c r="O55" s="484">
        <f t="shared" si="13"/>
        <v>0.98649557810599597</v>
      </c>
      <c r="P55" s="484">
        <f t="shared" si="13"/>
        <v>0.98717420773991027</v>
      </c>
      <c r="Q55" s="484">
        <f t="shared" si="13"/>
        <v>0.98717426980590939</v>
      </c>
      <c r="R55" s="484">
        <f t="shared" si="13"/>
        <v>0.98717426980590939</v>
      </c>
      <c r="S55" s="484">
        <f t="shared" si="13"/>
        <v>0.98717420773991027</v>
      </c>
      <c r="T55" s="484">
        <f t="shared" si="13"/>
        <v>0.98717420773991027</v>
      </c>
      <c r="U55" s="484">
        <f t="shared" si="13"/>
        <v>0.98717420773991027</v>
      </c>
      <c r="V55" s="484">
        <f t="shared" si="13"/>
        <v>0.98717420773991027</v>
      </c>
      <c r="W55" s="484">
        <f t="shared" si="13"/>
        <v>0.98717426980590939</v>
      </c>
      <c r="X55" s="484">
        <f t="shared" si="13"/>
        <v>0.98717420773991027</v>
      </c>
      <c r="Y55" s="484">
        <f t="shared" si="13"/>
        <v>0.98717420773991027</v>
      </c>
      <c r="Z55" s="484">
        <f t="shared" si="13"/>
        <v>0.98717420773991027</v>
      </c>
      <c r="AA55" s="484">
        <f t="shared" si="13"/>
        <v>0.98717420773991027</v>
      </c>
      <c r="AB55" s="484">
        <f t="shared" si="13"/>
        <v>0.98717420773991027</v>
      </c>
      <c r="AC55" s="484">
        <f t="shared" si="13"/>
        <v>0.98717420773991027</v>
      </c>
      <c r="AD55" s="484">
        <f t="shared" si="13"/>
        <v>0.98717420773991027</v>
      </c>
      <c r="AE55" s="484">
        <f t="shared" si="13"/>
        <v>0.98717420773991027</v>
      </c>
      <c r="AF55" s="484">
        <f t="shared" si="13"/>
        <v>0.98717420773991027</v>
      </c>
      <c r="AG55" s="484">
        <f t="shared" si="13"/>
        <v>0.98717426980590939</v>
      </c>
      <c r="AH55" s="484">
        <f t="shared" si="13"/>
        <v>0.98717426980590939</v>
      </c>
      <c r="AI55" s="484">
        <f t="shared" si="13"/>
        <v>0.98717420773991027</v>
      </c>
      <c r="AJ55" s="484">
        <f t="shared" si="13"/>
        <v>0.98717420773991027</v>
      </c>
      <c r="AK55"/>
      <c r="AM55" s="255" t="s">
        <v>225</v>
      </c>
      <c r="AN55" s="255">
        <v>9.3979999999999997</v>
      </c>
      <c r="AO55" s="255">
        <v>10.763999999999999</v>
      </c>
      <c r="AP55" s="255">
        <v>9.35</v>
      </c>
      <c r="AQ55" s="255">
        <v>8.8170000000000002</v>
      </c>
      <c r="AR55" s="255">
        <v>10.91</v>
      </c>
    </row>
    <row r="56" spans="1:44" s="255" customFormat="1">
      <c r="A56" s="254" t="s">
        <v>82</v>
      </c>
      <c r="B56" s="506">
        <f>AN59</f>
        <v>22.064</v>
      </c>
      <c r="C56" s="506">
        <f t="shared" ref="C56" si="14">AO59</f>
        <v>23.277000000000001</v>
      </c>
      <c r="D56" s="506">
        <f t="shared" ref="D56" si="15">AP59</f>
        <v>22.876999999999999</v>
      </c>
      <c r="E56" s="506">
        <f t="shared" ref="E56" si="16">AQ59</f>
        <v>20.164000000000001</v>
      </c>
      <c r="F56" s="506">
        <f t="shared" ref="F56" si="17">AR59</f>
        <v>22.196000000000002</v>
      </c>
      <c r="G56" s="534">
        <f>G58</f>
        <v>21.012820686356619</v>
      </c>
      <c r="H56" s="534">
        <f t="shared" ref="H56:AJ56" si="18">H58</f>
        <v>20.693111462371188</v>
      </c>
      <c r="I56" s="534">
        <f t="shared" si="18"/>
        <v>20.277545399427716</v>
      </c>
      <c r="J56" s="534">
        <f t="shared" si="18"/>
        <v>20.638933947049622</v>
      </c>
      <c r="K56" s="534">
        <f t="shared" si="18"/>
        <v>20.236874570622259</v>
      </c>
      <c r="L56" s="534">
        <f t="shared" si="18"/>
        <v>20.453548206560036</v>
      </c>
      <c r="M56" s="534">
        <f t="shared" si="18"/>
        <v>20.975245251175984</v>
      </c>
      <c r="N56" s="534">
        <f t="shared" si="18"/>
        <v>21.403957894781904</v>
      </c>
      <c r="O56" s="534">
        <f t="shared" si="18"/>
        <v>21.567271409847404</v>
      </c>
      <c r="P56" s="534">
        <f t="shared" si="18"/>
        <v>21.481605171242037</v>
      </c>
      <c r="Q56" s="534">
        <f t="shared" si="18"/>
        <v>21.49308218851354</v>
      </c>
      <c r="R56" s="534">
        <f t="shared" si="18"/>
        <v>21.314769503171686</v>
      </c>
      <c r="S56" s="534">
        <f t="shared" si="18"/>
        <v>21.243625188077846</v>
      </c>
      <c r="T56" s="534">
        <f t="shared" si="18"/>
        <v>21.207876289345471</v>
      </c>
      <c r="U56" s="534">
        <f t="shared" si="18"/>
        <v>21.201928149688928</v>
      </c>
      <c r="V56" s="534">
        <f t="shared" si="18"/>
        <v>21.028266062633694</v>
      </c>
      <c r="W56" s="534">
        <f t="shared" si="18"/>
        <v>21.339677479536835</v>
      </c>
      <c r="X56" s="534">
        <f t="shared" si="18"/>
        <v>21.590000136630124</v>
      </c>
      <c r="Y56" s="534">
        <f t="shared" si="18"/>
        <v>21.419111862149538</v>
      </c>
      <c r="Z56" s="534">
        <f t="shared" si="18"/>
        <v>21.54266807405422</v>
      </c>
      <c r="AA56" s="534">
        <f t="shared" si="18"/>
        <v>21.648706740885348</v>
      </c>
      <c r="AB56" s="534">
        <f t="shared" si="18"/>
        <v>21.657163343982194</v>
      </c>
      <c r="AC56" s="534">
        <f t="shared" si="18"/>
        <v>21.852475224465664</v>
      </c>
      <c r="AD56" s="534">
        <f t="shared" si="18"/>
        <v>21.948653093305818</v>
      </c>
      <c r="AE56" s="534">
        <f t="shared" si="18"/>
        <v>21.8704715845249</v>
      </c>
      <c r="AF56" s="534">
        <f t="shared" si="18"/>
        <v>22.106886536681294</v>
      </c>
      <c r="AG56" s="534">
        <f t="shared" si="18"/>
        <v>22.137297976453254</v>
      </c>
      <c r="AH56" s="534">
        <f t="shared" si="18"/>
        <v>22.116952316135492</v>
      </c>
      <c r="AI56" s="534">
        <f t="shared" si="18"/>
        <v>22.071685400783707</v>
      </c>
      <c r="AJ56" s="534">
        <f t="shared" si="18"/>
        <v>21.913017091458272</v>
      </c>
      <c r="AK56"/>
      <c r="AM56" s="255" t="s">
        <v>378</v>
      </c>
      <c r="AN56" s="255">
        <v>2.2749999999999999</v>
      </c>
      <c r="AO56" s="255">
        <v>2.3889999999999998</v>
      </c>
      <c r="AP56" s="255">
        <v>2.8079999999999998</v>
      </c>
      <c r="AQ56" s="255">
        <v>2.8780000000000001</v>
      </c>
      <c r="AR56" s="255">
        <v>2.71</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743</v>
      </c>
      <c r="AN57" s="255">
        <v>0</v>
      </c>
      <c r="AO57" s="255">
        <v>0</v>
      </c>
      <c r="AP57" s="255">
        <v>0</v>
      </c>
      <c r="AQ57" s="255">
        <v>0</v>
      </c>
      <c r="AR57" s="255">
        <v>0</v>
      </c>
    </row>
    <row r="58" spans="1:44" s="255" customFormat="1">
      <c r="A58" s="254" t="s">
        <v>83</v>
      </c>
      <c r="B58" s="483">
        <f>SUM(B49:B52,B54,B55)</f>
        <v>22.062999999999999</v>
      </c>
      <c r="C58" s="483">
        <f t="shared" ref="C58:AJ58" si="19">SUM(C49:C52,C54,C55)</f>
        <v>23.277999999999999</v>
      </c>
      <c r="D58" s="483">
        <f t="shared" si="19"/>
        <v>22.875999999999998</v>
      </c>
      <c r="E58" s="483">
        <f t="shared" si="19"/>
        <v>20.164000000000001</v>
      </c>
      <c r="F58" s="483">
        <f t="shared" si="19"/>
        <v>22.196999999999999</v>
      </c>
      <c r="G58" s="483">
        <f t="shared" si="19"/>
        <v>21.012820686356619</v>
      </c>
      <c r="H58" s="483">
        <f t="shared" si="19"/>
        <v>20.693111462371188</v>
      </c>
      <c r="I58" s="483">
        <f t="shared" si="19"/>
        <v>20.277545399427716</v>
      </c>
      <c r="J58" s="483">
        <f t="shared" si="19"/>
        <v>20.638933947049622</v>
      </c>
      <c r="K58" s="483">
        <f t="shared" si="19"/>
        <v>20.236874570622259</v>
      </c>
      <c r="L58" s="483">
        <f t="shared" si="19"/>
        <v>20.453548206560036</v>
      </c>
      <c r="M58" s="483">
        <f t="shared" si="19"/>
        <v>20.975245251175984</v>
      </c>
      <c r="N58" s="483">
        <f t="shared" si="19"/>
        <v>21.403957894781904</v>
      </c>
      <c r="O58" s="483">
        <f t="shared" si="19"/>
        <v>21.567271409847404</v>
      </c>
      <c r="P58" s="483">
        <f t="shared" si="19"/>
        <v>21.481605171242037</v>
      </c>
      <c r="Q58" s="483">
        <f t="shared" si="19"/>
        <v>21.49308218851354</v>
      </c>
      <c r="R58" s="483">
        <f t="shared" si="19"/>
        <v>21.314769503171686</v>
      </c>
      <c r="S58" s="483">
        <f t="shared" si="19"/>
        <v>21.243625188077846</v>
      </c>
      <c r="T58" s="483">
        <f t="shared" si="19"/>
        <v>21.207876289345471</v>
      </c>
      <c r="U58" s="483">
        <f t="shared" si="19"/>
        <v>21.201928149688928</v>
      </c>
      <c r="V58" s="483">
        <f t="shared" si="19"/>
        <v>21.028266062633694</v>
      </c>
      <c r="W58" s="483">
        <f t="shared" si="19"/>
        <v>21.339677479536835</v>
      </c>
      <c r="X58" s="483">
        <f t="shared" si="19"/>
        <v>21.590000136630124</v>
      </c>
      <c r="Y58" s="483">
        <f t="shared" si="19"/>
        <v>21.419111862149538</v>
      </c>
      <c r="Z58" s="483">
        <f t="shared" si="19"/>
        <v>21.54266807405422</v>
      </c>
      <c r="AA58" s="483">
        <f t="shared" si="19"/>
        <v>21.648706740885348</v>
      </c>
      <c r="AB58" s="483">
        <f t="shared" si="19"/>
        <v>21.657163343982194</v>
      </c>
      <c r="AC58" s="483">
        <f t="shared" si="19"/>
        <v>21.852475224465664</v>
      </c>
      <c r="AD58" s="483">
        <f t="shared" si="19"/>
        <v>21.948653093305818</v>
      </c>
      <c r="AE58" s="483">
        <f t="shared" si="19"/>
        <v>21.8704715845249</v>
      </c>
      <c r="AF58" s="483">
        <f t="shared" si="19"/>
        <v>22.106886536681294</v>
      </c>
      <c r="AG58" s="483">
        <f t="shared" si="19"/>
        <v>22.137297976453254</v>
      </c>
      <c r="AH58" s="483">
        <f t="shared" si="19"/>
        <v>22.116952316135492</v>
      </c>
      <c r="AI58" s="483">
        <f t="shared" si="19"/>
        <v>22.071685400783707</v>
      </c>
      <c r="AJ58" s="483">
        <f t="shared" si="19"/>
        <v>21.913017091458272</v>
      </c>
      <c r="AK58" s="490">
        <v>8.9999999999999993E-3</v>
      </c>
      <c r="AM58" s="255" t="s">
        <v>744</v>
      </c>
      <c r="AN58" s="255">
        <v>5.8999999999999997E-2</v>
      </c>
      <c r="AO58" s="255">
        <v>5.8999999999999997E-2</v>
      </c>
      <c r="AP58" s="255">
        <v>5.8000000000000003E-2</v>
      </c>
      <c r="AQ58" s="255">
        <v>5.8000000000000003E-2</v>
      </c>
      <c r="AR58" s="255">
        <v>5.7000000000000002E-2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22.064</v>
      </c>
      <c r="AO59" s="5">
        <v>23.277000000000001</v>
      </c>
      <c r="AP59" s="5">
        <v>22.876999999999999</v>
      </c>
      <c r="AQ59" s="5">
        <v>20.164000000000001</v>
      </c>
      <c r="AR59" s="5">
        <v>22.196000000000002</v>
      </c>
    </row>
    <row r="60" spans="1:44" s="274" customFormat="1">
      <c r="A60" s="273" t="s">
        <v>331</v>
      </c>
      <c r="B60" s="367"/>
      <c r="C60" s="367"/>
      <c r="D60" s="367"/>
      <c r="E60" s="367">
        <f>E49/SUM(E49,E51)</f>
        <v>0.350753524550316</v>
      </c>
      <c r="F60" s="367">
        <f t="shared" ref="F60:AJ60" si="20">F49/SUM(F49,F51)</f>
        <v>0.36493844696969696</v>
      </c>
      <c r="G60" s="324">
        <f t="shared" si="20"/>
        <v>0.16795484975307201</v>
      </c>
      <c r="H60" s="324">
        <f t="shared" si="20"/>
        <v>9.6250472134607024E-2</v>
      </c>
      <c r="I60" s="324">
        <f t="shared" si="20"/>
        <v>0.10629358743866113</v>
      </c>
      <c r="J60" s="324">
        <f t="shared" si="20"/>
        <v>0.10223112034444445</v>
      </c>
      <c r="K60" s="324">
        <f t="shared" si="20"/>
        <v>0.10110443536101892</v>
      </c>
      <c r="L60" s="324">
        <f t="shared" si="20"/>
        <v>1.4647470893058184E-2</v>
      </c>
      <c r="M60" s="324">
        <f t="shared" si="20"/>
        <v>5.2268206654800364E-2</v>
      </c>
      <c r="N60" s="324">
        <f t="shared" si="20"/>
        <v>9.4498436124543908E-2</v>
      </c>
      <c r="O60" s="324">
        <f t="shared" si="20"/>
        <v>0.11149137165941102</v>
      </c>
      <c r="P60" s="324">
        <f t="shared" si="20"/>
        <v>0.11700980680264227</v>
      </c>
      <c r="Q60" s="324">
        <f t="shared" si="20"/>
        <v>0.12084063287741892</v>
      </c>
      <c r="R60" s="324">
        <f t="shared" si="20"/>
        <v>0.12569637111906798</v>
      </c>
      <c r="S60" s="324">
        <f t="shared" si="20"/>
        <v>0.12948510876821542</v>
      </c>
      <c r="T60" s="324">
        <f t="shared" si="20"/>
        <v>0.13111352796389111</v>
      </c>
      <c r="U60" s="324">
        <f t="shared" si="20"/>
        <v>0.13215028997293041</v>
      </c>
      <c r="V60" s="324">
        <f t="shared" si="20"/>
        <v>0.13580851528115531</v>
      </c>
      <c r="W60" s="324">
        <f t="shared" si="20"/>
        <v>0.20328416390837631</v>
      </c>
      <c r="X60" s="324">
        <f t="shared" si="20"/>
        <v>0.21814637281627372</v>
      </c>
      <c r="Y60" s="324">
        <f t="shared" si="20"/>
        <v>0.22704679638442596</v>
      </c>
      <c r="Z60" s="324">
        <f t="shared" si="20"/>
        <v>0.2251833487815004</v>
      </c>
      <c r="AA60" s="324">
        <f t="shared" si="20"/>
        <v>0.22171766258465725</v>
      </c>
      <c r="AB60" s="324">
        <f t="shared" si="20"/>
        <v>0.19679190299822061</v>
      </c>
      <c r="AC60" s="324">
        <f t="shared" si="20"/>
        <v>0.18959495700155077</v>
      </c>
      <c r="AD60" s="324">
        <f t="shared" si="20"/>
        <v>0.18115656991536622</v>
      </c>
      <c r="AE60" s="324">
        <f t="shared" si="20"/>
        <v>0.17921570255834687</v>
      </c>
      <c r="AF60" s="324">
        <f t="shared" si="20"/>
        <v>0.20058219730676821</v>
      </c>
      <c r="AG60" s="324">
        <f t="shared" si="20"/>
        <v>0.19913057137886314</v>
      </c>
      <c r="AH60" s="324">
        <f t="shared" si="20"/>
        <v>0.20398264458352025</v>
      </c>
      <c r="AI60" s="324">
        <f t="shared" si="20"/>
        <v>0.20622374765522408</v>
      </c>
      <c r="AJ60" s="324">
        <f t="shared" si="20"/>
        <v>0.2117686529532804</v>
      </c>
      <c r="AK60" s="324"/>
      <c r="AL60" s="274" t="s">
        <v>0</v>
      </c>
    </row>
    <row r="61" spans="1:44" s="265" customFormat="1">
      <c r="A61" s="262" t="s">
        <v>107</v>
      </c>
      <c r="B61" s="358">
        <f>B54/B58</f>
        <v>0.10311381045188778</v>
      </c>
      <c r="C61" s="358">
        <f t="shared" ref="C61:AJ61" si="21">C54/C58</f>
        <v>0.10262909184637856</v>
      </c>
      <c r="D61" s="358">
        <f t="shared" si="21"/>
        <v>0.12274873229585592</v>
      </c>
      <c r="E61" s="358">
        <f t="shared" si="21"/>
        <v>0.14272961713945645</v>
      </c>
      <c r="F61" s="358">
        <f t="shared" si="21"/>
        <v>0.12208857052754878</v>
      </c>
      <c r="G61" s="309">
        <f t="shared" si="21"/>
        <v>0.13044817905084863</v>
      </c>
      <c r="H61" s="309">
        <f t="shared" si="21"/>
        <v>0.12775769896711037</v>
      </c>
      <c r="I61" s="309">
        <f t="shared" si="21"/>
        <v>0.13244032569084663</v>
      </c>
      <c r="J61" s="309">
        <f t="shared" si="21"/>
        <v>0.13355185767482214</v>
      </c>
      <c r="K61" s="309">
        <f t="shared" si="21"/>
        <v>0.16617136675777575</v>
      </c>
      <c r="L61" s="309">
        <f t="shared" si="21"/>
        <v>0.19358769477764154</v>
      </c>
      <c r="M61" s="309">
        <f t="shared" si="21"/>
        <v>0.19041783266893439</v>
      </c>
      <c r="N61" s="309">
        <f t="shared" si="21"/>
        <v>0.18747889510722945</v>
      </c>
      <c r="O61" s="309">
        <f t="shared" si="21"/>
        <v>0.18734156390721832</v>
      </c>
      <c r="P61" s="309">
        <f t="shared" si="21"/>
        <v>0.18937851534867922</v>
      </c>
      <c r="Q61" s="309">
        <f t="shared" si="21"/>
        <v>0.1930613338690329</v>
      </c>
      <c r="R61" s="309">
        <f t="shared" si="21"/>
        <v>0.19498229382992255</v>
      </c>
      <c r="S61" s="309">
        <f t="shared" si="21"/>
        <v>0.19875258064071333</v>
      </c>
      <c r="T61" s="309">
        <f t="shared" si="21"/>
        <v>0.19995065172851367</v>
      </c>
      <c r="U61" s="309">
        <f t="shared" si="21"/>
        <v>0.20061685915062163</v>
      </c>
      <c r="V61" s="309">
        <f t="shared" si="21"/>
        <v>0.20343172258707778</v>
      </c>
      <c r="W61" s="309">
        <f t="shared" si="21"/>
        <v>0.20339823659694223</v>
      </c>
      <c r="X61" s="309">
        <f t="shared" si="21"/>
        <v>0.20593420071757387</v>
      </c>
      <c r="Y61" s="309">
        <f t="shared" si="21"/>
        <v>0.20844876558198411</v>
      </c>
      <c r="Z61" s="309">
        <f t="shared" si="21"/>
        <v>0.20811415944639278</v>
      </c>
      <c r="AA61" s="309">
        <f t="shared" si="21"/>
        <v>0.2084327689007747</v>
      </c>
      <c r="AB61" s="309">
        <f t="shared" si="21"/>
        <v>0.20888117069594711</v>
      </c>
      <c r="AC61" s="309">
        <f t="shared" si="21"/>
        <v>0.20896713073793555</v>
      </c>
      <c r="AD61" s="309">
        <f t="shared" si="21"/>
        <v>0.21005197989459748</v>
      </c>
      <c r="AE61" s="309">
        <f t="shared" si="21"/>
        <v>0.21201942682968486</v>
      </c>
      <c r="AF61" s="309">
        <f t="shared" si="21"/>
        <v>0.21458331250711671</v>
      </c>
      <c r="AG61" s="309">
        <f t="shared" si="21"/>
        <v>0.21877649108133046</v>
      </c>
      <c r="AH61" s="309">
        <f t="shared" si="21"/>
        <v>0.21916198003500409</v>
      </c>
      <c r="AI61" s="309">
        <f t="shared" si="21"/>
        <v>0.22124928085128787</v>
      </c>
      <c r="AJ61" s="309">
        <f t="shared" si="21"/>
        <v>0.22491396618693285</v>
      </c>
      <c r="AK61" s="309"/>
    </row>
    <row r="62" spans="1:44" s="275" customFormat="1">
      <c r="A62" s="264" t="s">
        <v>108</v>
      </c>
      <c r="B62" s="368">
        <f>(B54-EIA_RE_aeo2014!B73)/B56</f>
        <v>3.3810732414793328E-2</v>
      </c>
      <c r="C62" s="368">
        <f>(C54-EIA_RE_aeo2014!C73)/C56</f>
        <v>4.8288009623233229E-2</v>
      </c>
      <c r="D62" s="368">
        <f>(D54-EIA_RE_aeo2014!D73)/D56</f>
        <v>5.1361629584298636E-2</v>
      </c>
      <c r="E62" s="368">
        <f>(E54-EIA_RE_aeo2014!E73)/E56</f>
        <v>5.9412814917675069E-2</v>
      </c>
      <c r="F62" s="368">
        <f>(F54-EIA_RE_aeo2014!F73)/F56</f>
        <v>5.5505496485853303E-2</v>
      </c>
      <c r="G62" s="325">
        <f>(G54-EIA_RE_aeo2014!G73)/G56</f>
        <v>5.6147938202279431E-2</v>
      </c>
      <c r="H62" s="325">
        <f>(H54-EIA_RE_aeo2014!H73)/H56</f>
        <v>6.4167423668149648E-2</v>
      </c>
      <c r="I62" s="325">
        <f>(I54-EIA_RE_aeo2014!I73)/I56</f>
        <v>6.9523454119343922E-2</v>
      </c>
      <c r="J62" s="325">
        <f>(J54-EIA_RE_aeo2014!J73)/J56</f>
        <v>7.0695996345943049E-2</v>
      </c>
      <c r="K62" s="325">
        <f>(K54-EIA_RE_aeo2014!K73)/K56</f>
        <v>0.10080056540802337</v>
      </c>
      <c r="L62" s="325">
        <f>(L54-EIA_RE_aeo2014!L73)/L56</f>
        <v>0.12765072989743342</v>
      </c>
      <c r="M62" s="325">
        <f>(M54-EIA_RE_aeo2014!M73)/M56</f>
        <v>0.125460829314262</v>
      </c>
      <c r="N62" s="325">
        <f>(N54-EIA_RE_aeo2014!N73)/N56</f>
        <v>0.1238229292980116</v>
      </c>
      <c r="O62" s="325">
        <f>(O54-EIA_RE_aeo2014!O73)/O56</f>
        <v>0.12416761090055456</v>
      </c>
      <c r="P62" s="325">
        <f>(P54-EIA_RE_aeo2014!P73)/P56</f>
        <v>0.12595266493924553</v>
      </c>
      <c r="Q62" s="325">
        <f>(Q54-EIA_RE_aeo2014!Q73)/Q56</f>
        <v>0.12966935201201174</v>
      </c>
      <c r="R62" s="325">
        <f>(R54-EIA_RE_aeo2014!R73)/R56</f>
        <v>0.13105997775073872</v>
      </c>
      <c r="S62" s="325">
        <f>(S54-EIA_RE_aeo2014!S73)/S56</f>
        <v>0.13144070939104974</v>
      </c>
      <c r="T62" s="325">
        <f>(T54-EIA_RE_aeo2014!T73)/T56</f>
        <v>0.13252532514553544</v>
      </c>
      <c r="U62" s="325">
        <f>(U54-EIA_RE_aeo2014!U73)/U56</f>
        <v>0.13317254077522506</v>
      </c>
      <c r="V62" s="325">
        <f>(V54-EIA_RE_aeo2014!V73)/V56</f>
        <v>0.13543027043862191</v>
      </c>
      <c r="W62" s="325">
        <f>(W54-EIA_RE_aeo2014!W73)/W56</f>
        <v>0.13592137289204759</v>
      </c>
      <c r="X62" s="325">
        <f>(X54-EIA_RE_aeo2014!X73)/X56</f>
        <v>0.13877816192045603</v>
      </c>
      <c r="Y62" s="325">
        <f>(Y54-EIA_RE_aeo2014!Y73)/Y56</f>
        <v>0.14075686017077674</v>
      </c>
      <c r="Z62" s="325">
        <f>(Z54-EIA_RE_aeo2014!Z73)/Z56</f>
        <v>0.14081050371604922</v>
      </c>
      <c r="AA62" s="325">
        <f>(AA54-EIA_RE_aeo2014!AK73)/AA56</f>
        <v>0.2084327689007747</v>
      </c>
      <c r="AB62" s="325">
        <f>(AB54-EIA_RE_aeo2014!AL73)/AB56</f>
        <v>0.20888117069594711</v>
      </c>
      <c r="AC62" s="325">
        <f>(AC54-EIA_RE_aeo2014!AM73)/AC56</f>
        <v>0.20896713073793555</v>
      </c>
      <c r="AD62" s="325">
        <f>(AD54-EIA_RE_aeo2014!AN73)/AD56</f>
        <v>0.14038939087375529</v>
      </c>
      <c r="AE62" s="325">
        <f>(AE54-EIA_RE_aeo2014!AO73)/AE56</f>
        <v>0.15417888164020263</v>
      </c>
      <c r="AF62" s="325">
        <f>(AF54-EIA_RE_aeo2014!AP73)/AF56</f>
        <v>0.14071492777141853</v>
      </c>
      <c r="AG62" s="325">
        <f>(AG54-EIA_RE_aeo2014!AQ73)/AG56</f>
        <v>0.1428864704569994</v>
      </c>
      <c r="AH62" s="325">
        <f>(AH54-EIA_RE_aeo2014!AR73)/AH56</f>
        <v>0.15233541284465391</v>
      </c>
      <c r="AI62" s="325">
        <f>(AI54-EIA_RE_aeo2014!AS73)/AI56</f>
        <v>0.22124928085128787</v>
      </c>
      <c r="AJ62" s="325">
        <f>(AJ54-EIA_RE_aeo2014!AT73)/AJ56</f>
        <v>0.22491396618693285</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4.8829734442373214</v>
      </c>
      <c r="H64" s="481">
        <f t="shared" ref="H64:O64" si="22">H63/1000/H58</f>
        <v>7.89446135478752</v>
      </c>
      <c r="I64" s="481">
        <f t="shared" si="22"/>
        <v>11.144084706543305</v>
      </c>
      <c r="J64" s="481">
        <f t="shared" si="22"/>
        <v>14.031333895392292</v>
      </c>
      <c r="K64" s="481">
        <f t="shared" si="22"/>
        <v>17.718609223903218</v>
      </c>
      <c r="L64" s="481">
        <f t="shared" si="22"/>
        <v>20.925741696236667</v>
      </c>
      <c r="M64" s="481">
        <f t="shared" si="22"/>
        <v>23.814224188105491</v>
      </c>
      <c r="N64" s="481">
        <f t="shared" si="22"/>
        <v>26.696632351033806</v>
      </c>
      <c r="O64" s="481">
        <f t="shared" si="22"/>
        <v>29.794321564971046</v>
      </c>
      <c r="P64" s="481">
        <f t="shared" ref="P64" si="23">P63/1000/P58</f>
        <v>33.182076797698947</v>
      </c>
      <c r="Q64" s="481">
        <f t="shared" ref="Q64" si="24">Q63/1000/Q58</f>
        <v>36.566721786511494</v>
      </c>
      <c r="R64" s="481">
        <f t="shared" ref="R64" si="25">R63/1000/R58</f>
        <v>40.41590178790409</v>
      </c>
      <c r="S64" s="481">
        <f t="shared" ref="S64" si="26">S63/1000/S58</f>
        <v>44.245312908151845</v>
      </c>
      <c r="T64" s="481">
        <f t="shared" ref="T64" si="27">T63/1000/T58</f>
        <v>48.030971717887084</v>
      </c>
      <c r="U64" s="481">
        <f t="shared" ref="U64" si="28">U63/1000/U58</f>
        <v>51.722331643977832</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0.61673239572994798</v>
      </c>
      <c r="I65" s="481">
        <f t="shared" si="29"/>
        <v>0.41163332185863222</v>
      </c>
      <c r="J65" s="481">
        <f t="shared" si="29"/>
        <v>0.25908356449890624</v>
      </c>
      <c r="K65" s="481">
        <f t="shared" si="29"/>
        <v>0.26278865259715473</v>
      </c>
      <c r="L65" s="481">
        <f t="shared" si="29"/>
        <v>0.18100362346762969</v>
      </c>
      <c r="M65" s="481">
        <f t="shared" si="29"/>
        <v>0.13803489184750359</v>
      </c>
      <c r="N65" s="481">
        <f t="shared" si="29"/>
        <v>0.12103724816565693</v>
      </c>
      <c r="O65" s="481">
        <f t="shared" si="29"/>
        <v>0.11603295776058005</v>
      </c>
      <c r="P65" s="481">
        <f t="shared" si="29"/>
        <v>0.11370472810868965</v>
      </c>
      <c r="Q65" s="481">
        <f t="shared" si="29"/>
        <v>0.1020022046675288</v>
      </c>
      <c r="R65" s="481">
        <f t="shared" si="29"/>
        <v>0.10526456333344211</v>
      </c>
      <c r="S65" s="481">
        <f t="shared" si="29"/>
        <v>9.4750109507487079E-2</v>
      </c>
      <c r="T65" s="481">
        <f t="shared" si="29"/>
        <v>8.5560674361006978E-2</v>
      </c>
      <c r="U65" s="481">
        <f t="shared" si="29"/>
        <v>7.6853742367990821E-2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0.42596201785795224</v>
      </c>
      <c r="C66" s="369">
        <f t="shared" ref="C66:AJ66" si="30">C52/C58</f>
        <v>0.46241086003952231</v>
      </c>
      <c r="D66" s="369">
        <f t="shared" si="30"/>
        <v>0.40872530162615844</v>
      </c>
      <c r="E66" s="369">
        <f t="shared" si="30"/>
        <v>0.43726443166038481</v>
      </c>
      <c r="F66" s="369">
        <f t="shared" si="30"/>
        <v>0.4915078614227148</v>
      </c>
      <c r="G66" s="326">
        <f t="shared" si="30"/>
        <v>0.43608921101311238</v>
      </c>
      <c r="H66" s="326">
        <f t="shared" si="30"/>
        <v>0.46650330471912932</v>
      </c>
      <c r="I66" s="326">
        <f t="shared" si="30"/>
        <v>0.46090616448776889</v>
      </c>
      <c r="J66" s="326">
        <f t="shared" si="30"/>
        <v>0.4548069588533451</v>
      </c>
      <c r="K66" s="326">
        <f t="shared" si="30"/>
        <v>0.41229741793425329</v>
      </c>
      <c r="L66" s="326">
        <f t="shared" si="30"/>
        <v>0.41242066826895352</v>
      </c>
      <c r="M66" s="326">
        <f t="shared" si="30"/>
        <v>0.4031361272014074</v>
      </c>
      <c r="N66" s="326">
        <f t="shared" si="30"/>
        <v>0.39601574275018459</v>
      </c>
      <c r="O66" s="326">
        <f t="shared" si="30"/>
        <v>0.39396446382524397</v>
      </c>
      <c r="P66" s="326">
        <f t="shared" si="30"/>
        <v>0.39580764669374879</v>
      </c>
      <c r="Q66" s="326">
        <f t="shared" si="30"/>
        <v>0.39559631559755104</v>
      </c>
      <c r="R66" s="326">
        <f t="shared" si="30"/>
        <v>0.39890575046312848</v>
      </c>
      <c r="S66" s="326">
        <f t="shared" si="30"/>
        <v>0.4002416496599327</v>
      </c>
      <c r="T66" s="326">
        <f t="shared" si="30"/>
        <v>0.40091631401608796</v>
      </c>
      <c r="U66" s="326">
        <f t="shared" si="30"/>
        <v>0.40102878992910485</v>
      </c>
      <c r="V66" s="326">
        <f t="shared" si="30"/>
        <v>0.40434068908526383</v>
      </c>
      <c r="W66" s="326">
        <f t="shared" si="30"/>
        <v>0.39844014197331012</v>
      </c>
      <c r="X66" s="326">
        <f t="shared" si="30"/>
        <v>0.39382045095997398</v>
      </c>
      <c r="Y66" s="326">
        <f t="shared" si="30"/>
        <v>0.39696247186881672</v>
      </c>
      <c r="Z66" s="326">
        <f t="shared" si="30"/>
        <v>0.3946857260579531</v>
      </c>
      <c r="AA66" s="326">
        <f t="shared" si="30"/>
        <v>0.3927524951860405</v>
      </c>
      <c r="AB66" s="326">
        <f t="shared" si="30"/>
        <v>0.39259913475215857</v>
      </c>
      <c r="AC66" s="326">
        <f t="shared" si="30"/>
        <v>0.38909018327197215</v>
      </c>
      <c r="AD66" s="326">
        <f t="shared" si="30"/>
        <v>0.38738521010324783</v>
      </c>
      <c r="AE66" s="326">
        <f t="shared" si="30"/>
        <v>0.38877001610014805</v>
      </c>
      <c r="AF66" s="326">
        <f t="shared" si="30"/>
        <v>0.38461244083039431</v>
      </c>
      <c r="AG66" s="326">
        <f t="shared" si="30"/>
        <v>0.38408409796241777</v>
      </c>
      <c r="AH66" s="326">
        <f t="shared" si="30"/>
        <v>0.38443742171511658</v>
      </c>
      <c r="AI66" s="326">
        <f t="shared" si="30"/>
        <v>0.385225841871218</v>
      </c>
      <c r="AJ66" s="326">
        <f t="shared" si="30"/>
        <v>0.38801519455519867</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5" t="s">
        <v>631</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8">
      <c r="A110" s="564" t="s">
        <v>632</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8">
      <c r="A111" s="564" t="s">
        <v>633</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8">
      <c r="A112" s="564" t="s">
        <v>634</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635</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636</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637</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638</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639</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640</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641</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642</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643</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644</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row r="123" spans="1:32">
      <c r="A123" s="564" t="s">
        <v>645</v>
      </c>
      <c r="B123" s="564"/>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row>
    <row r="124" spans="1:32">
      <c r="A124" s="564" t="s">
        <v>646</v>
      </c>
      <c r="B124" s="564"/>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64"/>
    </row>
    <row r="125" spans="1:32">
      <c r="A125" s="564" t="s">
        <v>639</v>
      </c>
      <c r="B125" s="564"/>
      <c r="C125" s="564"/>
      <c r="D125" s="564"/>
      <c r="E125" s="564"/>
      <c r="F125" s="564"/>
      <c r="G125" s="564"/>
      <c r="H125" s="564"/>
      <c r="I125" s="564"/>
      <c r="J125" s="564"/>
      <c r="K125" s="564"/>
      <c r="L125" s="564"/>
      <c r="M125" s="564"/>
      <c r="N125" s="564"/>
      <c r="O125" s="564"/>
      <c r="P125" s="564"/>
      <c r="Q125" s="564"/>
      <c r="R125" s="564"/>
      <c r="S125" s="564"/>
      <c r="T125" s="564"/>
      <c r="U125" s="564"/>
      <c r="V125" s="564"/>
      <c r="W125" s="564"/>
      <c r="X125" s="564"/>
      <c r="Y125" s="564"/>
      <c r="Z125" s="564"/>
      <c r="AA125" s="564"/>
      <c r="AB125" s="564"/>
      <c r="AC125" s="564"/>
      <c r="AD125" s="564"/>
      <c r="AE125" s="564"/>
      <c r="AF125" s="564"/>
    </row>
    <row r="126" spans="1:32">
      <c r="A126" s="564" t="s">
        <v>647</v>
      </c>
      <c r="B126" s="564"/>
      <c r="C126" s="564"/>
      <c r="D126" s="564"/>
      <c r="E126" s="564"/>
      <c r="F126" s="564"/>
      <c r="G126" s="564"/>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row>
    <row r="127" spans="1:32">
      <c r="A127" s="564" t="s">
        <v>648</v>
      </c>
      <c r="B127" s="564"/>
      <c r="C127" s="564"/>
      <c r="D127" s="564"/>
      <c r="E127" s="564"/>
      <c r="F127" s="564"/>
      <c r="G127" s="564"/>
      <c r="H127" s="564"/>
      <c r="I127" s="564"/>
      <c r="J127" s="564"/>
      <c r="K127" s="564"/>
      <c r="L127" s="564"/>
      <c r="M127" s="564"/>
      <c r="N127" s="564"/>
      <c r="O127" s="564"/>
      <c r="P127" s="564"/>
      <c r="Q127" s="564"/>
      <c r="R127" s="564"/>
      <c r="S127" s="564"/>
      <c r="T127" s="564"/>
      <c r="U127" s="564"/>
      <c r="V127" s="564"/>
      <c r="W127" s="564"/>
      <c r="X127" s="564"/>
      <c r="Y127" s="564"/>
      <c r="Z127" s="564"/>
      <c r="AA127" s="564"/>
      <c r="AB127" s="564"/>
      <c r="AC127" s="564"/>
      <c r="AD127" s="564"/>
      <c r="AE127" s="564"/>
      <c r="AF127" s="564"/>
    </row>
    <row r="128" spans="1:32">
      <c r="A128" s="564" t="s">
        <v>649</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row>
    <row r="129" spans="1:32">
      <c r="A129" s="564" t="s">
        <v>619</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row>
    <row r="130" spans="1:32">
      <c r="A130" s="564" t="s">
        <v>620</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row>
    <row r="131" spans="1:32">
      <c r="A131" s="564" t="s">
        <v>621</v>
      </c>
      <c r="B131" s="564"/>
      <c r="C131" s="564"/>
      <c r="D131" s="564"/>
      <c r="E131" s="564"/>
      <c r="F131" s="564"/>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row>
    <row r="132" spans="1:32">
      <c r="A132" s="564" t="s">
        <v>650</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row>
    <row r="133" spans="1:32">
      <c r="A133" s="564" t="s">
        <v>651</v>
      </c>
      <c r="B133" s="564"/>
      <c r="C133" s="564"/>
      <c r="D133" s="564"/>
      <c r="E133" s="564"/>
      <c r="F133" s="564"/>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row>
    <row r="134" spans="1:32">
      <c r="A134" s="564" t="s">
        <v>652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row>
    <row r="135" spans="1:32">
      <c r="A135" s="564" t="s">
        <v>653</v>
      </c>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row>
    <row r="136" spans="1:32">
      <c r="A136" s="564" t="s">
        <v>654</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row>
    <row r="137" spans="1:32">
      <c r="A137" s="564" t="s">
        <v>655</v>
      </c>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c r="Y137" s="564"/>
      <c r="Z137" s="564"/>
      <c r="AA137" s="564"/>
      <c r="AB137" s="564"/>
      <c r="AC137" s="564"/>
      <c r="AD137" s="564"/>
      <c r="AE137" s="564"/>
      <c r="AF137" s="564"/>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9" zoomScale="125" zoomScaleNormal="125" zoomScalePageLayoutView="125" workbookViewId="0">
      <selection activeCell="F54" sqref="F54:AJ5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661</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c r="E54"/>
      <c r="F54">
        <f>F57*EIA_electricity_aeo2014!F58</f>
        <v>8.8788000000000009E-3</v>
      </c>
      <c r="G54">
        <f>G57*EIA_electricity_aeo2014!G58</f>
        <v>1.6810256549085297E-2</v>
      </c>
      <c r="H54">
        <f>H57*EIA_electricity_aeo2014!H58</f>
        <v>3.1039667193556782E-2</v>
      </c>
      <c r="I54">
        <f>I57*EIA_electricity_aeo2014!I58</f>
        <v>4.0555090798855435E-2</v>
      </c>
      <c r="J54">
        <f>J57*EIA_electricity_aeo2014!J58</f>
        <v>6.1916801841148866E-2</v>
      </c>
      <c r="K54">
        <f>K57*EIA_electricity_aeo2014!K58</f>
        <v>6.0710623711866779E-2</v>
      </c>
      <c r="L54">
        <f>L57*EIA_electricity_aeo2014!L58</f>
        <v>6.1360644619680112E-2</v>
      </c>
      <c r="M54">
        <f>M57*EIA_electricity_aeo2014!M58</f>
        <v>6.2925735753527959E-2</v>
      </c>
      <c r="N54">
        <f>N57*EIA_electricity_aeo2014!N58</f>
        <v>6.4211873684345708E-2</v>
      </c>
      <c r="O54">
        <f>O57*EIA_electricity_aeo2014!O58</f>
        <v>6.4701814229542215E-2</v>
      </c>
      <c r="P54">
        <f>P57*EIA_electricity_aeo2014!P58</f>
        <v>6.444481551372612E-2</v>
      </c>
      <c r="Q54">
        <f>Q57*EIA_electricity_aeo2014!Q58</f>
        <v>6.4479246565540618E-2</v>
      </c>
      <c r="R54">
        <f>R57*EIA_electricity_aeo2014!R58</f>
        <v>6.394430850951506E-2</v>
      </c>
      <c r="S54">
        <f>S57*EIA_electricity_aeo2014!S58</f>
        <v>6.3730875564233541E-2</v>
      </c>
      <c r="T54">
        <f>T57*EIA_electricity_aeo2014!T58</f>
        <v>6.3623628868036408E-2</v>
      </c>
      <c r="U54">
        <f>U57*EIA_electricity_aeo2014!U58</f>
        <v>6.3605784449066782E-2</v>
      </c>
      <c r="V54">
        <f>V57*EIA_electricity_aeo2014!V58</f>
        <v>6.3084798187901081E-2</v>
      </c>
      <c r="W54">
        <f>W57*EIA_electricity_aeo2014!W58</f>
        <v>6.4019032438610513E-2</v>
      </c>
      <c r="X54">
        <f>X57*EIA_electricity_aeo2014!X58</f>
        <v>6.477000040989038E-2</v>
      </c>
      <c r="Y54">
        <f>Y57*EIA_electricity_aeo2014!Y58</f>
        <v>6.4257335586448611E-2</v>
      </c>
      <c r="Z54">
        <f>Z57*EIA_electricity_aeo2014!Z58</f>
        <v>6.4628004222162666E-2</v>
      </c>
      <c r="AA54">
        <f>AA57*EIA_electricity_aeo2014!AA58</f>
        <v>6.4946120222656042E-2</v>
      </c>
      <c r="AB54">
        <f>AB57*EIA_electricity_aeo2014!AB58</f>
        <v>6.4971490031946591E-2</v>
      </c>
      <c r="AC54">
        <f>AC57*EIA_electricity_aeo2014!AC58</f>
        <v>6.5557425673396993E-2</v>
      </c>
      <c r="AD54">
        <f>AD57*EIA_electricity_aeo2014!AD58</f>
        <v>6.584595927991746E-2</v>
      </c>
      <c r="AE54">
        <f>AE57*EIA_electricity_aeo2014!AE58</f>
        <v>6.5611414753574696E-2</v>
      </c>
      <c r="AF54">
        <f>AF57*EIA_electricity_aeo2014!AF58</f>
        <v>6.6320659610043881E-2</v>
      </c>
      <c r="AG54">
        <f>AG57*EIA_electricity_aeo2014!AG58</f>
        <v>6.6411893929359769E-2</v>
      </c>
      <c r="AH54">
        <f>AH57*EIA_electricity_aeo2014!AH58</f>
        <v>6.6350856948406478E-2</v>
      </c>
      <c r="AI54">
        <f>AI57*EIA_electricity_aeo2014!AI58</f>
        <v>6.6215056202351116E-2</v>
      </c>
      <c r="AJ54">
        <f>AJ57*EIA_electricity_aeo2014!AJ58</f>
        <v>6.5739051274374821E-2</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751</v>
      </c>
      <c r="B57"/>
      <c r="C57"/>
      <c r="D57"/>
      <c r="E57"/>
      <c r="F57" s="523">
        <v>4.0000000000000002E-4</v>
      </c>
      <c r="G57" s="524">
        <v>8.0000000000000004E-4</v>
      </c>
      <c r="H57" s="524">
        <v>1.5E-3</v>
      </c>
      <c r="I57" s="524">
        <v>2E-3</v>
      </c>
      <c r="J57" s="524">
        <v>3.0000000000000001E-3</v>
      </c>
      <c r="K57" s="524">
        <v>3.0000000000000001E-3</v>
      </c>
      <c r="L57" s="524">
        <v>3.0000000000000001E-3</v>
      </c>
      <c r="M57" s="524">
        <v>3.0000000000000001E-3</v>
      </c>
      <c r="N57" s="524">
        <v>3.0000000000000001E-3</v>
      </c>
      <c r="O57" s="524">
        <v>3.0000000000000001E-3</v>
      </c>
      <c r="P57" s="524">
        <v>3.0000000000000001E-3</v>
      </c>
      <c r="Q57" s="524">
        <v>3.0000000000000001E-3</v>
      </c>
      <c r="R57" s="524">
        <v>3.0000000000000001E-3</v>
      </c>
      <c r="S57" s="524">
        <v>3.0000000000000001E-3</v>
      </c>
      <c r="T57" s="525">
        <v>3.0000000000000001E-3</v>
      </c>
      <c r="U57" s="526">
        <v>3.0000000000000001E-3</v>
      </c>
      <c r="V57" s="526">
        <v>3.0000000000000001E-3</v>
      </c>
      <c r="W57" s="526">
        <v>3.0000000000000001E-3</v>
      </c>
      <c r="X57" s="526">
        <v>3.0000000000000001E-3</v>
      </c>
      <c r="Y57" s="526">
        <v>3.0000000000000001E-3</v>
      </c>
      <c r="Z57" s="526">
        <v>3.0000000000000001E-3</v>
      </c>
      <c r="AA57" s="526">
        <v>3.0000000000000001E-3</v>
      </c>
      <c r="AB57" s="526">
        <v>3.0000000000000001E-3</v>
      </c>
      <c r="AC57" s="526">
        <v>3.0000000000000001E-3</v>
      </c>
      <c r="AD57" s="526">
        <v>3.0000000000000001E-3</v>
      </c>
      <c r="AE57" s="526">
        <v>3.0000000000000001E-3</v>
      </c>
      <c r="AF57" s="526">
        <v>3.0000000000000001E-3</v>
      </c>
      <c r="AG57" s="526">
        <v>3.0000000000000001E-3</v>
      </c>
      <c r="AH57" s="526">
        <v>3.0000000000000001E-3</v>
      </c>
      <c r="AI57" s="526">
        <v>3.0000000000000001E-3</v>
      </c>
      <c r="AJ57" s="526">
        <v>3.0000000000000001E-3</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750</v>
      </c>
    </row>
    <row r="60" spans="1:39">
      <c r="A60" s="501" t="s">
        <v>733</v>
      </c>
      <c r="G60" s="499">
        <v>8.7418650000000007</v>
      </c>
      <c r="H60" s="499">
        <v>7.3679389999999998</v>
      </c>
      <c r="I60" s="499">
        <v>7.143516</v>
      </c>
      <c r="J60" s="499">
        <v>7.2637780000000003</v>
      </c>
      <c r="K60" s="499">
        <v>7.4072459999999998</v>
      </c>
      <c r="L60" s="499">
        <v>7.5513940000000002</v>
      </c>
      <c r="M60" s="499">
        <v>7.6289110000000004</v>
      </c>
      <c r="N60" s="499">
        <v>7.628914</v>
      </c>
      <c r="O60" s="499">
        <v>7.6289150000000001</v>
      </c>
      <c r="P60" s="499">
        <v>7.6289110000000004</v>
      </c>
      <c r="Q60" s="499">
        <v>7.6289110000000004</v>
      </c>
      <c r="R60" s="499">
        <v>7.6289129999999998</v>
      </c>
      <c r="S60" s="499">
        <v>8.0066310000000005</v>
      </c>
      <c r="T60" s="499">
        <v>8.0066299999999995</v>
      </c>
      <c r="U60" s="499">
        <v>8.0066389999999998</v>
      </c>
      <c r="V60" s="499">
        <v>8.0066559999999996</v>
      </c>
      <c r="W60" s="499">
        <v>8.0625470000000004</v>
      </c>
      <c r="X60" s="499">
        <v>8.1183399999999999</v>
      </c>
      <c r="Y60" s="499">
        <v>8.1183490000000003</v>
      </c>
      <c r="Z60" s="499">
        <v>8.1183479999999992</v>
      </c>
      <c r="AA60" s="499">
        <v>8.1183490000000003</v>
      </c>
      <c r="AB60" s="499">
        <v>8.1183510000000005</v>
      </c>
      <c r="AC60" s="499">
        <v>8.1183390000000006</v>
      </c>
      <c r="AD60" s="499">
        <v>8.1183390000000006</v>
      </c>
      <c r="AE60" s="499">
        <v>8.1183390000000006</v>
      </c>
      <c r="AF60" s="499">
        <v>8.1587929999999993</v>
      </c>
      <c r="AG60" s="499">
        <v>8.1587929999999993</v>
      </c>
      <c r="AH60" s="499">
        <v>8.1587929999999993</v>
      </c>
      <c r="AI60" s="499">
        <v>8.1587929999999993</v>
      </c>
      <c r="AJ60" s="499">
        <v>8.1588030000000007</v>
      </c>
      <c r="AK60" s="503">
        <v>4.0000000000000001E-3</v>
      </c>
      <c r="AL60" s="508" t="s">
        <v>727</v>
      </c>
      <c r="AM60" s="29">
        <v>9.9999999999999995E-7</v>
      </c>
    </row>
    <row r="61" spans="1:39">
      <c r="A61" s="501" t="s">
        <v>734</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728</v>
      </c>
      <c r="AM61" s="29">
        <v>0.17859548710762446</v>
      </c>
    </row>
    <row r="62" spans="1:39">
      <c r="A62" s="501" t="s">
        <v>735</v>
      </c>
      <c r="G62" s="499">
        <v>2.4104190000000001</v>
      </c>
      <c r="H62" s="499">
        <v>2.5045899999999999</v>
      </c>
      <c r="I62" s="499">
        <v>2.8071229999999998</v>
      </c>
      <c r="J62" s="499">
        <v>2.8052320000000002</v>
      </c>
      <c r="K62" s="499">
        <v>2.8049550000000001</v>
      </c>
      <c r="L62" s="499">
        <v>2.8049979999999999</v>
      </c>
      <c r="M62" s="499">
        <v>2.8050060000000001</v>
      </c>
      <c r="N62" s="499">
        <v>2.8050540000000002</v>
      </c>
      <c r="O62" s="499">
        <v>2.805059</v>
      </c>
      <c r="P62" s="499">
        <v>2.8050329999999999</v>
      </c>
      <c r="Q62" s="499">
        <v>2.8050139999999999</v>
      </c>
      <c r="R62" s="499">
        <v>2.8050009999999999</v>
      </c>
      <c r="S62" s="499">
        <v>2.8049840000000001</v>
      </c>
      <c r="T62" s="499">
        <v>2.8049659999999998</v>
      </c>
      <c r="U62" s="499">
        <v>2.8128419999999998</v>
      </c>
      <c r="V62" s="499">
        <v>2.8128139999999999</v>
      </c>
      <c r="W62" s="499">
        <v>2.804888</v>
      </c>
      <c r="X62" s="499">
        <v>2.8127620000000002</v>
      </c>
      <c r="Y62" s="499">
        <v>2.8048220000000001</v>
      </c>
      <c r="Z62" s="499">
        <v>2.8047960000000001</v>
      </c>
      <c r="AA62" s="499">
        <v>2.8126690000000001</v>
      </c>
      <c r="AB62" s="499">
        <v>2.8126370000000001</v>
      </c>
      <c r="AC62" s="499">
        <v>2.812605</v>
      </c>
      <c r="AD62" s="499">
        <v>2.8046090000000001</v>
      </c>
      <c r="AE62" s="499">
        <v>2.8045629999999999</v>
      </c>
      <c r="AF62" s="499">
        <v>2.804481</v>
      </c>
      <c r="AG62" s="499">
        <v>2.804443</v>
      </c>
      <c r="AH62" s="499">
        <v>2.812452</v>
      </c>
      <c r="AI62" s="499">
        <v>2.8043680000000002</v>
      </c>
      <c r="AJ62" s="499">
        <v>2.8043420000000001</v>
      </c>
      <c r="AK62" s="503">
        <v>4.0000000000000001E-3</v>
      </c>
      <c r="AL62" s="508" t="s">
        <v>729</v>
      </c>
      <c r="AM62" s="29">
        <v>0</v>
      </c>
    </row>
    <row r="63" spans="1:39">
      <c r="A63" s="501" t="s">
        <v>736</v>
      </c>
      <c r="G63" s="499">
        <v>4.9026430000000003</v>
      </c>
      <c r="H63" s="499">
        <v>4.9682649999999997</v>
      </c>
      <c r="I63" s="499">
        <v>4.1277520000000001</v>
      </c>
      <c r="J63" s="499">
        <v>4.273466</v>
      </c>
      <c r="K63" s="499">
        <v>4.5447800000000003</v>
      </c>
      <c r="L63" s="499">
        <v>5.8157610000000002</v>
      </c>
      <c r="M63" s="499">
        <v>5.9488620000000001</v>
      </c>
      <c r="N63" s="499">
        <v>6.0622280000000002</v>
      </c>
      <c r="O63" s="499">
        <v>6.227868</v>
      </c>
      <c r="P63" s="499">
        <v>6.3883910000000004</v>
      </c>
      <c r="Q63" s="499">
        <v>6.88218</v>
      </c>
      <c r="R63" s="499">
        <v>6.9049709999999997</v>
      </c>
      <c r="S63" s="499">
        <v>6.9134719999999996</v>
      </c>
      <c r="T63" s="499">
        <v>6.9758950000000004</v>
      </c>
      <c r="U63" s="499">
        <v>7.0007729999999997</v>
      </c>
      <c r="V63" s="499">
        <v>7.0603559999999996</v>
      </c>
      <c r="W63" s="499">
        <v>7.31555</v>
      </c>
      <c r="X63" s="499">
        <v>7.7111660000000004</v>
      </c>
      <c r="Y63" s="499">
        <v>7.6204000000000001</v>
      </c>
      <c r="Z63" s="499">
        <v>7.621054</v>
      </c>
      <c r="AA63" s="499">
        <v>7.7105220000000001</v>
      </c>
      <c r="AB63" s="499">
        <v>7.7002639999999998</v>
      </c>
      <c r="AC63" s="499">
        <v>7.7720380000000002</v>
      </c>
      <c r="AD63" s="499">
        <v>7.8200839999999996</v>
      </c>
      <c r="AE63" s="499">
        <v>7.8508079999999998</v>
      </c>
      <c r="AF63" s="499">
        <v>7.9168310000000002</v>
      </c>
      <c r="AG63" s="499">
        <v>8.0954979999999992</v>
      </c>
      <c r="AH63" s="499">
        <v>7.9878850000000003</v>
      </c>
      <c r="AI63" s="499">
        <v>8.0393059999999998</v>
      </c>
      <c r="AJ63" s="499">
        <v>8.0937809999999999</v>
      </c>
      <c r="AK63" s="503">
        <v>1.7999999999999999E-2</v>
      </c>
      <c r="AL63" s="508" t="s">
        <v>143</v>
      </c>
      <c r="AM63" s="29">
        <v>7.0293891246509574E-2</v>
      </c>
    </row>
    <row r="64" spans="1:39">
      <c r="A64" s="501" t="s">
        <v>737</v>
      </c>
      <c r="G64" s="499">
        <v>0.15174599999999999</v>
      </c>
      <c r="H64" s="499">
        <v>0.33105699999999999</v>
      </c>
      <c r="I64" s="499">
        <v>0.495058</v>
      </c>
      <c r="J64" s="499">
        <v>0.64011700000000005</v>
      </c>
      <c r="K64" s="499">
        <v>0.77832199999999996</v>
      </c>
      <c r="L64" s="499">
        <v>0.90318799999999999</v>
      </c>
      <c r="M64" s="499">
        <v>0.907725</v>
      </c>
      <c r="N64" s="499">
        <v>0.91335</v>
      </c>
      <c r="O64" s="499">
        <v>0.919655</v>
      </c>
      <c r="P64" s="499">
        <v>0.93021600000000004</v>
      </c>
      <c r="Q64" s="499">
        <v>0.94396800000000003</v>
      </c>
      <c r="R64" s="499">
        <v>0.96229600000000004</v>
      </c>
      <c r="S64" s="499">
        <v>0.98622900000000002</v>
      </c>
      <c r="T64" s="499">
        <v>1.0305299999999999</v>
      </c>
      <c r="U64" s="499">
        <v>1.083075</v>
      </c>
      <c r="V64" s="499">
        <v>1.139122</v>
      </c>
      <c r="W64" s="499">
        <v>1.1992290000000001</v>
      </c>
      <c r="X64" s="499">
        <v>1.2627889999999999</v>
      </c>
      <c r="Y64" s="499">
        <v>1.3284100000000001</v>
      </c>
      <c r="Z64" s="499">
        <v>1.405724</v>
      </c>
      <c r="AA64" s="499">
        <v>1.4838359999999999</v>
      </c>
      <c r="AB64" s="499">
        <v>1.5610980000000001</v>
      </c>
      <c r="AC64" s="499">
        <v>1.6377930000000001</v>
      </c>
      <c r="AD64" s="499">
        <v>1.7154689999999999</v>
      </c>
      <c r="AE64" s="499">
        <v>1.7942560000000001</v>
      </c>
      <c r="AF64" s="499">
        <v>1.8740209999999999</v>
      </c>
      <c r="AG64" s="499">
        <v>1.954977</v>
      </c>
      <c r="AH64" s="499">
        <v>2.036438</v>
      </c>
      <c r="AI64" s="499">
        <v>2.12378</v>
      </c>
      <c r="AJ64" s="499">
        <v>2.2136420000000001</v>
      </c>
      <c r="AK64" s="503">
        <v>7.0000000000000007E-2</v>
      </c>
      <c r="AL64" s="508" t="s">
        <v>730</v>
      </c>
      <c r="AM64" s="29">
        <v>0.18081684023087427</v>
      </c>
    </row>
    <row r="65" spans="1:44">
      <c r="A65" s="501" t="s">
        <v>738</v>
      </c>
      <c r="G65" s="499">
        <v>0.87209000000000003</v>
      </c>
      <c r="H65" s="499">
        <v>1.300173</v>
      </c>
      <c r="I65" s="499">
        <v>2.159392</v>
      </c>
      <c r="J65" s="499">
        <v>2.1913999999999998</v>
      </c>
      <c r="K65" s="499">
        <v>5.4170920000000002</v>
      </c>
      <c r="L65" s="499">
        <v>7.5953010000000001</v>
      </c>
      <c r="M65" s="499">
        <v>7.5951300000000002</v>
      </c>
      <c r="N65" s="499">
        <v>7.5927850000000001</v>
      </c>
      <c r="O65" s="499">
        <v>7.5931499999999996</v>
      </c>
      <c r="P65" s="499">
        <v>7.5947380000000004</v>
      </c>
      <c r="Q65" s="499">
        <v>7.593947</v>
      </c>
      <c r="R65" s="499">
        <v>7.593458</v>
      </c>
      <c r="S65" s="499">
        <v>7.5959349999999999</v>
      </c>
      <c r="T65" s="499">
        <v>7.6032710000000003</v>
      </c>
      <c r="U65" s="499">
        <v>7.59856</v>
      </c>
      <c r="V65" s="499">
        <v>7.6346720000000001</v>
      </c>
      <c r="W65" s="499">
        <v>7.6616739999999997</v>
      </c>
      <c r="X65" s="499">
        <v>7.7972000000000001</v>
      </c>
      <c r="Y65" s="499">
        <v>7.946593</v>
      </c>
      <c r="Z65" s="499">
        <v>7.98421</v>
      </c>
      <c r="AA65" s="499">
        <v>7.9892310000000002</v>
      </c>
      <c r="AB65" s="499">
        <v>7.9937459999999998</v>
      </c>
      <c r="AC65" s="499">
        <v>8.1112169999999999</v>
      </c>
      <c r="AD65" s="499">
        <v>8.2670729999999999</v>
      </c>
      <c r="AE65" s="499">
        <v>8.323385</v>
      </c>
      <c r="AF65" s="499">
        <v>8.8026859999999996</v>
      </c>
      <c r="AG65" s="499">
        <v>9.1621249999999996</v>
      </c>
      <c r="AH65" s="499">
        <v>9.2056570000000004</v>
      </c>
      <c r="AI65" s="499">
        <v>9.3002129999999994</v>
      </c>
      <c r="AJ65" s="499">
        <v>9.4375099999999996</v>
      </c>
      <c r="AK65" s="503">
        <v>7.2999999999999995E-2</v>
      </c>
      <c r="AL65" s="508" t="s">
        <v>731</v>
      </c>
      <c r="AM65" s="29">
        <v>6.2144002654125695E-2</v>
      </c>
    </row>
    <row r="66" spans="1:44">
      <c r="A66" s="502" t="s">
        <v>739</v>
      </c>
      <c r="G66" s="500">
        <v>17.078764</v>
      </c>
      <c r="H66" s="500">
        <v>16.472023</v>
      </c>
      <c r="I66" s="500">
        <v>16.732841000000001</v>
      </c>
      <c r="J66" s="500">
        <v>17.173991999999998</v>
      </c>
      <c r="K66" s="500">
        <v>20.952396</v>
      </c>
      <c r="L66" s="500">
        <v>24.670642999999998</v>
      </c>
      <c r="M66" s="500">
        <v>24.885635000000001</v>
      </c>
      <c r="N66" s="500">
        <v>25.002333</v>
      </c>
      <c r="O66" s="500">
        <v>25.174648000000001</v>
      </c>
      <c r="P66" s="500">
        <v>25.347287999999999</v>
      </c>
      <c r="Q66" s="500">
        <v>25.854019000000001</v>
      </c>
      <c r="R66" s="500">
        <v>25.894639999999999</v>
      </c>
      <c r="S66" s="500">
        <v>26.307251000000001</v>
      </c>
      <c r="T66" s="500">
        <v>26.421292999999999</v>
      </c>
      <c r="U66" s="500">
        <v>26.50189</v>
      </c>
      <c r="V66" s="500">
        <v>26.65362</v>
      </c>
      <c r="W66" s="500">
        <v>27.043886000000001</v>
      </c>
      <c r="X66" s="500">
        <v>27.702259000000002</v>
      </c>
      <c r="Y66" s="500">
        <v>27.818573000000001</v>
      </c>
      <c r="Z66" s="500">
        <v>27.934132000000002</v>
      </c>
      <c r="AA66" s="500">
        <v>28.114606999999999</v>
      </c>
      <c r="AB66" s="500">
        <v>28.186095999999999</v>
      </c>
      <c r="AC66" s="500">
        <v>28.451992000000001</v>
      </c>
      <c r="AD66" s="500">
        <v>28.725574000000002</v>
      </c>
      <c r="AE66" s="500">
        <v>28.891352000000001</v>
      </c>
      <c r="AF66" s="500">
        <v>29.556812000000001</v>
      </c>
      <c r="AG66" s="500">
        <v>30.175837000000001</v>
      </c>
      <c r="AH66" s="500">
        <v>30.201225000000001</v>
      </c>
      <c r="AI66" s="500">
        <v>30.426459999999999</v>
      </c>
      <c r="AJ66" s="500">
        <v>30.708079999999999</v>
      </c>
      <c r="AK66" s="504">
        <v>2.1999999999999999E-2</v>
      </c>
      <c r="AL66" s="508" t="s">
        <v>732</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0.1604966375352001</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746</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1.5289999999999999</v>
      </c>
      <c r="C73" s="491">
        <f t="shared" ref="C73:F73" si="0">AO73</f>
        <v>1.2649999999999999</v>
      </c>
      <c r="D73" s="491">
        <f t="shared" si="0"/>
        <v>1.633</v>
      </c>
      <c r="E73" s="491">
        <f t="shared" si="0"/>
        <v>1.68</v>
      </c>
      <c r="F73" s="491">
        <f t="shared" si="0"/>
        <v>1.478</v>
      </c>
      <c r="G73" s="484">
        <f t="shared" ref="G73:AJ73" si="1">G60*$AM61</f>
        <v>1.5612576379040937</v>
      </c>
      <c r="H73" s="484">
        <f t="shared" si="1"/>
        <v>1.3158806546842634</v>
      </c>
      <c r="I73" s="484">
        <f t="shared" si="1"/>
        <v>1.2757997196811091</v>
      </c>
      <c r="J73" s="484">
        <f t="shared" si="1"/>
        <v>1.2972779701516461</v>
      </c>
      <c r="K73" s="484">
        <f t="shared" si="1"/>
        <v>1.3229007074960029</v>
      </c>
      <c r="L73" s="484">
        <f t="shared" si="1"/>
        <v>1.3486448897715928</v>
      </c>
      <c r="M73" s="484">
        <f t="shared" si="1"/>
        <v>1.3624890761457145</v>
      </c>
      <c r="N73" s="484">
        <f t="shared" si="1"/>
        <v>1.3624896119321757</v>
      </c>
      <c r="O73" s="484">
        <f t="shared" si="1"/>
        <v>1.3624897905276629</v>
      </c>
      <c r="P73" s="484">
        <f t="shared" si="1"/>
        <v>1.3624890761457145</v>
      </c>
      <c r="Q73" s="484">
        <f t="shared" si="1"/>
        <v>1.3624890761457145</v>
      </c>
      <c r="R73" s="484">
        <f t="shared" si="1"/>
        <v>1.3624894333366886</v>
      </c>
      <c r="S73" s="484">
        <f t="shared" si="1"/>
        <v>1.4299481635360065</v>
      </c>
      <c r="T73" s="484">
        <f t="shared" si="1"/>
        <v>1.4299479849405192</v>
      </c>
      <c r="U73" s="484">
        <f t="shared" si="1"/>
        <v>1.4299495922999033</v>
      </c>
      <c r="V73" s="484">
        <f t="shared" si="1"/>
        <v>1.429952628423184</v>
      </c>
      <c r="W73" s="484">
        <f t="shared" si="1"/>
        <v>1.4399345087931164</v>
      </c>
      <c r="X73" s="484">
        <f t="shared" si="1"/>
        <v>1.449898886805312</v>
      </c>
      <c r="Y73" s="484">
        <f t="shared" si="1"/>
        <v>1.449900494164696</v>
      </c>
      <c r="Z73" s="484">
        <f t="shared" si="1"/>
        <v>1.4499003155692087</v>
      </c>
      <c r="AA73" s="484">
        <f t="shared" si="1"/>
        <v>1.449900494164696</v>
      </c>
      <c r="AB73" s="484">
        <f t="shared" si="1"/>
        <v>1.4499008513556702</v>
      </c>
      <c r="AC73" s="484">
        <f t="shared" si="1"/>
        <v>1.4498987082098249</v>
      </c>
      <c r="AD73" s="484">
        <f t="shared" si="1"/>
        <v>1.4498987082098249</v>
      </c>
      <c r="AE73" s="484">
        <f t="shared" si="1"/>
        <v>1.4498987082098249</v>
      </c>
      <c r="AF73" s="484">
        <f t="shared" si="1"/>
        <v>1.4571236100452767</v>
      </c>
      <c r="AG73" s="484">
        <f t="shared" si="1"/>
        <v>1.4571236100452767</v>
      </c>
      <c r="AH73" s="484">
        <f t="shared" si="1"/>
        <v>1.4571236100452767</v>
      </c>
      <c r="AI73" s="484">
        <f t="shared" si="1"/>
        <v>1.4571236100452767</v>
      </c>
      <c r="AJ73" s="484">
        <f t="shared" si="1"/>
        <v>1.457125396000148</v>
      </c>
      <c r="AK73" s="485"/>
      <c r="AM73" s="18" t="s">
        <v>728</v>
      </c>
      <c r="AN73" s="18">
        <v>1.5289999999999999</v>
      </c>
      <c r="AO73" s="18">
        <v>1.2649999999999999</v>
      </c>
      <c r="AP73" s="18">
        <v>1.633</v>
      </c>
      <c r="AQ73" s="18">
        <v>1.68</v>
      </c>
      <c r="AR73" s="18">
        <v>1.478</v>
      </c>
    </row>
    <row r="74" spans="1:44" s="18" customFormat="1">
      <c r="A74" s="17" t="s">
        <v>50</v>
      </c>
      <c r="B74" s="491">
        <f>AN72</f>
        <v>0</v>
      </c>
      <c r="C74" s="491">
        <f t="shared" ref="C74:F74" si="2">AO72</f>
        <v>0</v>
      </c>
      <c r="D74" s="491">
        <f t="shared" si="2"/>
        <v>0</v>
      </c>
      <c r="E74" s="491">
        <f t="shared" si="2"/>
        <v>0</v>
      </c>
      <c r="F74" s="491">
        <f t="shared" si="2"/>
        <v>0</v>
      </c>
      <c r="G74" s="484">
        <f t="shared" ref="G74:AJ74" si="3">G61*$AM60</f>
        <v>1E-10</v>
      </c>
      <c r="H74" s="484">
        <f t="shared" si="3"/>
        <v>1E-10</v>
      </c>
      <c r="I74" s="484">
        <f t="shared" si="3"/>
        <v>1E-10</v>
      </c>
      <c r="J74" s="484">
        <f t="shared" si="3"/>
        <v>1E-10</v>
      </c>
      <c r="K74" s="484">
        <f t="shared" si="3"/>
        <v>1E-10</v>
      </c>
      <c r="L74" s="484">
        <f t="shared" si="3"/>
        <v>1E-10</v>
      </c>
      <c r="M74" s="484">
        <f t="shared" si="3"/>
        <v>1E-10</v>
      </c>
      <c r="N74" s="484">
        <f t="shared" si="3"/>
        <v>1E-10</v>
      </c>
      <c r="O74" s="484">
        <f t="shared" si="3"/>
        <v>1E-10</v>
      </c>
      <c r="P74" s="484">
        <f t="shared" si="3"/>
        <v>1E-10</v>
      </c>
      <c r="Q74" s="484">
        <f t="shared" si="3"/>
        <v>1E-10</v>
      </c>
      <c r="R74" s="484">
        <f t="shared" si="3"/>
        <v>1E-10</v>
      </c>
      <c r="S74" s="484">
        <f t="shared" si="3"/>
        <v>1E-10</v>
      </c>
      <c r="T74" s="484">
        <f t="shared" si="3"/>
        <v>1E-10</v>
      </c>
      <c r="U74" s="484">
        <f t="shared" si="3"/>
        <v>1E-10</v>
      </c>
      <c r="V74" s="484">
        <f t="shared" si="3"/>
        <v>1E-10</v>
      </c>
      <c r="W74" s="484">
        <f t="shared" si="3"/>
        <v>1E-10</v>
      </c>
      <c r="X74" s="484">
        <f t="shared" si="3"/>
        <v>1E-10</v>
      </c>
      <c r="Y74" s="484">
        <f t="shared" si="3"/>
        <v>1E-10</v>
      </c>
      <c r="Z74" s="484">
        <f t="shared" si="3"/>
        <v>1E-10</v>
      </c>
      <c r="AA74" s="484">
        <f t="shared" si="3"/>
        <v>1E-10</v>
      </c>
      <c r="AB74" s="484">
        <f t="shared" si="3"/>
        <v>1E-10</v>
      </c>
      <c r="AC74" s="484">
        <f t="shared" si="3"/>
        <v>1E-10</v>
      </c>
      <c r="AD74" s="484">
        <f t="shared" si="3"/>
        <v>1E-10</v>
      </c>
      <c r="AE74" s="484">
        <f t="shared" si="3"/>
        <v>1E-10</v>
      </c>
      <c r="AF74" s="484">
        <f t="shared" si="3"/>
        <v>1E-10</v>
      </c>
      <c r="AG74" s="484">
        <f t="shared" si="3"/>
        <v>1E-10</v>
      </c>
      <c r="AH74" s="484">
        <f t="shared" si="3"/>
        <v>1E-10</v>
      </c>
      <c r="AI74" s="484">
        <f t="shared" si="3"/>
        <v>1E-10</v>
      </c>
      <c r="AJ74" s="484">
        <f t="shared" si="3"/>
        <v>1E-10</v>
      </c>
      <c r="AK74" s="485"/>
      <c r="AM74" s="18" t="s">
        <v>729</v>
      </c>
      <c r="AN74" s="18">
        <v>0</v>
      </c>
      <c r="AO74" s="18">
        <v>0</v>
      </c>
      <c r="AP74" s="18">
        <v>0</v>
      </c>
      <c r="AQ74" s="18">
        <v>0</v>
      </c>
      <c r="AR74" s="18">
        <v>0</v>
      </c>
    </row>
    <row r="75" spans="1:44" s="18" customFormat="1">
      <c r="A75" s="17" t="s">
        <v>51</v>
      </c>
      <c r="B75" s="491">
        <f>AN77</f>
        <v>0.156</v>
      </c>
      <c r="C75" s="491">
        <f t="shared" ref="C75:F75" si="4">AO77</f>
        <v>0.153</v>
      </c>
      <c r="D75" s="491">
        <f t="shared" si="4"/>
        <v>0.155</v>
      </c>
      <c r="E75" s="491">
        <f t="shared" si="4"/>
        <v>0.151</v>
      </c>
      <c r="F75" s="491">
        <f t="shared" si="4"/>
        <v>0.127</v>
      </c>
      <c r="G75" s="484">
        <f t="shared" ref="G75:AJ75" si="5">G62*$AM65</f>
        <v>0.14979308473355502</v>
      </c>
      <c r="H75" s="484">
        <f t="shared" si="5"/>
        <v>0.15564524760749668</v>
      </c>
      <c r="I75" s="484">
        <f t="shared" si="5"/>
        <v>0.17444585916245728</v>
      </c>
      <c r="J75" s="484">
        <f t="shared" si="5"/>
        <v>0.17432834485343834</v>
      </c>
      <c r="K75" s="484">
        <f t="shared" si="5"/>
        <v>0.17431113096470313</v>
      </c>
      <c r="L75" s="484">
        <f t="shared" si="5"/>
        <v>0.17431380315681727</v>
      </c>
      <c r="M75" s="484">
        <f t="shared" si="5"/>
        <v>0.17431430030883852</v>
      </c>
      <c r="N75" s="484">
        <f t="shared" si="5"/>
        <v>0.1743172832209659</v>
      </c>
      <c r="O75" s="484">
        <f t="shared" si="5"/>
        <v>0.17431759394097918</v>
      </c>
      <c r="P75" s="484">
        <f t="shared" si="5"/>
        <v>0.17431597819691017</v>
      </c>
      <c r="Q75" s="484">
        <f t="shared" si="5"/>
        <v>0.17431479746085973</v>
      </c>
      <c r="R75" s="484">
        <f t="shared" si="5"/>
        <v>0.17431398958882521</v>
      </c>
      <c r="S75" s="484">
        <f t="shared" si="5"/>
        <v>0.17431293314078011</v>
      </c>
      <c r="T75" s="484">
        <f t="shared" si="5"/>
        <v>0.17431181454873232</v>
      </c>
      <c r="U75" s="484">
        <f t="shared" si="5"/>
        <v>0.17480126071363622</v>
      </c>
      <c r="V75" s="484">
        <f t="shared" si="5"/>
        <v>0.1747995206815619</v>
      </c>
      <c r="W75" s="484">
        <f t="shared" si="5"/>
        <v>0.17430696731652531</v>
      </c>
      <c r="X75" s="484">
        <f t="shared" si="5"/>
        <v>0.17479628919342391</v>
      </c>
      <c r="Y75" s="484">
        <f t="shared" si="5"/>
        <v>0.17430286581235016</v>
      </c>
      <c r="Z75" s="484">
        <f t="shared" si="5"/>
        <v>0.17430125006828115</v>
      </c>
      <c r="AA75" s="484">
        <f t="shared" si="5"/>
        <v>0.17479050980117708</v>
      </c>
      <c r="AB75" s="484">
        <f t="shared" si="5"/>
        <v>0.17478852119309213</v>
      </c>
      <c r="AC75" s="484">
        <f t="shared" si="5"/>
        <v>0.1747865325850072</v>
      </c>
      <c r="AD75" s="484">
        <f t="shared" si="5"/>
        <v>0.17428962913978482</v>
      </c>
      <c r="AE75" s="484">
        <f t="shared" si="5"/>
        <v>0.17428677051566271</v>
      </c>
      <c r="AF75" s="484">
        <f t="shared" si="5"/>
        <v>0.17428167470744507</v>
      </c>
      <c r="AG75" s="484">
        <f t="shared" si="5"/>
        <v>0.17427931323534424</v>
      </c>
      <c r="AH75" s="484">
        <f t="shared" si="5"/>
        <v>0.17477702455260111</v>
      </c>
      <c r="AI75" s="484">
        <f t="shared" si="5"/>
        <v>0.17427465243514517</v>
      </c>
      <c r="AJ75" s="484">
        <f t="shared" si="5"/>
        <v>0.17427303669107616</v>
      </c>
      <c r="AK75" s="485"/>
      <c r="AM75" s="18" t="s">
        <v>143</v>
      </c>
      <c r="AN75" s="18">
        <v>0</v>
      </c>
      <c r="AO75" s="18">
        <v>0</v>
      </c>
      <c r="AP75" s="18">
        <v>0.01</v>
      </c>
      <c r="AQ75" s="18">
        <v>6.2E-2</v>
      </c>
      <c r="AR75" s="18">
        <v>7.5999999999999998E-2</v>
      </c>
    </row>
    <row r="76" spans="1:44" s="18" customFormat="1">
      <c r="A76" s="17" t="s">
        <v>56</v>
      </c>
      <c r="B76" s="492">
        <f>AN76</f>
        <v>0.59</v>
      </c>
      <c r="C76" s="492">
        <f t="shared" ref="C76:F76" si="6">AO76</f>
        <v>0.97</v>
      </c>
      <c r="D76" s="492">
        <f t="shared" si="6"/>
        <v>1.01</v>
      </c>
      <c r="E76" s="492">
        <f t="shared" si="6"/>
        <v>0.98399999999999999</v>
      </c>
      <c r="F76" s="492">
        <f t="shared" si="6"/>
        <v>1.03</v>
      </c>
      <c r="G76" s="484">
        <f t="shared" ref="G76:AJ76" si="7">G63*$AM64</f>
        <v>0.88648041604001415</v>
      </c>
      <c r="H76" s="484">
        <f t="shared" si="7"/>
        <v>0.8983459787296445</v>
      </c>
      <c r="I76" s="484">
        <f t="shared" si="7"/>
        <v>0.74636707389667178</v>
      </c>
      <c r="J76" s="484">
        <f t="shared" si="7"/>
        <v>0.77271461895407334</v>
      </c>
      <c r="K76" s="484">
        <f t="shared" si="7"/>
        <v>0.82177275914447279</v>
      </c>
      <c r="L76" s="484">
        <f t="shared" si="7"/>
        <v>1.0515875275579496</v>
      </c>
      <c r="M76" s="484">
        <f t="shared" si="7"/>
        <v>1.0756544298095192</v>
      </c>
      <c r="N76" s="484">
        <f t="shared" si="7"/>
        <v>1.0961529117191324</v>
      </c>
      <c r="O76" s="484">
        <f t="shared" si="7"/>
        <v>1.1261034131349745</v>
      </c>
      <c r="P76" s="484">
        <f t="shared" si="7"/>
        <v>1.1551286747793552</v>
      </c>
      <c r="Q76" s="484">
        <f t="shared" si="7"/>
        <v>1.2444140415001184</v>
      </c>
      <c r="R76" s="484">
        <f t="shared" si="7"/>
        <v>1.24853503810582</v>
      </c>
      <c r="S76" s="484">
        <f t="shared" si="7"/>
        <v>1.2500721620646227</v>
      </c>
      <c r="T76" s="484">
        <f t="shared" si="7"/>
        <v>1.2613592916823548</v>
      </c>
      <c r="U76" s="484">
        <f t="shared" si="7"/>
        <v>1.2658576530336183</v>
      </c>
      <c r="V76" s="484">
        <f t="shared" si="7"/>
        <v>1.2766312628250944</v>
      </c>
      <c r="W76" s="484">
        <f t="shared" si="7"/>
        <v>1.3227746355509722</v>
      </c>
      <c r="X76" s="484">
        <f t="shared" si="7"/>
        <v>1.3943086706157499</v>
      </c>
      <c r="Y76" s="484">
        <f t="shared" si="7"/>
        <v>1.3778966492953544</v>
      </c>
      <c r="Z76" s="484">
        <f t="shared" si="7"/>
        <v>1.3780149035088654</v>
      </c>
      <c r="AA76" s="484">
        <f t="shared" si="7"/>
        <v>1.3941922245706411</v>
      </c>
      <c r="AB76" s="484">
        <f t="shared" si="7"/>
        <v>1.3923374054235529</v>
      </c>
      <c r="AC76" s="484">
        <f t="shared" si="7"/>
        <v>1.4053153533142837</v>
      </c>
      <c r="AD76" s="484">
        <f t="shared" si="7"/>
        <v>1.4140028792200161</v>
      </c>
      <c r="AE76" s="484">
        <f t="shared" si="7"/>
        <v>1.4195582958192696</v>
      </c>
      <c r="AF76" s="484">
        <f t="shared" si="7"/>
        <v>1.4314963660618325</v>
      </c>
      <c r="AG76" s="484">
        <f t="shared" si="7"/>
        <v>1.463802368455362</v>
      </c>
      <c r="AH76" s="484">
        <f t="shared" si="7"/>
        <v>1.4443441258275971</v>
      </c>
      <c r="AI76" s="484">
        <f t="shared" si="7"/>
        <v>1.4536419085691088</v>
      </c>
      <c r="AJ76" s="484">
        <f t="shared" si="7"/>
        <v>1.4634919059406857</v>
      </c>
      <c r="AK76" s="485"/>
      <c r="AM76" s="18" t="s">
        <v>730</v>
      </c>
      <c r="AN76" s="18">
        <v>0.59</v>
      </c>
      <c r="AO76" s="18">
        <v>0.97</v>
      </c>
      <c r="AP76" s="18">
        <v>1.01</v>
      </c>
      <c r="AQ76" s="18">
        <v>0.98399999999999999</v>
      </c>
      <c r="AR76" s="18">
        <v>1.03</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731</v>
      </c>
      <c r="AN77" s="18">
        <v>0.156</v>
      </c>
      <c r="AO77" s="18">
        <v>0.153</v>
      </c>
      <c r="AP77" s="18">
        <v>0.155</v>
      </c>
      <c r="AQ77" s="18">
        <v>0.151</v>
      </c>
      <c r="AR77" s="18">
        <v>0.127</v>
      </c>
    </row>
    <row r="78" spans="1:44" s="18" customFormat="1">
      <c r="A78" s="17" t="s">
        <v>53</v>
      </c>
      <c r="B78" s="491">
        <f>AN75</f>
        <v>0</v>
      </c>
      <c r="C78" s="491">
        <f t="shared" ref="C78:F78" si="10">AO75</f>
        <v>0</v>
      </c>
      <c r="D78" s="491">
        <f t="shared" si="10"/>
        <v>0.01</v>
      </c>
      <c r="E78" s="491">
        <f t="shared" si="10"/>
        <v>6.2E-2</v>
      </c>
      <c r="F78" s="491">
        <f t="shared" si="10"/>
        <v>7.5999999999999998E-2</v>
      </c>
      <c r="G78" s="484">
        <f t="shared" ref="G78:AJ78" si="11">G65*$AM63</f>
        <v>6.1302599617168538E-2</v>
      </c>
      <c r="H78" s="484">
        <f t="shared" si="11"/>
        <v>9.1394219463648091E-2</v>
      </c>
      <c r="I78" s="484">
        <f t="shared" si="11"/>
        <v>0.1517920664065828</v>
      </c>
      <c r="J78" s="484">
        <f t="shared" si="11"/>
        <v>0.15404203327760108</v>
      </c>
      <c r="K78" s="484">
        <f t="shared" si="11"/>
        <v>0.38078847592033704</v>
      </c>
      <c r="L78" s="484">
        <f t="shared" si="11"/>
        <v>0.53390326247850539</v>
      </c>
      <c r="M78" s="484">
        <f t="shared" si="11"/>
        <v>0.53389124222310225</v>
      </c>
      <c r="N78" s="484">
        <f t="shared" si="11"/>
        <v>0.53372640304812924</v>
      </c>
      <c r="O78" s="484">
        <f t="shared" si="11"/>
        <v>0.53375206031843414</v>
      </c>
      <c r="P78" s="484">
        <f t="shared" si="11"/>
        <v>0.53386368701773368</v>
      </c>
      <c r="Q78" s="484">
        <f t="shared" si="11"/>
        <v>0.53380808454975759</v>
      </c>
      <c r="R78" s="484">
        <f t="shared" si="11"/>
        <v>0.53377371083693814</v>
      </c>
      <c r="S78" s="484">
        <f t="shared" si="11"/>
        <v>0.53394782880555569</v>
      </c>
      <c r="T78" s="484">
        <f t="shared" si="11"/>
        <v>0.5344635047917401</v>
      </c>
      <c r="U78" s="484">
        <f t="shared" si="11"/>
        <v>0.53413235027007777</v>
      </c>
      <c r="V78" s="484">
        <f t="shared" si="11"/>
        <v>0.53667080327077177</v>
      </c>
      <c r="W78" s="484">
        <f t="shared" si="11"/>
        <v>0.53856887892220995</v>
      </c>
      <c r="X78" s="484">
        <f t="shared" si="11"/>
        <v>0.54809552882728441</v>
      </c>
      <c r="Y78" s="484">
        <f t="shared" si="11"/>
        <v>0.55859694412227423</v>
      </c>
      <c r="Z78" s="484">
        <f t="shared" si="11"/>
        <v>0.56124118942929424</v>
      </c>
      <c r="AA78" s="484">
        <f t="shared" si="11"/>
        <v>0.56159413505724298</v>
      </c>
      <c r="AB78" s="484">
        <f t="shared" si="11"/>
        <v>0.56191151197622091</v>
      </c>
      <c r="AC78" s="484">
        <f t="shared" si="11"/>
        <v>0.57016900567483964</v>
      </c>
      <c r="AD78" s="484">
        <f t="shared" si="11"/>
        <v>0.58112473038895562</v>
      </c>
      <c r="AE78" s="484">
        <f t="shared" si="11"/>
        <v>0.58508311999282914</v>
      </c>
      <c r="AF78" s="484">
        <f t="shared" si="11"/>
        <v>0.61877505236117236</v>
      </c>
      <c r="AG78" s="484">
        <f t="shared" si="11"/>
        <v>0.64404141833692652</v>
      </c>
      <c r="AH78" s="484">
        <f t="shared" si="11"/>
        <v>0.6471014520106696</v>
      </c>
      <c r="AI78" s="484">
        <f t="shared" si="11"/>
        <v>0.65374816119137447</v>
      </c>
      <c r="AJ78" s="484">
        <f t="shared" si="11"/>
        <v>0.66339930157784655</v>
      </c>
      <c r="AK78" s="485"/>
      <c r="AM78" s="18" t="s">
        <v>732</v>
      </c>
      <c r="AN78" s="18">
        <v>0</v>
      </c>
      <c r="AO78" s="18">
        <v>0</v>
      </c>
      <c r="AP78" s="18">
        <v>0</v>
      </c>
      <c r="AQ78" s="18">
        <v>0</v>
      </c>
      <c r="AR78" s="18">
        <v>0</v>
      </c>
    </row>
    <row r="79" spans="1:44" s="18" customFormat="1">
      <c r="A79" s="17" t="s">
        <v>54</v>
      </c>
      <c r="B79" s="493">
        <f>AN79</f>
        <v>2.2749999999999999</v>
      </c>
      <c r="C79" s="493">
        <f t="shared" ref="C79:F79" si="12">AO79</f>
        <v>2.3889999999999998</v>
      </c>
      <c r="D79" s="493">
        <f t="shared" si="12"/>
        <v>2.8079999999999998</v>
      </c>
      <c r="E79" s="493">
        <f t="shared" si="12"/>
        <v>2.8780000000000001</v>
      </c>
      <c r="F79" s="493">
        <f t="shared" si="12"/>
        <v>2.71</v>
      </c>
      <c r="G79" s="486">
        <f t="shared" ref="G79:AJ79" si="13">G66*$AM67</f>
        <v>2.741084195257224</v>
      </c>
      <c r="H79" s="486">
        <f t="shared" si="13"/>
        <v>2.6437043049024793</v>
      </c>
      <c r="I79" s="486">
        <f t="shared" si="13"/>
        <v>2.6855647169111352</v>
      </c>
      <c r="J79" s="486">
        <f t="shared" si="13"/>
        <v>2.7563679690564262</v>
      </c>
      <c r="K79" s="486">
        <f t="shared" si="13"/>
        <v>3.3627891063059767</v>
      </c>
      <c r="L79" s="486">
        <f t="shared" si="13"/>
        <v>3.9595552473313216</v>
      </c>
      <c r="M79" s="486">
        <f t="shared" si="13"/>
        <v>3.9940607404282895</v>
      </c>
      <c r="N79" s="486">
        <f t="shared" si="13"/>
        <v>4.0127903770353726</v>
      </c>
      <c r="O79" s="486">
        <f t="shared" si="13"/>
        <v>4.04044635513225</v>
      </c>
      <c r="P79" s="486">
        <f t="shared" si="13"/>
        <v>4.0681544946363273</v>
      </c>
      <c r="Q79" s="486">
        <f t="shared" si="13"/>
        <v>4.1494831162711767</v>
      </c>
      <c r="R79" s="486">
        <f t="shared" si="13"/>
        <v>4.1560026501844938</v>
      </c>
      <c r="S79" s="486">
        <f t="shared" si="13"/>
        <v>4.222225328294531</v>
      </c>
      <c r="T79" s="486">
        <f t="shared" si="13"/>
        <v>4.2405286858323192</v>
      </c>
      <c r="U79" s="486">
        <f t="shared" si="13"/>
        <v>4.2534642333277439</v>
      </c>
      <c r="V79" s="486">
        <f t="shared" si="13"/>
        <v>4.2778163881409599</v>
      </c>
      <c r="W79" s="486">
        <f t="shared" si="13"/>
        <v>4.3404527688852728</v>
      </c>
      <c r="X79" s="486">
        <f t="shared" si="13"/>
        <v>4.446119421629235</v>
      </c>
      <c r="Y79" s="486">
        <f t="shared" si="13"/>
        <v>4.4647874275275043</v>
      </c>
      <c r="Z79" s="486">
        <f t="shared" si="13"/>
        <v>4.4833342584644349</v>
      </c>
      <c r="AA79" s="486">
        <f t="shared" si="13"/>
        <v>4.5122998891235993</v>
      </c>
      <c r="AB79" s="486">
        <f t="shared" si="13"/>
        <v>4.5237736332443532</v>
      </c>
      <c r="AC79" s="486">
        <f t="shared" si="13"/>
        <v>4.5664490471784136</v>
      </c>
      <c r="AD79" s="486">
        <f t="shared" si="13"/>
        <v>4.6103580382685685</v>
      </c>
      <c r="AE79" s="486">
        <f t="shared" si="13"/>
        <v>4.6369648498458789</v>
      </c>
      <c r="AF79" s="486">
        <f t="shared" si="13"/>
        <v>4.7437689422600533</v>
      </c>
      <c r="AG79" s="486">
        <f t="shared" si="13"/>
        <v>4.8431203733102803</v>
      </c>
      <c r="AH79" s="486">
        <f t="shared" si="13"/>
        <v>4.8471950619440243</v>
      </c>
      <c r="AI79" s="486">
        <f t="shared" si="13"/>
        <v>4.8833445220992644</v>
      </c>
      <c r="AJ79" s="486">
        <f t="shared" si="13"/>
        <v>4.9285435851619273</v>
      </c>
      <c r="AK79" s="487"/>
      <c r="AM79" s="18" t="s">
        <v>58</v>
      </c>
      <c r="AN79" s="18">
        <v>2.2749999999999999</v>
      </c>
      <c r="AO79" s="18">
        <v>2.3889999999999998</v>
      </c>
      <c r="AP79" s="18">
        <v>2.8079999999999998</v>
      </c>
      <c r="AQ79" s="18">
        <v>2.8780000000000001</v>
      </c>
      <c r="AR79" s="18">
        <v>2.71</v>
      </c>
    </row>
    <row r="80" spans="1:44" s="255" customFormat="1">
      <c r="A80" s="254" t="s">
        <v>57</v>
      </c>
      <c r="B80" s="474">
        <f>B79*1000</f>
        <v>2275</v>
      </c>
      <c r="C80" s="474">
        <f t="shared" ref="C80:AJ80" si="14">C79*1000</f>
        <v>2389</v>
      </c>
      <c r="D80" s="474">
        <f t="shared" si="14"/>
        <v>2808</v>
      </c>
      <c r="E80" s="474">
        <f t="shared" si="14"/>
        <v>2878</v>
      </c>
      <c r="F80" s="474">
        <f t="shared" si="14"/>
        <v>2710</v>
      </c>
      <c r="G80" s="276">
        <f t="shared" si="14"/>
        <v>2741.0841952572241</v>
      </c>
      <c r="H80" s="276">
        <f t="shared" si="14"/>
        <v>2643.7043049024792</v>
      </c>
      <c r="I80" s="276">
        <f t="shared" si="14"/>
        <v>2685.5647169111353</v>
      </c>
      <c r="J80" s="276">
        <f t="shared" si="14"/>
        <v>2756.3679690564263</v>
      </c>
      <c r="K80" s="276">
        <f t="shared" si="14"/>
        <v>3362.7891063059769</v>
      </c>
      <c r="L80" s="276">
        <f t="shared" si="14"/>
        <v>3959.5552473313214</v>
      </c>
      <c r="M80" s="276">
        <f t="shared" si="14"/>
        <v>3994.0607404282896</v>
      </c>
      <c r="N80" s="276">
        <f t="shared" si="14"/>
        <v>4012.7903770353723</v>
      </c>
      <c r="O80" s="276">
        <f t="shared" si="14"/>
        <v>4040.4463551322501</v>
      </c>
      <c r="P80" s="276">
        <f t="shared" si="14"/>
        <v>4068.1544946363274</v>
      </c>
      <c r="Q80" s="276">
        <f t="shared" si="14"/>
        <v>4149.4831162711771</v>
      </c>
      <c r="R80" s="276">
        <f t="shared" si="14"/>
        <v>4156.0026501844941</v>
      </c>
      <c r="S80" s="276">
        <f t="shared" si="14"/>
        <v>4222.2253282945312</v>
      </c>
      <c r="T80" s="276">
        <f t="shared" si="14"/>
        <v>4240.5286858323188</v>
      </c>
      <c r="U80" s="276">
        <f t="shared" si="14"/>
        <v>4253.4642333277443</v>
      </c>
      <c r="V80" s="276">
        <f t="shared" si="14"/>
        <v>4277.81638814096</v>
      </c>
      <c r="W80" s="276">
        <f t="shared" si="14"/>
        <v>4340.4527688852731</v>
      </c>
      <c r="X80" s="276">
        <f t="shared" si="14"/>
        <v>4446.1194216292351</v>
      </c>
      <c r="Y80" s="276">
        <f t="shared" si="14"/>
        <v>4464.7874275275044</v>
      </c>
      <c r="Z80" s="276">
        <f t="shared" si="14"/>
        <v>4483.3342584644352</v>
      </c>
      <c r="AA80" s="276">
        <f t="shared" si="14"/>
        <v>4512.2998891235993</v>
      </c>
      <c r="AB80" s="276">
        <f t="shared" si="14"/>
        <v>4523.7736332443528</v>
      </c>
      <c r="AC80" s="276">
        <f t="shared" si="14"/>
        <v>4566.4490471784138</v>
      </c>
      <c r="AD80" s="276">
        <f t="shared" si="14"/>
        <v>4610.3580382685686</v>
      </c>
      <c r="AE80" s="276">
        <f t="shared" si="14"/>
        <v>4636.9648498458791</v>
      </c>
      <c r="AF80" s="276">
        <f t="shared" si="14"/>
        <v>4743.7689422600533</v>
      </c>
      <c r="AG80" s="276">
        <f t="shared" si="14"/>
        <v>4843.1203733102802</v>
      </c>
      <c r="AH80" s="276">
        <f t="shared" si="14"/>
        <v>4847.195061944024</v>
      </c>
      <c r="AI80" s="276">
        <f t="shared" si="14"/>
        <v>4883.3445220992644</v>
      </c>
      <c r="AJ80" s="276">
        <f t="shared" si="14"/>
        <v>4928.5435851619277</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9.1109855576564529E-11</v>
      </c>
      <c r="H81" s="260">
        <f t="shared" si="15"/>
        <v>8.7306854088192924E-11</v>
      </c>
      <c r="I81" s="260">
        <f t="shared" si="15"/>
        <v>9.3230965770706929E-11</v>
      </c>
      <c r="J81" s="260">
        <f t="shared" si="15"/>
        <v>9.081951007928241E-11</v>
      </c>
      <c r="K81" s="260">
        <f t="shared" si="15"/>
        <v>7.262837315931263E-11</v>
      </c>
      <c r="L81" s="260">
        <f t="shared" si="15"/>
        <v>5.6824490844669005E-11</v>
      </c>
      <c r="M81" s="260">
        <f t="shared" si="15"/>
        <v>5.6058211712176115E-11</v>
      </c>
      <c r="N81" s="260">
        <f t="shared" si="15"/>
        <v>5.5426332200139689E-11</v>
      </c>
      <c r="O81" s="260">
        <f t="shared" si="15"/>
        <v>5.4520482157448314E-11</v>
      </c>
      <c r="P81" s="260">
        <f t="shared" si="15"/>
        <v>5.36679828283038E-11</v>
      </c>
      <c r="Q81" s="260">
        <f t="shared" si="15"/>
        <v>5.1215420712799969E-11</v>
      </c>
      <c r="R81" s="260">
        <f t="shared" ref="R81:AJ82" si="16">R74/SUM(R$74:R$78)</f>
        <v>5.1108472791202297E-11</v>
      </c>
      <c r="S81" s="260">
        <f t="shared" si="16"/>
        <v>5.1063840457769909E-11</v>
      </c>
      <c r="T81" s="260">
        <f t="shared" si="16"/>
        <v>5.0757953002514683E-11</v>
      </c>
      <c r="U81" s="260">
        <f t="shared" si="16"/>
        <v>5.0638263302575816E-11</v>
      </c>
      <c r="V81" s="260">
        <f t="shared" si="16"/>
        <v>5.0299240572038883E-11</v>
      </c>
      <c r="W81" s="260">
        <f t="shared" si="16"/>
        <v>4.9124346684097433E-11</v>
      </c>
      <c r="X81" s="260">
        <f t="shared" si="16"/>
        <v>4.7232182559942565E-11</v>
      </c>
      <c r="Y81" s="260">
        <f t="shared" si="16"/>
        <v>4.7375482158873134E-11</v>
      </c>
      <c r="Z81" s="260">
        <f t="shared" si="16"/>
        <v>4.7313596825824997E-11</v>
      </c>
      <c r="AA81" s="260">
        <f t="shared" si="16"/>
        <v>4.6935645190827506E-11</v>
      </c>
      <c r="AB81" s="260">
        <f t="shared" si="16"/>
        <v>4.6969582677416679E-11</v>
      </c>
      <c r="AC81" s="260">
        <f t="shared" si="16"/>
        <v>4.6505768360256824E-11</v>
      </c>
      <c r="AD81" s="260">
        <f t="shared" si="16"/>
        <v>4.6095328371718364E-11</v>
      </c>
      <c r="AE81" s="260">
        <f t="shared" si="16"/>
        <v>4.5894123827892076E-11</v>
      </c>
      <c r="AF81" s="260">
        <f t="shared" si="16"/>
        <v>4.4952849318054287E-11</v>
      </c>
      <c r="AG81" s="260">
        <f t="shared" si="16"/>
        <v>4.3818845703111847E-11</v>
      </c>
      <c r="AH81" s="260">
        <f t="shared" si="16"/>
        <v>4.4126291870042797E-11</v>
      </c>
      <c r="AI81" s="260">
        <f t="shared" si="16"/>
        <v>4.3827648743846991E-11</v>
      </c>
      <c r="AJ81" s="260">
        <f t="shared" si="16"/>
        <v>4.3456263605382871E-11</v>
      </c>
      <c r="AK81" s="322"/>
    </row>
    <row r="82" spans="1:37" s="256" customFormat="1">
      <c r="A82" s="257" t="s">
        <v>340</v>
      </c>
      <c r="B82" s="260">
        <f t="shared" si="15"/>
        <v>0.20911528150134048</v>
      </c>
      <c r="C82" s="260">
        <f t="shared" ref="C82:AA82" si="17">C75/SUM(C$74:C$78)</f>
        <v>0.13624220837043632</v>
      </c>
      <c r="D82" s="260">
        <f t="shared" si="17"/>
        <v>0.13191489361702127</v>
      </c>
      <c r="E82" s="260">
        <f t="shared" si="17"/>
        <v>0.12614870509607351</v>
      </c>
      <c r="F82" s="260">
        <f t="shared" si="17"/>
        <v>0.1030008110300081</v>
      </c>
      <c r="G82" s="260">
        <f t="shared" si="17"/>
        <v>0.13647626316442291</v>
      </c>
      <c r="H82" s="260">
        <f t="shared" si="17"/>
        <v>0.13588896922388372</v>
      </c>
      <c r="I82" s="260">
        <f t="shared" si="17"/>
        <v>0.16263755924416615</v>
      </c>
      <c r="J82" s="260">
        <f t="shared" si="17"/>
        <v>0.15832414872521464</v>
      </c>
      <c r="K82" s="260">
        <f t="shared" si="17"/>
        <v>0.12659933865526274</v>
      </c>
      <c r="L82" s="260">
        <f t="shared" si="17"/>
        <v>9.9052931115839973E-2</v>
      </c>
      <c r="M82" s="260">
        <f t="shared" si="17"/>
        <v>9.7717479511727157E-2</v>
      </c>
      <c r="N82" s="260">
        <f t="shared" si="17"/>
        <v>9.6617676480310916E-2</v>
      </c>
      <c r="O82" s="260">
        <f t="shared" si="17"/>
        <v>9.5038792701884756E-2</v>
      </c>
      <c r="P82" s="261">
        <f t="shared" si="17"/>
        <v>9.3551869245707533E-2</v>
      </c>
      <c r="Q82" s="260">
        <f t="shared" si="17"/>
        <v>8.9276056884244462E-2</v>
      </c>
      <c r="R82" s="260">
        <f t="shared" si="17"/>
        <v>8.9089217940263934E-2</v>
      </c>
      <c r="S82" s="260">
        <f t="shared" si="17"/>
        <v>8.9010878076267078E-2</v>
      </c>
      <c r="T82" s="260">
        <f t="shared" si="17"/>
        <v>8.8477108906476101E-2</v>
      </c>
      <c r="U82" s="260">
        <f t="shared" si="17"/>
        <v>8.8516322656393115E-2</v>
      </c>
      <c r="V82" s="260">
        <f t="shared" si="17"/>
        <v>8.792283142638968E-2</v>
      </c>
      <c r="W82" s="260">
        <f t="shared" si="17"/>
        <v>8.56271589191063E-2</v>
      </c>
      <c r="X82" s="260">
        <f t="shared" si="17"/>
        <v>8.2560102419843129E-2</v>
      </c>
      <c r="Y82" s="260">
        <f t="shared" si="17"/>
        <v>8.2576823095334526E-2</v>
      </c>
      <c r="Z82" s="260">
        <f t="shared" si="17"/>
        <v>8.2468190719679549E-2</v>
      </c>
      <c r="AA82" s="260">
        <f t="shared" si="17"/>
        <v>8.2039053507519041E-2</v>
      </c>
      <c r="AB82" s="260">
        <f t="shared" si="16"/>
        <v>8.2097438972423373E-2</v>
      </c>
      <c r="AC82" s="260">
        <f t="shared" si="16"/>
        <v>8.1285819968908254E-2</v>
      </c>
      <c r="AD82" s="260">
        <f t="shared" si="16"/>
        <v>8.0339376869833945E-2</v>
      </c>
      <c r="AE82" s="260">
        <f t="shared" si="16"/>
        <v>7.9987386276092337E-2</v>
      </c>
      <c r="AF82" s="260">
        <f t="shared" si="16"/>
        <v>7.8344578620219318E-2</v>
      </c>
      <c r="AG82" s="260">
        <f t="shared" si="16"/>
        <v>7.6367183359038471E-2</v>
      </c>
      <c r="AH82" s="260">
        <f t="shared" si="16"/>
        <v>7.7122619975857121E-2</v>
      </c>
      <c r="AI82" s="260">
        <f t="shared" si="16"/>
        <v>7.6380482518835613E-2</v>
      </c>
      <c r="AJ82" s="260">
        <f t="shared" si="16"/>
        <v>7.5732550217579672E-2</v>
      </c>
      <c r="AK82" s="322"/>
    </row>
    <row r="83" spans="1:37" s="256" customFormat="1">
      <c r="A83" s="257" t="s">
        <v>336</v>
      </c>
      <c r="B83" s="260">
        <f>B76/SUM(B$74:B$78)</f>
        <v>0.79088471849865949</v>
      </c>
      <c r="C83" s="260">
        <f t="shared" ref="C83:AJ83" si="18">C76/SUM(C$74:C$78)</f>
        <v>0.86375779162956368</v>
      </c>
      <c r="D83" s="260">
        <f t="shared" si="18"/>
        <v>0.8595744680851064</v>
      </c>
      <c r="E83" s="260">
        <f t="shared" si="18"/>
        <v>0.82205513784461148</v>
      </c>
      <c r="F83" s="260">
        <f t="shared" si="18"/>
        <v>0.83536090835360899</v>
      </c>
      <c r="G83" s="260">
        <f t="shared" si="18"/>
        <v>0.80767102676858527</v>
      </c>
      <c r="H83" s="260">
        <f t="shared" si="18"/>
        <v>0.78431761285663937</v>
      </c>
      <c r="I83" s="260">
        <f t="shared" si="18"/>
        <v>0.69584523118843289</v>
      </c>
      <c r="J83" s="260">
        <f t="shared" si="18"/>
        <v>0.70177563124508324</v>
      </c>
      <c r="K83" s="260">
        <f t="shared" si="18"/>
        <v>0.59684018603302713</v>
      </c>
      <c r="L83" s="260">
        <f t="shared" si="18"/>
        <v>0.59755925832084822</v>
      </c>
      <c r="M83" s="260">
        <f t="shared" si="18"/>
        <v>0.60299263755402099</v>
      </c>
      <c r="N83" s="260">
        <f t="shared" si="18"/>
        <v>0.60755735427095026</v>
      </c>
      <c r="O83" s="260">
        <f t="shared" si="18"/>
        <v>0.61395701043267026</v>
      </c>
      <c r="P83" s="261">
        <f t="shared" si="18"/>
        <v>0.61993425882539754</v>
      </c>
      <c r="Q83" s="260">
        <f t="shared" si="18"/>
        <v>0.63733188676344277</v>
      </c>
      <c r="R83" s="260">
        <f t="shared" si="18"/>
        <v>0.63810719023894025</v>
      </c>
      <c r="S83" s="260">
        <f t="shared" si="18"/>
        <v>0.63833485444367377</v>
      </c>
      <c r="T83" s="260">
        <f t="shared" si="18"/>
        <v>0.64024015646498167</v>
      </c>
      <c r="U83" s="260">
        <f t="shared" si="18"/>
        <v>0.64100833137897018</v>
      </c>
      <c r="V83" s="260">
        <f t="shared" si="18"/>
        <v>0.64213583010625219</v>
      </c>
      <c r="W83" s="260">
        <f t="shared" si="18"/>
        <v>0.64980439781736588</v>
      </c>
      <c r="X83" s="260">
        <f t="shared" si="18"/>
        <v>0.65856241675433924</v>
      </c>
      <c r="Y83" s="260">
        <f t="shared" si="18"/>
        <v>0.65278518125463125</v>
      </c>
      <c r="Z83" s="260">
        <f t="shared" si="18"/>
        <v>0.65198841564596588</v>
      </c>
      <c r="AA83" s="260">
        <f t="shared" si="18"/>
        <v>0.65437311580258106</v>
      </c>
      <c r="AB83" s="260">
        <f t="shared" si="18"/>
        <v>0.6539750687890139</v>
      </c>
      <c r="AC83" s="260">
        <f t="shared" si="18"/>
        <v>0.65355270294346557</v>
      </c>
      <c r="AD83" s="260">
        <f t="shared" si="18"/>
        <v>0.65178927036201861</v>
      </c>
      <c r="AE83" s="260">
        <f t="shared" si="18"/>
        <v>0.65149384209241012</v>
      </c>
      <c r="AF83" s="260">
        <f t="shared" si="18"/>
        <v>0.64349840442919837</v>
      </c>
      <c r="AG83" s="260">
        <f t="shared" si="18"/>
        <v>0.64142130123195185</v>
      </c>
      <c r="AH83" s="260">
        <f t="shared" si="18"/>
        <v>0.63733550457050359</v>
      </c>
      <c r="AI83" s="260">
        <f t="shared" si="18"/>
        <v>0.63709706968102242</v>
      </c>
      <c r="AJ83" s="260">
        <f t="shared" si="18"/>
        <v>0.63597890048902628</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8.5106382978723406E-3</v>
      </c>
      <c r="E85" s="260">
        <f t="shared" si="20"/>
        <v>5.1796157059314951E-2</v>
      </c>
      <c r="F85" s="260">
        <f t="shared" si="20"/>
        <v>6.1638280616382803E-2</v>
      </c>
      <c r="G85" s="260">
        <f t="shared" si="20"/>
        <v>5.5852709975881855E-2</v>
      </c>
      <c r="H85" s="260">
        <f t="shared" si="20"/>
        <v>7.979341783217006E-2</v>
      </c>
      <c r="I85" s="260">
        <f t="shared" si="20"/>
        <v>0.14151720947416993</v>
      </c>
      <c r="J85" s="260">
        <f t="shared" si="20"/>
        <v>0.13990021993888246</v>
      </c>
      <c r="K85" s="260">
        <f t="shared" si="20"/>
        <v>0.27656047523908173</v>
      </c>
      <c r="L85" s="260">
        <f t="shared" si="20"/>
        <v>0.30338781050648739</v>
      </c>
      <c r="M85" s="260">
        <f t="shared" si="20"/>
        <v>0.29928988287819364</v>
      </c>
      <c r="N85" s="260">
        <f t="shared" si="20"/>
        <v>0.29582496919331258</v>
      </c>
      <c r="O85" s="260">
        <f t="shared" si="20"/>
        <v>0.29100419681092465</v>
      </c>
      <c r="P85" s="261">
        <f t="shared" si="20"/>
        <v>0.28651387187522687</v>
      </c>
      <c r="Q85" s="260">
        <f t="shared" si="20"/>
        <v>0.27339205630109731</v>
      </c>
      <c r="R85" s="260">
        <f t="shared" si="20"/>
        <v>0.27280359176968738</v>
      </c>
      <c r="S85" s="260">
        <f t="shared" si="20"/>
        <v>0.27265426742899534</v>
      </c>
      <c r="T85" s="260">
        <f t="shared" si="20"/>
        <v>0.27128273457778423</v>
      </c>
      <c r="U85" s="260">
        <f t="shared" si="20"/>
        <v>0.27047534591399847</v>
      </c>
      <c r="V85" s="260">
        <f t="shared" si="20"/>
        <v>0.26994133841705897</v>
      </c>
      <c r="W85" s="260">
        <f t="shared" si="20"/>
        <v>0.26456844321440337</v>
      </c>
      <c r="X85" s="260">
        <f t="shared" si="20"/>
        <v>0.25887748077858558</v>
      </c>
      <c r="Y85" s="260">
        <f t="shared" si="20"/>
        <v>0.26463799560265855</v>
      </c>
      <c r="Z85" s="260">
        <f t="shared" si="20"/>
        <v>0.26554339358704099</v>
      </c>
      <c r="AA85" s="260">
        <f t="shared" si="20"/>
        <v>0.2635878306429642</v>
      </c>
      <c r="AB85" s="260">
        <f t="shared" si="20"/>
        <v>0.26392749219159317</v>
      </c>
      <c r="AC85" s="260">
        <f t="shared" si="20"/>
        <v>0.26516147704112047</v>
      </c>
      <c r="AD85" s="260">
        <f t="shared" si="20"/>
        <v>0.26787135272205209</v>
      </c>
      <c r="AE85" s="260">
        <f t="shared" si="20"/>
        <v>0.26851877158560339</v>
      </c>
      <c r="AF85" s="260">
        <f t="shared" si="20"/>
        <v>0.27815701690562933</v>
      </c>
      <c r="AG85" s="260">
        <f t="shared" si="20"/>
        <v>0.2822115153651909</v>
      </c>
      <c r="AH85" s="260">
        <f t="shared" si="20"/>
        <v>0.28554187540951298</v>
      </c>
      <c r="AI85" s="260">
        <f t="shared" si="20"/>
        <v>0.28652244775631419</v>
      </c>
      <c r="AJ85" s="260">
        <f t="shared" si="20"/>
        <v>0.28828854924993791</v>
      </c>
      <c r="AK85" s="322"/>
    </row>
    <row r="86" spans="1:37" s="256" customFormat="1">
      <c r="A86" s="256" t="s">
        <v>341</v>
      </c>
      <c r="B86" s="260">
        <f>SUM(B81:B85)</f>
        <v>1</v>
      </c>
      <c r="C86" s="260">
        <f t="shared" ref="C86:AJ86" si="21">SUM(C81:C85)</f>
        <v>1</v>
      </c>
      <c r="D86" s="260">
        <f t="shared" si="21"/>
        <v>1</v>
      </c>
      <c r="E86" s="260">
        <f t="shared" si="21"/>
        <v>0.99999999999999989</v>
      </c>
      <c r="F86" s="260">
        <f t="shared" si="21"/>
        <v>0.99999999999999989</v>
      </c>
      <c r="G86" s="260">
        <f t="shared" si="21"/>
        <v>0.99999999999999989</v>
      </c>
      <c r="H86" s="260">
        <f t="shared" si="21"/>
        <v>1</v>
      </c>
      <c r="I86" s="260">
        <f t="shared" si="21"/>
        <v>0.99999999999999989</v>
      </c>
      <c r="J86" s="260">
        <f t="shared" si="21"/>
        <v>0.99999999999999989</v>
      </c>
      <c r="K86" s="260">
        <f t="shared" si="21"/>
        <v>1</v>
      </c>
      <c r="L86" s="260">
        <f t="shared" si="21"/>
        <v>1</v>
      </c>
      <c r="M86" s="260">
        <f t="shared" si="21"/>
        <v>1</v>
      </c>
      <c r="N86" s="260">
        <f t="shared" si="21"/>
        <v>1</v>
      </c>
      <c r="O86" s="260">
        <f t="shared" si="21"/>
        <v>1.0000000000000002</v>
      </c>
      <c r="P86" s="260">
        <f t="shared" si="21"/>
        <v>1</v>
      </c>
      <c r="Q86" s="260">
        <f t="shared" si="21"/>
        <v>1</v>
      </c>
      <c r="R86" s="260">
        <f t="shared" si="21"/>
        <v>1</v>
      </c>
      <c r="S86" s="260">
        <f t="shared" si="21"/>
        <v>1</v>
      </c>
      <c r="T86" s="260">
        <f t="shared" si="21"/>
        <v>1</v>
      </c>
      <c r="U86" s="260">
        <f t="shared" si="21"/>
        <v>1</v>
      </c>
      <c r="V86" s="260">
        <f t="shared" si="21"/>
        <v>1</v>
      </c>
      <c r="W86" s="260">
        <f t="shared" si="21"/>
        <v>0.99999999999999978</v>
      </c>
      <c r="X86" s="260">
        <f t="shared" si="21"/>
        <v>1.0000000000000002</v>
      </c>
      <c r="Y86" s="260">
        <f t="shared" si="21"/>
        <v>0.99999999999999978</v>
      </c>
      <c r="Z86" s="260">
        <f t="shared" si="21"/>
        <v>1</v>
      </c>
      <c r="AA86" s="260">
        <f t="shared" si="21"/>
        <v>1</v>
      </c>
      <c r="AB86" s="260">
        <f t="shared" si="21"/>
        <v>1</v>
      </c>
      <c r="AC86" s="260">
        <f t="shared" si="21"/>
        <v>1</v>
      </c>
      <c r="AD86" s="260">
        <f t="shared" si="21"/>
        <v>1</v>
      </c>
      <c r="AE86" s="260">
        <f t="shared" si="21"/>
        <v>1</v>
      </c>
      <c r="AF86" s="260">
        <f t="shared" si="21"/>
        <v>0.99999999999999989</v>
      </c>
      <c r="AG86" s="260">
        <f t="shared" si="21"/>
        <v>1</v>
      </c>
      <c r="AH86" s="260">
        <f t="shared" si="21"/>
        <v>1</v>
      </c>
      <c r="AI86" s="260">
        <f t="shared" si="21"/>
        <v>0.99999999999999989</v>
      </c>
      <c r="AJ86" s="260">
        <f t="shared" si="21"/>
        <v>1.0000000000000002</v>
      </c>
      <c r="AK86" s="322"/>
    </row>
    <row r="87" spans="1:37">
      <c r="A87" s="565" t="s">
        <v>631</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row>
    <row r="88" spans="1:37">
      <c r="A88" s="564" t="s">
        <v>664</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row>
    <row r="89" spans="1:37">
      <c r="A89" s="564" t="s">
        <v>665</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row>
    <row r="90" spans="1:37">
      <c r="A90" s="564" t="s">
        <v>666</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row>
    <row r="91" spans="1:37">
      <c r="A91" s="564" t="s">
        <v>667</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row>
    <row r="92" spans="1:37">
      <c r="A92" s="564" t="s">
        <v>668</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row>
    <row r="93" spans="1:37">
      <c r="A93" s="564" t="s">
        <v>669</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row>
    <row r="94" spans="1:37">
      <c r="A94" s="564" t="s">
        <v>670</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row>
    <row r="95" spans="1:37">
      <c r="A95" s="564" t="s">
        <v>671</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row>
    <row r="96" spans="1:37">
      <c r="A96" s="564" t="s">
        <v>672</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row>
    <row r="97" spans="1:32">
      <c r="A97" s="564" t="s">
        <v>673</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row>
    <row r="98" spans="1:32">
      <c r="A98" s="564" t="s">
        <v>674</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row>
    <row r="99" spans="1:32">
      <c r="A99" s="564" t="s">
        <v>675</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row>
    <row r="100" spans="1:32">
      <c r="A100" s="564" t="s">
        <v>676</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row>
    <row r="101" spans="1:32">
      <c r="A101" s="564" t="s">
        <v>677</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row>
    <row r="102" spans="1:32">
      <c r="A102" s="564" t="s">
        <v>678</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row>
    <row r="103" spans="1:32">
      <c r="A103" s="564" t="s">
        <v>679</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row>
    <row r="104" spans="1:32">
      <c r="A104" s="564" t="s">
        <v>680</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row>
    <row r="105" spans="1:32">
      <c r="A105" s="564" t="s">
        <v>681</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row>
    <row r="106" spans="1:32">
      <c r="A106" s="564" t="s">
        <v>682</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row>
    <row r="107" spans="1:32">
      <c r="A107" s="564" t="s">
        <v>683</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row>
    <row r="108" spans="1:32">
      <c r="A108" s="564" t="s">
        <v>635</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row>
    <row r="109" spans="1:32">
      <c r="A109" s="564" t="s">
        <v>684</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2">
      <c r="A110" s="564" t="s">
        <v>685</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2">
      <c r="A111" s="564" t="s">
        <v>642</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2">
      <c r="A112" s="564" t="s">
        <v>643</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644</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686</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687</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619</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620</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621</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688</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689</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623</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626</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2015-02-19T00:35:46Z</dcterms:modified>
</cp:coreProperties>
</file>